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ml.chartshapes+xml"/>
  <Override PartName="/xl/charts/chart4.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workbookPr showInkAnnotation="0" codeName="ThisWorkbook"/>
  <mc:AlternateContent xmlns:mc="http://schemas.openxmlformats.org/markup-compatibility/2006">
    <mc:Choice Requires="x15">
      <x15ac:absPath xmlns:x15ac="http://schemas.microsoft.com/office/spreadsheetml/2010/11/ac" url="D:\Work\UWRT\MarsRoverElectricalKiCad\projects\LM5143_Buck\"/>
    </mc:Choice>
  </mc:AlternateContent>
  <xr:revisionPtr revIDLastSave="0" documentId="13_ncr:1_{000591FC-CCC0-4BE9-BA1C-9A9FF736B626}" xr6:coauthVersionLast="47" xr6:coauthVersionMax="47" xr10:uidLastSave="{00000000-0000-0000-0000-000000000000}"/>
  <workbookProtection workbookAlgorithmName="SHA-512" workbookHashValue="rgW94RiNbkS/CglMRKH0pPTCTWpXwHmsascdn1s2O/XjEbpk0t6DEWnI0iRXL4SaZLBjqB6Df2o6MFXJ5SJrRw==" workbookSaltValue="ZlGysuczbzkbdXe1t49uWA==" workbookSpinCount="100000" lockStructure="1"/>
  <bookViews>
    <workbookView xWindow="-110" yWindow="-110" windowWidth="25820" windowHeight="13900" tabRatio="393" xr2:uid="{00000000-000D-0000-FFFF-FFFF00000000}"/>
  </bookViews>
  <sheets>
    <sheet name="Design Regulator" sheetId="1" r:id="rId1"/>
    <sheet name="BOM &amp; Schematic" sheetId="16" r:id="rId2"/>
    <sheet name="EVM" sheetId="14" r:id="rId3"/>
    <sheet name="Variable Management" sheetId="2" state="hidden" r:id="rId4"/>
    <sheet name="Stability Calculations" sheetId="17" state="hidden" r:id="rId5"/>
    <sheet name="Ch2 Stability Calculations" sheetId="25" state="hidden" r:id="rId6"/>
    <sheet name="Bode Plot Management" sheetId="24" state="hidden" r:id="rId7"/>
    <sheet name="Efficiency Calculations" sheetId="21" state="hidden" r:id="rId8"/>
    <sheet name="Ch2 Efficiency Calculations" sheetId="23" state="hidden" r:id="rId9"/>
    <sheet name="Efficiency Plot Management" sheetId="19" state="hidden" r:id="rId10"/>
    <sheet name="Schematic Management" sheetId="22" state="hidden" r:id="rId11"/>
    <sheet name="Standard Value Calculator" sheetId="8" state="hidden" r:id="rId12"/>
    <sheet name="Snubber" sheetId="11" state="hidden" r:id="rId13"/>
    <sheet name="Parallel Output Caps" sheetId="6" state="hidden" r:id="rId14"/>
  </sheets>
  <definedNames>
    <definedName name="_Don1">'Variable Management'!$B$34</definedName>
    <definedName name="_Don2">'Variable Management'!$B$49</definedName>
    <definedName name="Acs">'Variable Management'!$B$207</definedName>
    <definedName name="Acs_Ch2">'Variable Management'!$D$207</definedName>
    <definedName name="Adc" localSheetId="5">'Ch2 Stability Calculations'!$Q$3</definedName>
    <definedName name="Adc">'Stability Calculations'!$Q$3</definedName>
    <definedName name="AEA">'Variable Management'!$B$205</definedName>
    <definedName name="Afb">'Variable Management'!$B$206</definedName>
    <definedName name="Afb_Ch2">'Variable Management'!$D$206</definedName>
    <definedName name="Am">'Variable Management'!$B$209</definedName>
    <definedName name="Am_buck">'Variable Management'!$B$208</definedName>
    <definedName name="Am_buck_Ch2">'Variable Management'!$D$208</definedName>
    <definedName name="Am_Ch2">'Variable Management'!$D$209</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Management'!$B$178</definedName>
    <definedName name="Cbw">'Variable Management'!$B$203</definedName>
    <definedName name="Cby">'Variable Management'!$B$177</definedName>
    <definedName name="Cc1ea">'Variable Management'!$B$226</definedName>
    <definedName name="Cc1ea_u">'Variable Management'!$B$231</definedName>
    <definedName name="Cc2ea">'Variable Management'!$B$227</definedName>
    <definedName name="Cc2ea_u">'Variable Management'!$B$232</definedName>
    <definedName name="Cc3ea">'Variable Management'!$D$226</definedName>
    <definedName name="Cc3ea_u">'Variable Management'!$D$231</definedName>
    <definedName name="Cc4ea">'Variable Management'!$D$227</definedName>
    <definedName name="Cc4ea_u">'Variable Management'!$D$232</definedName>
    <definedName name="Cdither">'Variable Management'!$B$177</definedName>
    <definedName name="Cdither_init">'Variable Management'!$B$176</definedName>
    <definedName name="Ch1_VOUT">'Variable Management'!$L$16</definedName>
    <definedName name="Ch2_VOUT">'Variable Management'!$O$16</definedName>
    <definedName name="Cin">'Variable Management'!$B$146</definedName>
    <definedName name="CinEsrMax">'Variable Management'!$B$149</definedName>
    <definedName name="Cinmin">'Variable Management'!$B$144</definedName>
    <definedName name="Core_Loss_Ch1">'Design Regulator'!$O$75</definedName>
    <definedName name="Coss_Q1">'Variable Management'!$B$279</definedName>
    <definedName name="Coss_Q2">'Variable Management'!$D$279</definedName>
    <definedName name="Coss_Q3">'Variable Management'!$B$298</definedName>
    <definedName name="Coss_Q4">'Variable Management'!$D$298</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Management'!$B$167</definedName>
    <definedName name="Cres_u">'Variable Management'!$B$168</definedName>
    <definedName name="CSAmp_gain">'Variable Management'!$B$182</definedName>
    <definedName name="Csb">'Variable Management'!$B$175</definedName>
    <definedName name="Css">'Variable Management'!$B$162</definedName>
    <definedName name="Css_u">'Variable Management'!$B$163</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Management'!$B$268</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Management'!$B$20</definedName>
    <definedName name="Ext_VCC">'Variable Management'!$X$15</definedName>
    <definedName name="Fcross">'Variable Management'!$B$224</definedName>
    <definedName name="Fcross_Ch2">'Variable Management'!$D$224</definedName>
    <definedName name="Fdither">'Variable Management'!$B$175</definedName>
    <definedName name="Fesr">'Variable Management'!$B$221</definedName>
    <definedName name="Fesr_Ch2">'Variable Management'!$D$221</definedName>
    <definedName name="Fload_u">'Variable Management'!$B$216</definedName>
    <definedName name="Fload_u_Ch2">'Variable Management'!$D$216</definedName>
    <definedName name="Fp_dominant">'Variable Management'!$B$217</definedName>
    <definedName name="Fp_dominant_Ch2">'Variable Management'!$D$217</definedName>
    <definedName name="Fp1_u">'Variable Management'!$B$219</definedName>
    <definedName name="Fp1_u_Ch2">'Variable Management'!$D$219</definedName>
    <definedName name="Fp2_u">'Variable Management'!$B$220</definedName>
    <definedName name="Fp2_u_Ch2">'Variable Management'!$D$220</definedName>
    <definedName name="Frhp" localSheetId="6">'Variable Management'!#REF!</definedName>
    <definedName name="Frhp" localSheetId="8">'Variable Management'!#REF!</definedName>
    <definedName name="Frhp" localSheetId="5">'Variable Management'!#REF!</definedName>
    <definedName name="Frhp">'Variable Management'!#REF!</definedName>
    <definedName name="Fsw">'Variable Management'!$B$27</definedName>
    <definedName name="Fz1_u">'Variable Management'!$B$235</definedName>
    <definedName name="Fz1_u_Ch2">'Variable Management'!$D$235</definedName>
    <definedName name="GBW">'Variable Management'!$B$202</definedName>
    <definedName name="Gfs_Q1">'Variable Management'!$B$281</definedName>
    <definedName name="Gfs_Q2">'Variable Management'!$D$281</definedName>
    <definedName name="Gfs_Q3">'Variable Management'!$B$300</definedName>
    <definedName name="Gfs_Q4">'Variable Management'!$D$300</definedName>
    <definedName name="gm">'Variable Management'!$B$184</definedName>
    <definedName name="Icoutrms">'Variable Management'!$B$111</definedName>
    <definedName name="Iin_Vinmax">'Variable Management'!$B$25</definedName>
    <definedName name="Iin_Vinmin">'Variable Management'!$B$23</definedName>
    <definedName name="Iin_Vinnom">'Variable Management'!$B$24</definedName>
    <definedName name="IL_peak_OCP" localSheetId="8">'Variable Management'!#REF!</definedName>
    <definedName name="IL1_peak_buckboost" localSheetId="8">'Variable Management'!#REF!</definedName>
    <definedName name="Ilimit_DC">'Variable Management'!$B$77</definedName>
    <definedName name="Ilimit2_DC">'Variable Management'!$D$77</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6">'Variable Management'!#REF!</definedName>
    <definedName name="Iout_threshold" localSheetId="8">'Variable Management'!#REF!</definedName>
    <definedName name="Iout_threshold" localSheetId="5">'Variable Management'!#REF!</definedName>
    <definedName name="Iout_threshold">'Variable Management'!#REF!</definedName>
    <definedName name="Iout2">'Variable Management'!$B$14</definedName>
    <definedName name="Iout2_OCP_Vinmax">'Variable Management'!$D$99</definedName>
    <definedName name="Iout2_OCP_Vinmin">'Variable Management'!$D$97</definedName>
    <definedName name="Iout2_OCP_Vinnom">'Variable Management'!$D$98</definedName>
    <definedName name="Iq">'Variable Management'!$B$270</definedName>
    <definedName name="Ireverse">'Variable Management'!$B$312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Management'!$B$161</definedName>
    <definedName name="k">'Variable Management'!$B$198</definedName>
    <definedName name="k_buck">'Variable Management'!$B$195</definedName>
    <definedName name="k_Ch2">'Variable Management'!$D$198</definedName>
    <definedName name="Lf">'Variable Management'!$B$46</definedName>
    <definedName name="Lo_2">'Variable Management'!$D$46</definedName>
    <definedName name="Lopt">'Variable Management'!$B$44</definedName>
    <definedName name="Lopt2">'Variable Management'!$D$44</definedName>
    <definedName name="Ltc">'Variable Management'!$B$255</definedName>
    <definedName name="mc">'Variable Management'!$B$197</definedName>
    <definedName name="mc_buck">'Variable Management'!$B$194</definedName>
    <definedName name="mc_buck_Ch2">'Variable Management'!$D$194</definedName>
    <definedName name="mc_Ch2">'Variable Management'!$D$197</definedName>
    <definedName name="MODE">'Variable Management'!$U$13</definedName>
    <definedName name="Number_of_Phases">'Variable Management'!$U$15</definedName>
    <definedName name="Pi">'Variable Management'!$B$181</definedName>
    <definedName name="PICTURE">INDIRECT('Efficiency Plot Management'!$A$2)</definedName>
    <definedName name="PICTURE2" localSheetId="1">INDIRECT('Schematic Management'!$A$2)</definedName>
    <definedName name="PICTURE2" localSheetId="0">INDIRECT('Schematic Management'!$A$2)</definedName>
    <definedName name="PICTURE3">INDIRECT('Bode Plot Management'!$A$2)</definedName>
    <definedName name="Pin">'Variable Management'!$B$21</definedName>
    <definedName name="PLOT_TYPE">'Variable Management'!$L$10</definedName>
    <definedName name="pole1" localSheetId="5">'Ch2 Stability Calculations'!$K$4</definedName>
    <definedName name="pole1">'Stability Calculations'!$K$4</definedName>
    <definedName name="Pole2" localSheetId="5">'Ch2 Stability Calculations'!$C$5</definedName>
    <definedName name="Pole2">'Stability Calculations'!$C$5</definedName>
    <definedName name="pole3" localSheetId="5">'Ch2 Stability Calculations'!$N$3</definedName>
    <definedName name="pole3">'Stability Calculations'!$N$3</definedName>
    <definedName name="pole4" localSheetId="5">'Ch2 Stability Calculations'!$C$7</definedName>
    <definedName name="pole4">'Stability Calculations'!$C$7</definedName>
    <definedName name="Pout">'Variable Management'!$B$18</definedName>
    <definedName name="_xlnm.Print_Area" localSheetId="1">'BOM &amp; Schematic'!$A$1:$J$81</definedName>
    <definedName name="_xlnm.Print_Area" localSheetId="0">'Design Regulator'!$A$1:$Q$109</definedName>
    <definedName name="pterm1" localSheetId="5">'Ch2 Stability Calculations'!$N$4</definedName>
    <definedName name="pterm1">'Stability Calculations'!$N$4</definedName>
    <definedName name="pterm2" localSheetId="5">'Ch2 Stability Calculations'!$N$5</definedName>
    <definedName name="pterm2">'Stability Calculations'!$N$5</definedName>
    <definedName name="Q">'Variable Management'!$B$199</definedName>
    <definedName name="Q_Ch2">'Variable Management'!$D$199</definedName>
    <definedName name="Qg_Q1">'Variable Management'!$B$275</definedName>
    <definedName name="Qg_Q2">'Variable Management'!$D$275</definedName>
    <definedName name="Qg_Q3">'Variable Management'!$B$294</definedName>
    <definedName name="Qg_Q4">'Variable Management'!$D$294</definedName>
    <definedName name="Qgd_Q1">'Variable Management'!$B$276</definedName>
    <definedName name="Qgd_Q2">'Variable Management'!$D$276</definedName>
    <definedName name="Qgd_Q3">'Variable Management'!$B$295</definedName>
    <definedName name="Qgd_Q4">'Variable Management'!$D$295</definedName>
    <definedName name="Qgs_Q1">'Variable Management'!$B$277</definedName>
    <definedName name="Qgs_Q2">'Variable Management'!$D$277</definedName>
    <definedName name="Qgs_Q3">'Variable Management'!$B$296</definedName>
    <definedName name="Qgs_Q4">'Variable Management'!$D$296</definedName>
    <definedName name="Qoss_Q1">'Variable Management'!$B$278</definedName>
    <definedName name="Qoss_Q2">'Variable Management'!$D$278</definedName>
    <definedName name="Qoss_Q3">'Variable Management'!$B$297</definedName>
    <definedName name="Qoss_Q4">'Variable Management'!$D$297</definedName>
    <definedName name="Qrr_Q2">'Variable Management'!$D$286</definedName>
    <definedName name="Qrr_Q4">'Variable Management'!$D$305</definedName>
    <definedName name="QrrSky_Q2">'Variable Management'!$B$311</definedName>
    <definedName name="QrrSky_Q4">'Variable Management'!$D$311</definedName>
    <definedName name="radconv" localSheetId="5">'Ch2 Stability Calculations'!$Q$6</definedName>
    <definedName name="radconv">'Stability Calculations'!$Q$6</definedName>
    <definedName name="Rcea1">'Variable Management'!$B$225</definedName>
    <definedName name="Rcea1_u">'Variable Management'!$B$230</definedName>
    <definedName name="Rcea2">'Variable Management'!$D$225</definedName>
    <definedName name="Rcea2_u">'Variable Management'!$D$230</definedName>
    <definedName name="RCinEsr">'Variable Management'!$B$151</definedName>
    <definedName name="RCoutEsr">'Variable Management'!$B$126</definedName>
    <definedName name="Rdcr">'Variable Management'!$B$47</definedName>
    <definedName name="Rdcr2">'Variable Management'!$D$47</definedName>
    <definedName name="Rdson1">'Variable Management'!$B$273</definedName>
    <definedName name="Rdson2">'Variable Management'!$D$273</definedName>
    <definedName name="Rdson3">'Variable Management'!$B$292</definedName>
    <definedName name="Rdson4">'Variable Management'!$D$292</definedName>
    <definedName name="RdsonBotTc">'Variable Management'!$B$293</definedName>
    <definedName name="RdsonDRB">'Variable Management'!$B$265</definedName>
    <definedName name="RdsonDRB2">'Variable Management'!$B$266</definedName>
    <definedName name="RdsonDRT">'Variable Management'!$B$262</definedName>
    <definedName name="RdsonDRT2">'Variable Management'!$B$263</definedName>
    <definedName name="RdsonTopTc">'Variable Management'!$B$274</definedName>
    <definedName name="Rfadj">'Variable Management'!$B$30</definedName>
    <definedName name="Rfb1_">'Variable Management'!$B$238</definedName>
    <definedName name="Rfb2_">'Variable Management'!$B$239</definedName>
    <definedName name="Rfb2_u">'Variable Management'!$B$240</definedName>
    <definedName name="Rfb3_">'Variable Management'!$D$238</definedName>
    <definedName name="Rfb4_">'Variable Management'!$D$239</definedName>
    <definedName name="Rfb4_u">'Variable Management'!$D$240</definedName>
    <definedName name="Rfets">'Variable Management'!$B$244</definedName>
    <definedName name="Rgate1">'Variable Management'!$B$280</definedName>
    <definedName name="Rgate2">'Variable Management'!$D$280</definedName>
    <definedName name="Rgate3">'Variable Management'!$B$299</definedName>
    <definedName name="Rgate4">'Variable Management'!$D$299</definedName>
    <definedName name="Ri">'Variable Management'!$B$183</definedName>
    <definedName name="Ri_Ch2">'Variable Management'!$D$183</definedName>
    <definedName name="Ro">'Variable Management'!$B$214</definedName>
    <definedName name="Ro_Ch2">'Variable Management'!$D$214</definedName>
    <definedName name="RoEA">'Variable Management'!$B$204</definedName>
    <definedName name="Rout">'Variable Management'!$B$16</definedName>
    <definedName name="Rout2">'Variable Management'!$B$17</definedName>
    <definedName name="Rpg">'Variable Management'!$B$170</definedName>
    <definedName name="Rs">'Variable Management'!$B$93</definedName>
    <definedName name="Rs_Ch2">'Variable Management'!$D$93</definedName>
    <definedName name="Rs_ideal">'Variable Management'!$B$92</definedName>
    <definedName name="Rs2_ideal">'Variable Management'!$D$92</definedName>
    <definedName name="SCH_DUAL">'Schematic Management'!$B$5</definedName>
    <definedName name="SCH_MODE">'Variable Management'!$U$12</definedName>
    <definedName name="SCH_MULTIPHASE">'Schematic Management'!$B$10</definedName>
    <definedName name="SCH_SINGLE">'Schematic Management'!$B$8</definedName>
    <definedName name="Se_ext">'Variable Management'!$B$186</definedName>
    <definedName name="Se_ext_Ch2">'Variable Management'!$D$186</definedName>
    <definedName name="SENSING_TYPE">'Variable Management'!$AA$17</definedName>
    <definedName name="Sf">'Variable Management'!$B$188</definedName>
    <definedName name="Sf_Ch2">'Variable Management'!$D$188</definedName>
    <definedName name="SINGLE_OUTPUT">'Variable Management'!$U$14</definedName>
    <definedName name="Sn">'Variable Management'!$B$187</definedName>
    <definedName name="Sn_Ch2">'Variable Management'!$D$187</definedName>
    <definedName name="Ta">'Variable Management'!$B$253</definedName>
    <definedName name="Tf_buck">'Variable Management'!$B$319</definedName>
    <definedName name="Tf_Ch2">'Variable Management'!$D$319</definedName>
    <definedName name="ThetaCa">'Variable Management'!$B$256</definedName>
    <definedName name="ThetaJA_Q1">'Variable Management'!$B$288</definedName>
    <definedName name="ThetaJA_Q2">'Variable Management'!$D$288</definedName>
    <definedName name="ThetaJA_Q3">'Variable Management'!$B$307</definedName>
    <definedName name="ThetaJA_Q4">'Variable Management'!$D$307</definedName>
    <definedName name="ThetaJaCtrl">'Variable Management'!$B$315</definedName>
    <definedName name="TL">'Variable Management'!$B$73</definedName>
    <definedName name="Tr_buck">'Variable Management'!$B$318</definedName>
    <definedName name="Tr_Ch2">'Variable Management'!$D$318</definedName>
    <definedName name="Tres">'Variable Management'!$B$166</definedName>
    <definedName name="Trr_Q1">'Variable Management'!$B$287</definedName>
    <definedName name="Trr_Q2">'Variable Management'!$D$287</definedName>
    <definedName name="Trr_Q3">'Variable Management'!$B$306</definedName>
    <definedName name="Trr_Q4">'Variable Management'!$D$306</definedName>
    <definedName name="Ts">'Variable Management'!$B$28</definedName>
    <definedName name="Tss">'Variable Management'!$B$160</definedName>
    <definedName name="VARIANT">'Variable Management'!$Y$25</definedName>
    <definedName name="VCC">'Variable Management'!$B$260</definedName>
    <definedName name="VfdSky_Q2">'Variable Management'!$B$310</definedName>
    <definedName name="VfdSky_Q4">'Variable Management'!$D$310</definedName>
    <definedName name="Vin">'Variable Management'!$B$8</definedName>
    <definedName name="VIN_max">'Variable Management'!$B$9</definedName>
    <definedName name="VIN_MAX_RATING">'Variable Management'!$X$26</definedName>
    <definedName name="VIN_min">'Variable Management'!$B$7</definedName>
    <definedName name="VIN_nom">'Variable Management'!$B$8</definedName>
    <definedName name="Vinripple1">'Variable Management'!$B$140</definedName>
    <definedName name="Vinripple2">'Variable Management'!$B$140+'Variable Management'!$D$140</definedName>
    <definedName name="Vo1_ripple">'Variable Management'!$B$116</definedName>
    <definedName name="Vo2_ripple">'Variable Management'!$D$116</definedName>
    <definedName name="Vout">'Variable Management'!$B$11</definedName>
    <definedName name="VOUT_MAX_RATING">'Variable Management'!$X$27</definedName>
    <definedName name="Vout2">'Variable Management'!$B$13</definedName>
    <definedName name="Vref">'Variable Management'!$B$29</definedName>
    <definedName name="Vsd_Q1">'Variable Management'!$B$285</definedName>
    <definedName name="Vsd_Q2">'Variable Management'!$D$285</definedName>
    <definedName name="Vsd_Q3">'Variable Management'!$B$304</definedName>
    <definedName name="Vsd_Q4">'Variable Management'!$D$304</definedName>
    <definedName name="Vsp_Q1">'Variable Management'!$B$283</definedName>
    <definedName name="Vsp_Q2">'Variable Management'!$D$283</definedName>
    <definedName name="Vsp_Q3">'Variable Management'!$B$302</definedName>
    <definedName name="Vsp_Q4">'Variable Management'!$D$302</definedName>
    <definedName name="Vth_Q1">'Variable Management'!$B$282</definedName>
    <definedName name="Vth_Q2">'Variable Management'!$D$282</definedName>
    <definedName name="Vth_Q3">'Variable Management'!$B$301</definedName>
    <definedName name="Vth_Q4">'Variable Management'!$D$301</definedName>
    <definedName name="z_RHP" localSheetId="5">'Ch2 Stability Calculations'!$K$5</definedName>
    <definedName name="z_RHP">'Stability Calculations'!$K$5</definedName>
    <definedName name="Zero1" localSheetId="5">'Ch2 Stability Calculations'!$K$3</definedName>
    <definedName name="Zero1">'Stability Calculations'!$K$3</definedName>
    <definedName name="Zero2" localSheetId="5">'Ch2 Stability Calculations'!$C$4</definedName>
    <definedName name="Zero2">'Stability Calculations'!$C$4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5" i="1" l="1"/>
  <c r="D74" i="1"/>
  <c r="D73" i="1"/>
  <c r="X25" i="2"/>
  <c r="D75" i="16" l="1"/>
  <c r="C75" i="16"/>
  <c r="I75" i="16"/>
  <c r="X27" i="2"/>
  <c r="X26" i="2"/>
  <c r="D93" i="2" l="1"/>
  <c r="AN111" i="23" s="1"/>
  <c r="F87" i="2" l="1"/>
  <c r="AA19" i="2"/>
  <c r="B298" i="2" l="1"/>
  <c r="D298" i="2"/>
  <c r="D297" i="2"/>
  <c r="B297" i="2"/>
  <c r="D279" i="2"/>
  <c r="D278" i="2"/>
  <c r="B279" i="2"/>
  <c r="B278" i="2"/>
  <c r="L37" i="1" l="1"/>
  <c r="Q37" i="1"/>
  <c r="L35" i="1"/>
  <c r="L38" i="1"/>
  <c r="D69" i="1" l="1"/>
  <c r="AE687" i="25"/>
  <c r="V613" i="25"/>
  <c r="B613" i="25"/>
  <c r="V612" i="25"/>
  <c r="B612" i="25"/>
  <c r="V611" i="25"/>
  <c r="B611" i="25"/>
  <c r="V610" i="25"/>
  <c r="B610" i="25"/>
  <c r="V609" i="25"/>
  <c r="B609" i="25"/>
  <c r="V608" i="25"/>
  <c r="B608" i="25"/>
  <c r="V607" i="25"/>
  <c r="B607" i="25"/>
  <c r="V606" i="25"/>
  <c r="B606" i="25"/>
  <c r="V605" i="25"/>
  <c r="B605" i="25"/>
  <c r="V604" i="25"/>
  <c r="B604" i="25"/>
  <c r="V603" i="25"/>
  <c r="B603" i="25"/>
  <c r="V602" i="25"/>
  <c r="B602" i="25"/>
  <c r="V601" i="25"/>
  <c r="B601" i="25"/>
  <c r="V600" i="25"/>
  <c r="B600" i="25"/>
  <c r="V599" i="25"/>
  <c r="B599" i="25"/>
  <c r="V598" i="25"/>
  <c r="B598" i="25"/>
  <c r="V597" i="25"/>
  <c r="B597" i="25"/>
  <c r="V596" i="25"/>
  <c r="B596" i="25"/>
  <c r="V595" i="25"/>
  <c r="B595" i="25"/>
  <c r="V594" i="25"/>
  <c r="B594" i="25"/>
  <c r="V593" i="25"/>
  <c r="B593" i="25"/>
  <c r="V592" i="25"/>
  <c r="B592" i="25"/>
  <c r="V591" i="25"/>
  <c r="B591" i="25"/>
  <c r="V590" i="25"/>
  <c r="B590" i="25"/>
  <c r="V589" i="25"/>
  <c r="B589" i="25"/>
  <c r="V588" i="25"/>
  <c r="B588" i="25"/>
  <c r="V587" i="25"/>
  <c r="B587" i="25"/>
  <c r="V586" i="25"/>
  <c r="B586" i="25"/>
  <c r="V585" i="25"/>
  <c r="B585" i="25"/>
  <c r="V584" i="25"/>
  <c r="B584" i="25"/>
  <c r="V583" i="25"/>
  <c r="B583" i="25"/>
  <c r="V582" i="25"/>
  <c r="B582" i="25"/>
  <c r="V581" i="25"/>
  <c r="B581" i="25"/>
  <c r="V580" i="25"/>
  <c r="B580" i="25"/>
  <c r="V579" i="25"/>
  <c r="B579" i="25"/>
  <c r="V578" i="25"/>
  <c r="B578" i="25"/>
  <c r="V577" i="25"/>
  <c r="B577" i="25"/>
  <c r="V576" i="25"/>
  <c r="B576" i="25"/>
  <c r="V575" i="25"/>
  <c r="B575" i="25"/>
  <c r="V574" i="25"/>
  <c r="B574" i="25"/>
  <c r="V573" i="25"/>
  <c r="B573" i="25"/>
  <c r="V572" i="25"/>
  <c r="B572" i="25"/>
  <c r="V571" i="25"/>
  <c r="B571" i="25"/>
  <c r="V570" i="25"/>
  <c r="B570" i="25"/>
  <c r="V569" i="25"/>
  <c r="B569" i="25"/>
  <c r="V568" i="25"/>
  <c r="B568" i="25"/>
  <c r="V567" i="25"/>
  <c r="B567" i="25"/>
  <c r="V566" i="25"/>
  <c r="B566" i="25"/>
  <c r="V565" i="25"/>
  <c r="B565" i="25"/>
  <c r="V564" i="25"/>
  <c r="B564" i="25"/>
  <c r="V563" i="25"/>
  <c r="B563" i="25"/>
  <c r="V562" i="25"/>
  <c r="B562" i="25"/>
  <c r="V561" i="25"/>
  <c r="B561" i="25"/>
  <c r="V560" i="25"/>
  <c r="B560" i="25"/>
  <c r="V559" i="25"/>
  <c r="B559" i="25"/>
  <c r="V558" i="25"/>
  <c r="B558" i="25"/>
  <c r="V557" i="25"/>
  <c r="B557" i="25"/>
  <c r="V556" i="25"/>
  <c r="B556" i="25"/>
  <c r="V555" i="25"/>
  <c r="B555" i="25"/>
  <c r="V554" i="25"/>
  <c r="B554" i="25"/>
  <c r="V553" i="25"/>
  <c r="B553" i="25"/>
  <c r="V552" i="25"/>
  <c r="B552" i="25"/>
  <c r="V551" i="25"/>
  <c r="B551" i="25"/>
  <c r="V550" i="25"/>
  <c r="B550" i="25"/>
  <c r="V549" i="25"/>
  <c r="B549" i="25"/>
  <c r="V548" i="25"/>
  <c r="B548" i="25"/>
  <c r="V547" i="25"/>
  <c r="B547" i="25"/>
  <c r="V546" i="25"/>
  <c r="B546" i="25"/>
  <c r="V545" i="25"/>
  <c r="B545" i="25"/>
  <c r="V544" i="25"/>
  <c r="B544" i="25"/>
  <c r="V543" i="25"/>
  <c r="B543" i="25"/>
  <c r="V542" i="25"/>
  <c r="B542" i="25"/>
  <c r="V541" i="25"/>
  <c r="B541" i="25"/>
  <c r="V540" i="25"/>
  <c r="B540" i="25"/>
  <c r="V539" i="25"/>
  <c r="B539" i="25"/>
  <c r="V538" i="25"/>
  <c r="B538" i="25"/>
  <c r="V537" i="25"/>
  <c r="B537" i="25"/>
  <c r="V536" i="25"/>
  <c r="B536" i="25"/>
  <c r="V535" i="25"/>
  <c r="B535" i="25"/>
  <c r="V534" i="25"/>
  <c r="B534" i="25"/>
  <c r="V533" i="25"/>
  <c r="B533" i="25"/>
  <c r="V532" i="25"/>
  <c r="B532" i="25"/>
  <c r="V531" i="25"/>
  <c r="B531" i="25"/>
  <c r="V530" i="25"/>
  <c r="B530" i="25"/>
  <c r="V529" i="25"/>
  <c r="B529" i="25"/>
  <c r="V528" i="25"/>
  <c r="B528" i="25"/>
  <c r="V527" i="25"/>
  <c r="B527" i="25"/>
  <c r="V526" i="25"/>
  <c r="B526" i="25"/>
  <c r="V525" i="25"/>
  <c r="B525" i="25"/>
  <c r="V524" i="25"/>
  <c r="B524" i="25"/>
  <c r="V523" i="25"/>
  <c r="B523" i="25"/>
  <c r="V522" i="25"/>
  <c r="B522" i="25"/>
  <c r="V521" i="25"/>
  <c r="B521" i="25"/>
  <c r="V520" i="25"/>
  <c r="B520" i="25"/>
  <c r="V519" i="25"/>
  <c r="B519" i="25"/>
  <c r="V518" i="25"/>
  <c r="B518" i="25"/>
  <c r="V517" i="25"/>
  <c r="B517" i="25"/>
  <c r="V516" i="25"/>
  <c r="B516" i="25"/>
  <c r="V515" i="25"/>
  <c r="B515" i="25"/>
  <c r="V514" i="25"/>
  <c r="B514" i="25"/>
  <c r="V513" i="25"/>
  <c r="B513" i="25"/>
  <c r="V512" i="25"/>
  <c r="B512" i="25"/>
  <c r="V511" i="25"/>
  <c r="B511" i="25"/>
  <c r="V510" i="25"/>
  <c r="B510" i="25"/>
  <c r="V509" i="25"/>
  <c r="B509" i="25"/>
  <c r="V508" i="25"/>
  <c r="B508" i="25"/>
  <c r="V507" i="25"/>
  <c r="B507" i="25"/>
  <c r="V506" i="25"/>
  <c r="B506" i="25"/>
  <c r="V505" i="25"/>
  <c r="B505" i="25"/>
  <c r="V504" i="25"/>
  <c r="B504" i="25"/>
  <c r="V503" i="25"/>
  <c r="B503" i="25"/>
  <c r="V502" i="25"/>
  <c r="B502" i="25"/>
  <c r="V501" i="25"/>
  <c r="B501" i="25"/>
  <c r="V500" i="25"/>
  <c r="B500" i="25"/>
  <c r="V499" i="25"/>
  <c r="B499" i="25"/>
  <c r="V498" i="25"/>
  <c r="B498" i="25"/>
  <c r="V497" i="25"/>
  <c r="B497" i="25"/>
  <c r="V496" i="25"/>
  <c r="B496" i="25"/>
  <c r="V495" i="25"/>
  <c r="B495" i="25"/>
  <c r="V494" i="25"/>
  <c r="B494" i="25"/>
  <c r="V493" i="25"/>
  <c r="B493" i="25"/>
  <c r="V492" i="25"/>
  <c r="B492" i="25"/>
  <c r="V491" i="25"/>
  <c r="B491" i="25"/>
  <c r="V490" i="25"/>
  <c r="B490" i="25"/>
  <c r="V489" i="25"/>
  <c r="B489" i="25"/>
  <c r="V488" i="25"/>
  <c r="B488" i="25"/>
  <c r="V487" i="25"/>
  <c r="B487" i="25"/>
  <c r="V486" i="25"/>
  <c r="B486" i="25"/>
  <c r="V485" i="25"/>
  <c r="B485" i="25"/>
  <c r="V484" i="25"/>
  <c r="B484" i="25"/>
  <c r="V483" i="25"/>
  <c r="B483" i="25"/>
  <c r="V482" i="25"/>
  <c r="B482" i="25"/>
  <c r="V481" i="25"/>
  <c r="B481" i="25"/>
  <c r="V480" i="25"/>
  <c r="B480" i="25"/>
  <c r="V479" i="25"/>
  <c r="B479" i="25"/>
  <c r="V478" i="25"/>
  <c r="B478" i="25"/>
  <c r="V477" i="25"/>
  <c r="B477" i="25"/>
  <c r="V476" i="25"/>
  <c r="B476" i="25"/>
  <c r="V475" i="25"/>
  <c r="B475" i="25"/>
  <c r="V474" i="25"/>
  <c r="B474" i="25"/>
  <c r="V473" i="25"/>
  <c r="B473" i="25"/>
  <c r="V472" i="25"/>
  <c r="B472" i="25"/>
  <c r="V471" i="25"/>
  <c r="B471" i="25"/>
  <c r="V470" i="25"/>
  <c r="B470" i="25"/>
  <c r="V469" i="25"/>
  <c r="B469" i="25"/>
  <c r="V468" i="25"/>
  <c r="B468" i="25"/>
  <c r="V467" i="25"/>
  <c r="B467" i="25"/>
  <c r="V466" i="25"/>
  <c r="B466" i="25"/>
  <c r="V465" i="25"/>
  <c r="B465" i="25"/>
  <c r="V464" i="25"/>
  <c r="B464" i="25"/>
  <c r="V463" i="25"/>
  <c r="B463" i="25"/>
  <c r="V462" i="25"/>
  <c r="B462" i="25"/>
  <c r="V461" i="25"/>
  <c r="B461" i="25"/>
  <c r="V460" i="25"/>
  <c r="B460" i="25"/>
  <c r="V459" i="25"/>
  <c r="B459" i="25"/>
  <c r="V458" i="25"/>
  <c r="B458" i="25"/>
  <c r="V457" i="25"/>
  <c r="B457" i="25"/>
  <c r="V456" i="25"/>
  <c r="B456" i="25"/>
  <c r="V455" i="25"/>
  <c r="B455" i="25"/>
  <c r="V454" i="25"/>
  <c r="B454" i="25"/>
  <c r="V453" i="25"/>
  <c r="B453" i="25"/>
  <c r="V452" i="25"/>
  <c r="B452" i="25"/>
  <c r="V451" i="25"/>
  <c r="B451" i="25"/>
  <c r="V450" i="25"/>
  <c r="B450" i="25"/>
  <c r="V449" i="25"/>
  <c r="B449" i="25"/>
  <c r="V448" i="25"/>
  <c r="B448" i="25"/>
  <c r="V447" i="25"/>
  <c r="B447" i="25"/>
  <c r="V446" i="25"/>
  <c r="B446" i="25"/>
  <c r="V445" i="25"/>
  <c r="B445" i="25"/>
  <c r="V444" i="25"/>
  <c r="B444" i="25"/>
  <c r="V443" i="25"/>
  <c r="B443" i="25"/>
  <c r="V442" i="25"/>
  <c r="B442" i="25"/>
  <c r="V441" i="25"/>
  <c r="B441" i="25"/>
  <c r="V440" i="25"/>
  <c r="B440" i="25"/>
  <c r="V439" i="25"/>
  <c r="B439" i="25"/>
  <c r="V438" i="25"/>
  <c r="B438" i="25"/>
  <c r="V437" i="25"/>
  <c r="B437" i="25"/>
  <c r="V436" i="25"/>
  <c r="B436" i="25"/>
  <c r="V435" i="25"/>
  <c r="B435" i="25"/>
  <c r="V434" i="25"/>
  <c r="B434" i="25"/>
  <c r="V433" i="25"/>
  <c r="B433" i="25"/>
  <c r="V432" i="25"/>
  <c r="B432" i="25"/>
  <c r="V431" i="25"/>
  <c r="B431" i="25"/>
  <c r="V430" i="25"/>
  <c r="B430" i="25"/>
  <c r="V429" i="25"/>
  <c r="B429" i="25"/>
  <c r="V428" i="25"/>
  <c r="B428" i="25"/>
  <c r="V427" i="25"/>
  <c r="B427" i="25"/>
  <c r="V426" i="25"/>
  <c r="B426" i="25"/>
  <c r="V425" i="25"/>
  <c r="B425" i="25"/>
  <c r="V424" i="25"/>
  <c r="B424" i="25"/>
  <c r="V423" i="25"/>
  <c r="B423" i="25"/>
  <c r="V422" i="25"/>
  <c r="B422" i="25"/>
  <c r="V421" i="25"/>
  <c r="B421" i="25"/>
  <c r="V420" i="25"/>
  <c r="B420" i="25"/>
  <c r="V419" i="25"/>
  <c r="B419" i="25"/>
  <c r="V418" i="25"/>
  <c r="B418" i="25"/>
  <c r="V417" i="25"/>
  <c r="B417" i="25"/>
  <c r="V416" i="25"/>
  <c r="B416" i="25"/>
  <c r="V415" i="25"/>
  <c r="B415" i="25"/>
  <c r="V414" i="25"/>
  <c r="B414" i="25"/>
  <c r="V413" i="25"/>
  <c r="B413" i="25"/>
  <c r="V412" i="25"/>
  <c r="B412" i="25"/>
  <c r="V411" i="25"/>
  <c r="B411" i="25"/>
  <c r="V410" i="25"/>
  <c r="B410" i="25"/>
  <c r="V409" i="25"/>
  <c r="B409" i="25"/>
  <c r="V408" i="25"/>
  <c r="B408" i="25"/>
  <c r="V407" i="25"/>
  <c r="B407" i="25"/>
  <c r="V406" i="25"/>
  <c r="B406" i="25"/>
  <c r="V405" i="25"/>
  <c r="B405" i="25"/>
  <c r="V404" i="25"/>
  <c r="B404" i="25"/>
  <c r="V403" i="25"/>
  <c r="B403" i="25"/>
  <c r="V402" i="25"/>
  <c r="B402" i="25"/>
  <c r="V401" i="25"/>
  <c r="B401" i="25"/>
  <c r="V400" i="25"/>
  <c r="B400" i="25"/>
  <c r="V399" i="25"/>
  <c r="B399" i="25"/>
  <c r="V398" i="25"/>
  <c r="B398" i="25"/>
  <c r="V397" i="25"/>
  <c r="B397" i="25"/>
  <c r="V396" i="25"/>
  <c r="B396" i="25"/>
  <c r="V395" i="25"/>
  <c r="B395" i="25"/>
  <c r="V394" i="25"/>
  <c r="B394" i="25"/>
  <c r="V393" i="25"/>
  <c r="B393" i="25"/>
  <c r="V392" i="25"/>
  <c r="B392" i="25"/>
  <c r="V391" i="25"/>
  <c r="B391" i="25"/>
  <c r="V390" i="25"/>
  <c r="B390" i="25"/>
  <c r="V389" i="25"/>
  <c r="B389" i="25"/>
  <c r="V388" i="25"/>
  <c r="B388" i="25"/>
  <c r="V387" i="25"/>
  <c r="B387" i="25"/>
  <c r="V386" i="25"/>
  <c r="B386" i="25"/>
  <c r="V385" i="25"/>
  <c r="B385" i="25"/>
  <c r="V384" i="25"/>
  <c r="B384" i="25"/>
  <c r="V383" i="25"/>
  <c r="B383" i="25"/>
  <c r="V382" i="25"/>
  <c r="B382" i="25"/>
  <c r="V381" i="25"/>
  <c r="B381" i="25"/>
  <c r="V380" i="25"/>
  <c r="B380" i="25"/>
  <c r="V379" i="25"/>
  <c r="B379" i="25"/>
  <c r="V378" i="25"/>
  <c r="B378" i="25"/>
  <c r="V377" i="25"/>
  <c r="B377" i="25"/>
  <c r="V376" i="25"/>
  <c r="B376" i="25"/>
  <c r="V375" i="25"/>
  <c r="B375" i="25"/>
  <c r="V374" i="25"/>
  <c r="B374" i="25"/>
  <c r="V373" i="25"/>
  <c r="B373" i="25"/>
  <c r="V372" i="25"/>
  <c r="B372" i="25"/>
  <c r="V371" i="25"/>
  <c r="B371" i="25"/>
  <c r="V370" i="25"/>
  <c r="B370" i="25"/>
  <c r="V369" i="25"/>
  <c r="B369" i="25"/>
  <c r="V368" i="25"/>
  <c r="B368" i="25"/>
  <c r="V367" i="25"/>
  <c r="B367" i="25"/>
  <c r="V366" i="25"/>
  <c r="B366" i="25"/>
  <c r="V365" i="25"/>
  <c r="B365" i="25"/>
  <c r="V364" i="25"/>
  <c r="B364" i="25"/>
  <c r="V363" i="25"/>
  <c r="B363" i="25"/>
  <c r="V362" i="25"/>
  <c r="B362" i="25"/>
  <c r="V361" i="25"/>
  <c r="B361" i="25"/>
  <c r="V360" i="25"/>
  <c r="B360" i="25"/>
  <c r="V359" i="25"/>
  <c r="B359" i="25"/>
  <c r="V358" i="25"/>
  <c r="B358" i="25"/>
  <c r="V357" i="25"/>
  <c r="B357" i="25"/>
  <c r="V356" i="25"/>
  <c r="B356" i="25"/>
  <c r="V355" i="25"/>
  <c r="B355" i="25"/>
  <c r="V354" i="25"/>
  <c r="B354" i="25"/>
  <c r="V353" i="25"/>
  <c r="B353" i="25"/>
  <c r="V352" i="25"/>
  <c r="B352" i="25"/>
  <c r="V351" i="25"/>
  <c r="B351" i="25"/>
  <c r="V350" i="25"/>
  <c r="B350" i="25"/>
  <c r="V349" i="25"/>
  <c r="B349" i="25"/>
  <c r="V348" i="25"/>
  <c r="B348" i="25"/>
  <c r="V347" i="25"/>
  <c r="B347" i="25"/>
  <c r="V346" i="25"/>
  <c r="B346" i="25"/>
  <c r="V345" i="25"/>
  <c r="B345" i="25"/>
  <c r="V344" i="25"/>
  <c r="B344" i="25"/>
  <c r="V343" i="25"/>
  <c r="B343" i="25"/>
  <c r="V342" i="25"/>
  <c r="B342" i="25"/>
  <c r="V341" i="25"/>
  <c r="B341" i="25"/>
  <c r="V340" i="25"/>
  <c r="B340" i="25"/>
  <c r="V339" i="25"/>
  <c r="B339" i="25"/>
  <c r="V338" i="25"/>
  <c r="B338" i="25"/>
  <c r="V337" i="25"/>
  <c r="B337" i="25"/>
  <c r="V336" i="25"/>
  <c r="B336" i="25"/>
  <c r="V335" i="25"/>
  <c r="B335" i="25"/>
  <c r="V334" i="25"/>
  <c r="B334" i="25"/>
  <c r="V333" i="25"/>
  <c r="B333" i="25"/>
  <c r="V332" i="25"/>
  <c r="B332" i="25"/>
  <c r="V331" i="25"/>
  <c r="B331" i="25"/>
  <c r="V330" i="25"/>
  <c r="B330" i="25"/>
  <c r="V329" i="25"/>
  <c r="B329" i="25"/>
  <c r="V328" i="25"/>
  <c r="B328" i="25"/>
  <c r="V327" i="25"/>
  <c r="B327" i="25"/>
  <c r="V326" i="25"/>
  <c r="B326" i="25"/>
  <c r="V325" i="25"/>
  <c r="B325" i="25"/>
  <c r="V324" i="25"/>
  <c r="B324" i="25"/>
  <c r="V323" i="25"/>
  <c r="B323" i="25"/>
  <c r="V322" i="25"/>
  <c r="B322" i="25"/>
  <c r="V321" i="25"/>
  <c r="B321" i="25"/>
  <c r="V320" i="25"/>
  <c r="B320" i="25"/>
  <c r="V319" i="25"/>
  <c r="B319" i="25"/>
  <c r="V318" i="25"/>
  <c r="B318" i="25"/>
  <c r="V317" i="25"/>
  <c r="B317" i="25"/>
  <c r="V316" i="25"/>
  <c r="B316" i="25"/>
  <c r="V315" i="25"/>
  <c r="B315" i="25"/>
  <c r="V314" i="25"/>
  <c r="B314" i="25"/>
  <c r="V313" i="25"/>
  <c r="B313" i="25"/>
  <c r="V312" i="25"/>
  <c r="B312" i="25"/>
  <c r="V311" i="25"/>
  <c r="B311" i="25"/>
  <c r="V310" i="25"/>
  <c r="B310" i="25"/>
  <c r="V309" i="25"/>
  <c r="B309" i="25"/>
  <c r="V308" i="25"/>
  <c r="B308" i="25"/>
  <c r="V307" i="25"/>
  <c r="B307" i="25"/>
  <c r="V306" i="25"/>
  <c r="B306" i="25"/>
  <c r="V305" i="25"/>
  <c r="B305" i="25"/>
  <c r="V304" i="25"/>
  <c r="B304" i="25"/>
  <c r="V303" i="25"/>
  <c r="B303" i="25"/>
  <c r="V302" i="25"/>
  <c r="B302" i="25"/>
  <c r="V301" i="25"/>
  <c r="B301" i="25"/>
  <c r="V300" i="25"/>
  <c r="B300" i="25"/>
  <c r="V299" i="25"/>
  <c r="B299" i="25"/>
  <c r="V298" i="25"/>
  <c r="B298" i="25"/>
  <c r="V297" i="25"/>
  <c r="B297" i="25"/>
  <c r="V296" i="25"/>
  <c r="B296" i="25"/>
  <c r="V295" i="25"/>
  <c r="B295" i="25"/>
  <c r="V294" i="25"/>
  <c r="B294" i="25"/>
  <c r="V293" i="25"/>
  <c r="B293" i="25"/>
  <c r="V292" i="25"/>
  <c r="B292" i="25"/>
  <c r="V291" i="25"/>
  <c r="B291" i="25"/>
  <c r="V290" i="25"/>
  <c r="B290" i="25"/>
  <c r="V289" i="25"/>
  <c r="B289" i="25"/>
  <c r="V288" i="25"/>
  <c r="B288" i="25"/>
  <c r="V287" i="25"/>
  <c r="B287" i="25"/>
  <c r="V286" i="25"/>
  <c r="B286" i="25"/>
  <c r="V285" i="25"/>
  <c r="B285" i="25"/>
  <c r="V284" i="25"/>
  <c r="B284" i="25"/>
  <c r="V283" i="25"/>
  <c r="B283" i="25"/>
  <c r="V282" i="25"/>
  <c r="B282" i="25"/>
  <c r="V281" i="25"/>
  <c r="B281" i="25"/>
  <c r="V280" i="25"/>
  <c r="B280" i="25"/>
  <c r="V279" i="25"/>
  <c r="B279" i="25"/>
  <c r="V278" i="25"/>
  <c r="B278" i="25"/>
  <c r="V277" i="25"/>
  <c r="B277" i="25"/>
  <c r="V276" i="25"/>
  <c r="B276" i="25"/>
  <c r="V275" i="25"/>
  <c r="B275" i="25"/>
  <c r="V274" i="25"/>
  <c r="B274" i="25"/>
  <c r="V273" i="25"/>
  <c r="B273" i="25"/>
  <c r="V272" i="25"/>
  <c r="B272" i="25"/>
  <c r="V271" i="25"/>
  <c r="B271" i="25"/>
  <c r="V270" i="25"/>
  <c r="B270" i="25"/>
  <c r="V269" i="25"/>
  <c r="B269" i="25"/>
  <c r="V268" i="25"/>
  <c r="B268" i="25"/>
  <c r="V267" i="25"/>
  <c r="B267" i="25"/>
  <c r="V266" i="25"/>
  <c r="B266" i="25"/>
  <c r="V265" i="25"/>
  <c r="B265" i="25"/>
  <c r="V264" i="25"/>
  <c r="B264" i="25"/>
  <c r="V263" i="25"/>
  <c r="B263" i="25"/>
  <c r="V262" i="25"/>
  <c r="B262" i="25"/>
  <c r="V261" i="25"/>
  <c r="B261" i="25"/>
  <c r="V260" i="25"/>
  <c r="B260" i="25"/>
  <c r="V259" i="25"/>
  <c r="B259" i="25"/>
  <c r="V258" i="25"/>
  <c r="B258" i="25"/>
  <c r="V257" i="25"/>
  <c r="B257" i="25"/>
  <c r="V256" i="25"/>
  <c r="B256" i="25"/>
  <c r="V255" i="25"/>
  <c r="B255" i="25"/>
  <c r="V254" i="25"/>
  <c r="B254" i="25"/>
  <c r="V253" i="25"/>
  <c r="B253" i="25"/>
  <c r="V252" i="25"/>
  <c r="B252" i="25"/>
  <c r="V251" i="25"/>
  <c r="B251" i="25"/>
  <c r="V250" i="25"/>
  <c r="B250" i="25"/>
  <c r="V249" i="25"/>
  <c r="B249" i="25"/>
  <c r="V248" i="25"/>
  <c r="B248" i="25"/>
  <c r="V247" i="25"/>
  <c r="B247" i="25"/>
  <c r="V246" i="25"/>
  <c r="B246" i="25"/>
  <c r="V245" i="25"/>
  <c r="B245" i="25"/>
  <c r="V244" i="25"/>
  <c r="B244" i="25"/>
  <c r="V243" i="25"/>
  <c r="B243" i="25"/>
  <c r="V242" i="25"/>
  <c r="B242" i="25"/>
  <c r="V241" i="25"/>
  <c r="B241" i="25"/>
  <c r="V240" i="25"/>
  <c r="B240" i="25"/>
  <c r="V239" i="25"/>
  <c r="B239" i="25"/>
  <c r="V238" i="25"/>
  <c r="B238" i="25"/>
  <c r="V237" i="25"/>
  <c r="B237" i="25"/>
  <c r="V236" i="25"/>
  <c r="B236" i="25"/>
  <c r="V235" i="25"/>
  <c r="B235" i="25"/>
  <c r="V234" i="25"/>
  <c r="B234" i="25"/>
  <c r="V233" i="25"/>
  <c r="B233" i="25"/>
  <c r="V232" i="25"/>
  <c r="B232" i="25"/>
  <c r="V231" i="25"/>
  <c r="B231" i="25"/>
  <c r="V230" i="25"/>
  <c r="B230" i="25"/>
  <c r="V229" i="25"/>
  <c r="B229" i="25"/>
  <c r="V228" i="25"/>
  <c r="B228" i="25"/>
  <c r="V227" i="25"/>
  <c r="B227" i="25"/>
  <c r="V226" i="25"/>
  <c r="B226" i="25"/>
  <c r="V225" i="25"/>
  <c r="B225" i="25"/>
  <c r="V224" i="25"/>
  <c r="B224" i="25"/>
  <c r="V223" i="25"/>
  <c r="B223" i="25"/>
  <c r="V222" i="25"/>
  <c r="B222" i="25"/>
  <c r="V221" i="25"/>
  <c r="B221" i="25"/>
  <c r="V220" i="25"/>
  <c r="B220" i="25"/>
  <c r="V219" i="25"/>
  <c r="B219" i="25"/>
  <c r="V218" i="25"/>
  <c r="B218" i="25"/>
  <c r="V217" i="25"/>
  <c r="B217" i="25"/>
  <c r="V216" i="25"/>
  <c r="B216" i="25"/>
  <c r="V215" i="25"/>
  <c r="B215" i="25"/>
  <c r="V214" i="25"/>
  <c r="B214" i="25"/>
  <c r="V213" i="25"/>
  <c r="B213" i="25"/>
  <c r="V212" i="25"/>
  <c r="B212" i="25"/>
  <c r="V211" i="25"/>
  <c r="B211" i="25"/>
  <c r="V210" i="25"/>
  <c r="B210" i="25"/>
  <c r="V209" i="25"/>
  <c r="B209" i="25"/>
  <c r="V208" i="25"/>
  <c r="B208" i="25"/>
  <c r="V207" i="25"/>
  <c r="B207" i="25"/>
  <c r="V206" i="25"/>
  <c r="B206" i="25"/>
  <c r="V205" i="25"/>
  <c r="B205" i="25"/>
  <c r="V204" i="25"/>
  <c r="B204" i="25"/>
  <c r="V203" i="25"/>
  <c r="B203" i="25"/>
  <c r="V202" i="25"/>
  <c r="B202" i="25"/>
  <c r="V201" i="25"/>
  <c r="B201" i="25"/>
  <c r="V200" i="25"/>
  <c r="B200" i="25"/>
  <c r="V199" i="25"/>
  <c r="B199" i="25"/>
  <c r="V198" i="25"/>
  <c r="B198" i="25"/>
  <c r="V197" i="25"/>
  <c r="B197" i="25"/>
  <c r="V196" i="25"/>
  <c r="B196" i="25"/>
  <c r="V195" i="25"/>
  <c r="B195" i="25"/>
  <c r="V194" i="25"/>
  <c r="B194" i="25"/>
  <c r="V193" i="25"/>
  <c r="B193" i="25"/>
  <c r="V192" i="25"/>
  <c r="B192" i="25"/>
  <c r="V191" i="25"/>
  <c r="B191" i="25"/>
  <c r="V190" i="25"/>
  <c r="B190" i="25"/>
  <c r="V189" i="25"/>
  <c r="B189" i="25"/>
  <c r="V188" i="25"/>
  <c r="B188" i="25"/>
  <c r="V187" i="25"/>
  <c r="B187" i="25"/>
  <c r="V186" i="25"/>
  <c r="B186" i="25"/>
  <c r="V185" i="25"/>
  <c r="B185" i="25"/>
  <c r="V184" i="25"/>
  <c r="B184" i="25"/>
  <c r="V183" i="25"/>
  <c r="B183" i="25"/>
  <c r="V182" i="25"/>
  <c r="B182" i="25"/>
  <c r="V181" i="25"/>
  <c r="B181" i="25"/>
  <c r="V180" i="25"/>
  <c r="B180" i="25"/>
  <c r="V179" i="25"/>
  <c r="B179" i="25"/>
  <c r="V178" i="25"/>
  <c r="B178" i="25"/>
  <c r="V177" i="25"/>
  <c r="B177" i="25"/>
  <c r="V176" i="25"/>
  <c r="B176" i="25"/>
  <c r="V175" i="25"/>
  <c r="B175" i="25"/>
  <c r="V174" i="25"/>
  <c r="B174" i="25"/>
  <c r="V173" i="25"/>
  <c r="B173" i="25"/>
  <c r="V172" i="25"/>
  <c r="B172" i="25"/>
  <c r="V171" i="25"/>
  <c r="B171" i="25"/>
  <c r="V170" i="25"/>
  <c r="B170" i="25"/>
  <c r="V169" i="25"/>
  <c r="B169" i="25"/>
  <c r="V168" i="25"/>
  <c r="B168" i="25"/>
  <c r="V167" i="25"/>
  <c r="B167" i="25"/>
  <c r="V166" i="25"/>
  <c r="B166" i="25"/>
  <c r="V165" i="25"/>
  <c r="B165" i="25"/>
  <c r="V164" i="25"/>
  <c r="B164" i="25"/>
  <c r="V163" i="25"/>
  <c r="B163" i="25"/>
  <c r="V162" i="25"/>
  <c r="B162" i="25"/>
  <c r="V161" i="25"/>
  <c r="B161" i="25"/>
  <c r="V160" i="25"/>
  <c r="B160" i="25"/>
  <c r="V159" i="25"/>
  <c r="B159" i="25"/>
  <c r="V158" i="25"/>
  <c r="B158" i="25"/>
  <c r="V157" i="25"/>
  <c r="B157" i="25"/>
  <c r="V156" i="25"/>
  <c r="B156" i="25"/>
  <c r="V155" i="25"/>
  <c r="B155" i="25"/>
  <c r="V154" i="25"/>
  <c r="B154" i="25"/>
  <c r="V153" i="25"/>
  <c r="B153" i="25"/>
  <c r="V152" i="25"/>
  <c r="B152" i="25"/>
  <c r="V151" i="25"/>
  <c r="B151" i="25"/>
  <c r="V150" i="25"/>
  <c r="B150" i="25"/>
  <c r="V149" i="25"/>
  <c r="B149" i="25"/>
  <c r="V148" i="25"/>
  <c r="B148" i="25"/>
  <c r="V147" i="25"/>
  <c r="B147" i="25"/>
  <c r="V146" i="25"/>
  <c r="B146" i="25"/>
  <c r="V145" i="25"/>
  <c r="B145" i="25"/>
  <c r="V144" i="25"/>
  <c r="B144" i="25"/>
  <c r="V143" i="25"/>
  <c r="B143" i="25"/>
  <c r="V142" i="25"/>
  <c r="B142" i="25"/>
  <c r="V141" i="25"/>
  <c r="B141" i="25"/>
  <c r="V140" i="25"/>
  <c r="B140" i="25"/>
  <c r="V139" i="25"/>
  <c r="B139" i="25"/>
  <c r="V138" i="25"/>
  <c r="B138" i="25"/>
  <c r="V137" i="25"/>
  <c r="B137" i="25"/>
  <c r="V136" i="25"/>
  <c r="B136" i="25"/>
  <c r="V135" i="25"/>
  <c r="B135" i="25"/>
  <c r="V134" i="25"/>
  <c r="B134" i="25"/>
  <c r="V133" i="25"/>
  <c r="B133" i="25"/>
  <c r="V132" i="25"/>
  <c r="B132" i="25"/>
  <c r="V131" i="25"/>
  <c r="B131" i="25"/>
  <c r="V130" i="25"/>
  <c r="B130" i="25"/>
  <c r="V129" i="25"/>
  <c r="B129" i="25"/>
  <c r="V128" i="25"/>
  <c r="B128" i="25"/>
  <c r="V127" i="25"/>
  <c r="B127" i="25"/>
  <c r="V126" i="25"/>
  <c r="B126" i="25"/>
  <c r="V125" i="25"/>
  <c r="B125" i="25"/>
  <c r="V124" i="25"/>
  <c r="B124" i="25"/>
  <c r="V123" i="25"/>
  <c r="B123" i="25"/>
  <c r="V122" i="25"/>
  <c r="B122" i="25"/>
  <c r="V121" i="25"/>
  <c r="B121" i="25"/>
  <c r="V120" i="25"/>
  <c r="B120" i="25"/>
  <c r="V119" i="25"/>
  <c r="B119" i="25"/>
  <c r="V118" i="25"/>
  <c r="B118" i="25"/>
  <c r="V117" i="25"/>
  <c r="B117" i="25"/>
  <c r="V116" i="25"/>
  <c r="B116" i="25"/>
  <c r="V115" i="25"/>
  <c r="B115" i="25"/>
  <c r="V114" i="25"/>
  <c r="B114" i="25"/>
  <c r="V113" i="25"/>
  <c r="B113" i="25"/>
  <c r="V112" i="25"/>
  <c r="B112" i="25"/>
  <c r="V111" i="25"/>
  <c r="B111" i="25"/>
  <c r="V110" i="25"/>
  <c r="B110" i="25"/>
  <c r="V109" i="25"/>
  <c r="B109" i="25"/>
  <c r="V108" i="25"/>
  <c r="B108" i="25"/>
  <c r="V107" i="25"/>
  <c r="B107" i="25"/>
  <c r="V106" i="25"/>
  <c r="B106" i="25"/>
  <c r="V105" i="25"/>
  <c r="B105" i="25"/>
  <c r="V104" i="25"/>
  <c r="B104" i="25"/>
  <c r="V103" i="25"/>
  <c r="B103" i="25"/>
  <c r="V102" i="25"/>
  <c r="B102" i="25"/>
  <c r="V101" i="25"/>
  <c r="B101" i="25"/>
  <c r="V100" i="25"/>
  <c r="B100" i="25"/>
  <c r="V99" i="25"/>
  <c r="B99" i="25"/>
  <c r="V98" i="25"/>
  <c r="B98" i="25"/>
  <c r="V97" i="25"/>
  <c r="B97" i="25"/>
  <c r="V96" i="25"/>
  <c r="B96" i="25"/>
  <c r="V95" i="25"/>
  <c r="B95" i="25"/>
  <c r="V94" i="25"/>
  <c r="B94" i="25"/>
  <c r="V93" i="25"/>
  <c r="B93" i="25"/>
  <c r="V92" i="25"/>
  <c r="B92" i="25"/>
  <c r="V91" i="25"/>
  <c r="B91" i="25"/>
  <c r="V90" i="25"/>
  <c r="B90" i="25"/>
  <c r="V89" i="25"/>
  <c r="B89" i="25"/>
  <c r="V88" i="25"/>
  <c r="B88" i="25"/>
  <c r="V87" i="25"/>
  <c r="B87" i="25"/>
  <c r="V86" i="25"/>
  <c r="B86" i="25"/>
  <c r="V85" i="25"/>
  <c r="B85" i="25"/>
  <c r="V84" i="25"/>
  <c r="B84" i="25"/>
  <c r="V83" i="25"/>
  <c r="B83" i="25"/>
  <c r="V82" i="25"/>
  <c r="B82" i="25"/>
  <c r="V81" i="25"/>
  <c r="B81" i="25"/>
  <c r="V80" i="25"/>
  <c r="B80" i="25"/>
  <c r="V79" i="25"/>
  <c r="B79" i="25"/>
  <c r="V78" i="25"/>
  <c r="B78" i="25"/>
  <c r="V77" i="25"/>
  <c r="B77" i="25"/>
  <c r="V76" i="25"/>
  <c r="B76" i="25"/>
  <c r="V75" i="25"/>
  <c r="B75" i="25"/>
  <c r="V74" i="25"/>
  <c r="B74" i="25"/>
  <c r="V73" i="25"/>
  <c r="B73" i="25"/>
  <c r="V72" i="25"/>
  <c r="B72" i="25"/>
  <c r="V71" i="25"/>
  <c r="B71" i="25"/>
  <c r="V70" i="25"/>
  <c r="B70" i="25"/>
  <c r="V69" i="25"/>
  <c r="B69" i="25"/>
  <c r="V68" i="25"/>
  <c r="B68" i="25"/>
  <c r="V67" i="25"/>
  <c r="B67" i="25"/>
  <c r="V66" i="25"/>
  <c r="B66" i="25"/>
  <c r="V65" i="25"/>
  <c r="B65" i="25"/>
  <c r="V64" i="25"/>
  <c r="B64" i="25"/>
  <c r="V63" i="25"/>
  <c r="B63" i="25"/>
  <c r="V62" i="25"/>
  <c r="B62" i="25"/>
  <c r="V61" i="25"/>
  <c r="B61" i="25"/>
  <c r="V60" i="25"/>
  <c r="B60" i="25"/>
  <c r="V59" i="25"/>
  <c r="B59" i="25"/>
  <c r="V58" i="25"/>
  <c r="B58" i="25"/>
  <c r="V57" i="25"/>
  <c r="B57" i="25"/>
  <c r="V56" i="25"/>
  <c r="B56" i="25"/>
  <c r="V55" i="25"/>
  <c r="B55" i="25"/>
  <c r="V54" i="25"/>
  <c r="B54" i="25"/>
  <c r="V53" i="25"/>
  <c r="B53" i="25"/>
  <c r="V52" i="25"/>
  <c r="B52" i="25"/>
  <c r="V51" i="25"/>
  <c r="B51" i="25"/>
  <c r="V50" i="25"/>
  <c r="B50" i="25"/>
  <c r="V49" i="25"/>
  <c r="B49" i="25"/>
  <c r="V48" i="25"/>
  <c r="B48" i="25"/>
  <c r="V47" i="25"/>
  <c r="B47" i="25"/>
  <c r="V46" i="25"/>
  <c r="B46" i="25"/>
  <c r="V45" i="25"/>
  <c r="B45" i="25"/>
  <c r="V44" i="25"/>
  <c r="B44" i="25"/>
  <c r="V43" i="25"/>
  <c r="B43" i="25"/>
  <c r="V42" i="25"/>
  <c r="B42" i="25"/>
  <c r="V41" i="25"/>
  <c r="B41" i="25"/>
  <c r="V40" i="25"/>
  <c r="B40" i="25"/>
  <c r="V39" i="25"/>
  <c r="B39" i="25"/>
  <c r="V38" i="25"/>
  <c r="B38" i="25"/>
  <c r="V37" i="25"/>
  <c r="B37" i="25"/>
  <c r="V36" i="25"/>
  <c r="B36" i="25"/>
  <c r="V35" i="25"/>
  <c r="B35" i="25"/>
  <c r="V34" i="25"/>
  <c r="B34" i="25"/>
  <c r="V33" i="25"/>
  <c r="B33" i="25"/>
  <c r="V32" i="25"/>
  <c r="B32" i="25"/>
  <c r="V31" i="25"/>
  <c r="B31" i="25"/>
  <c r="V30" i="25"/>
  <c r="B30" i="25"/>
  <c r="V29" i="25"/>
  <c r="B29" i="25"/>
  <c r="V28" i="25"/>
  <c r="B28" i="25"/>
  <c r="V27" i="25"/>
  <c r="B27" i="25"/>
  <c r="V26" i="25"/>
  <c r="B26" i="25"/>
  <c r="V25" i="25"/>
  <c r="B25" i="25"/>
  <c r="V24" i="25"/>
  <c r="B24" i="25"/>
  <c r="V23" i="25"/>
  <c r="B23" i="25"/>
  <c r="V22" i="25"/>
  <c r="B22" i="25"/>
  <c r="V21" i="25"/>
  <c r="B21" i="25"/>
  <c r="V20" i="25"/>
  <c r="B20" i="25"/>
  <c r="V19" i="25"/>
  <c r="B19" i="25"/>
  <c r="V18" i="25"/>
  <c r="B18" i="25"/>
  <c r="V17" i="25"/>
  <c r="B17" i="25"/>
  <c r="V16" i="25"/>
  <c r="B16" i="25"/>
  <c r="V15" i="25"/>
  <c r="B15" i="25"/>
  <c r="V14" i="25"/>
  <c r="B14" i="25"/>
  <c r="V13" i="25"/>
  <c r="B13" i="25"/>
  <c r="Q6" i="25"/>
  <c r="I3" i="25"/>
  <c r="D56" i="1"/>
  <c r="U15" i="2"/>
  <c r="B345" i="2" l="1"/>
  <c r="A628" i="25"/>
  <c r="B253" i="2"/>
  <c r="A2" i="19"/>
  <c r="A2" i="24"/>
  <c r="F6" i="24"/>
  <c r="I38" i="16" l="1"/>
  <c r="I37" i="16"/>
  <c r="Z8" i="2"/>
  <c r="K8" i="2"/>
  <c r="A2" i="22"/>
  <c r="D57" i="1"/>
  <c r="B12" i="2" l="1"/>
  <c r="B137" i="2" s="1"/>
  <c r="A53" i="16"/>
  <c r="J11" i="21" l="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363" i="2" l="1"/>
  <c r="D299" i="2"/>
  <c r="B52" i="23" s="1"/>
  <c r="B299" i="2"/>
  <c r="B42" i="23" s="1"/>
  <c r="B55" i="23"/>
  <c r="D305" i="2"/>
  <c r="B54" i="23" s="1"/>
  <c r="T109" i="23"/>
  <c r="T108" i="23"/>
  <c r="T107" i="23"/>
  <c r="T106" i="23"/>
  <c r="T105" i="23"/>
  <c r="T104" i="23"/>
  <c r="T103" i="23"/>
  <c r="T102" i="23"/>
  <c r="T101" i="23"/>
  <c r="T100" i="23"/>
  <c r="T99" i="23"/>
  <c r="T98" i="23"/>
  <c r="T97" i="23"/>
  <c r="T96" i="23"/>
  <c r="T95" i="23"/>
  <c r="T94" i="23"/>
  <c r="T93" i="23"/>
  <c r="T92" i="23"/>
  <c r="T91" i="23"/>
  <c r="T90" i="23"/>
  <c r="T89" i="23"/>
  <c r="T88" i="23"/>
  <c r="T87" i="23"/>
  <c r="T86" i="23"/>
  <c r="T85" i="23"/>
  <c r="T84" i="23"/>
  <c r="T83" i="23"/>
  <c r="T82" i="23"/>
  <c r="T81" i="23"/>
  <c r="T80" i="23"/>
  <c r="T79" i="23"/>
  <c r="T78" i="23"/>
  <c r="T77" i="23"/>
  <c r="T76" i="23"/>
  <c r="T75" i="23"/>
  <c r="T74" i="23"/>
  <c r="T73" i="23"/>
  <c r="T72" i="23"/>
  <c r="T71" i="23"/>
  <c r="T70" i="23"/>
  <c r="T69" i="23"/>
  <c r="T68" i="23"/>
  <c r="T67" i="23"/>
  <c r="T66" i="23"/>
  <c r="T65" i="23"/>
  <c r="T64" i="23"/>
  <c r="T63" i="23"/>
  <c r="T62" i="23"/>
  <c r="T61" i="23"/>
  <c r="T60" i="23"/>
  <c r="B60" i="23"/>
  <c r="T59" i="23"/>
  <c r="T58" i="23"/>
  <c r="T57" i="23"/>
  <c r="T56" i="23"/>
  <c r="T55" i="23"/>
  <c r="T54" i="23"/>
  <c r="T53" i="23"/>
  <c r="T52" i="23"/>
  <c r="T51" i="23"/>
  <c r="T50" i="23"/>
  <c r="T49" i="23"/>
  <c r="T48" i="23"/>
  <c r="T47" i="23"/>
  <c r="T46" i="23"/>
  <c r="T45" i="23"/>
  <c r="T44" i="23"/>
  <c r="T43" i="23"/>
  <c r="T42" i="23"/>
  <c r="T41" i="23"/>
  <c r="T40" i="23"/>
  <c r="T39" i="23"/>
  <c r="T38" i="23"/>
  <c r="T37" i="23"/>
  <c r="T36" i="23"/>
  <c r="T35" i="23"/>
  <c r="B35" i="23"/>
  <c r="T34" i="23"/>
  <c r="T33" i="23"/>
  <c r="B33" i="23"/>
  <c r="T32" i="23"/>
  <c r="T31" i="23"/>
  <c r="T30" i="23"/>
  <c r="B30" i="23"/>
  <c r="T29" i="23"/>
  <c r="T28" i="23"/>
  <c r="B28" i="23"/>
  <c r="T27" i="23"/>
  <c r="B27" i="23"/>
  <c r="T26" i="23"/>
  <c r="T25" i="23"/>
  <c r="T24" i="23"/>
  <c r="T23" i="23"/>
  <c r="T22" i="23"/>
  <c r="T21" i="23"/>
  <c r="B21" i="23"/>
  <c r="T20" i="23"/>
  <c r="T19" i="23"/>
  <c r="T18" i="23"/>
  <c r="T17" i="23"/>
  <c r="T16" i="23"/>
  <c r="B16" i="23"/>
  <c r="T15" i="23"/>
  <c r="B15" i="23"/>
  <c r="T14" i="23"/>
  <c r="T13" i="23"/>
  <c r="T12" i="23"/>
  <c r="T11" i="23"/>
  <c r="T10" i="23"/>
  <c r="T9" i="23"/>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D238" i="2"/>
  <c r="N12" i="8" s="1"/>
  <c r="O12" i="8" s="1"/>
  <c r="D224" i="2"/>
  <c r="B11" i="2"/>
  <c r="K63" i="1"/>
  <c r="U13" i="2"/>
  <c r="B166" i="2"/>
  <c r="B167" i="2" s="1"/>
  <c r="N17" i="8" s="1"/>
  <c r="D126" i="2"/>
  <c r="B25" i="23" s="1"/>
  <c r="D122" i="2"/>
  <c r="B24" i="23" s="1"/>
  <c r="D116" i="2"/>
  <c r="D118" i="2" s="1"/>
  <c r="D77" i="2"/>
  <c r="D47" i="2"/>
  <c r="D46" i="2"/>
  <c r="B14" i="2"/>
  <c r="B13" i="2"/>
  <c r="D188" i="2" l="1"/>
  <c r="C59" i="16"/>
  <c r="I49" i="16"/>
  <c r="I70" i="16"/>
  <c r="J49" i="16"/>
  <c r="I69" i="16"/>
  <c r="C69" i="16"/>
  <c r="D69" i="16" s="1"/>
  <c r="J48" i="16"/>
  <c r="H70" i="16"/>
  <c r="I48" i="16"/>
  <c r="H69" i="16"/>
  <c r="J63" i="16"/>
  <c r="J70" i="16"/>
  <c r="H63" i="16"/>
  <c r="H49" i="16"/>
  <c r="H48" i="16"/>
  <c r="I63" i="16"/>
  <c r="I61" i="16"/>
  <c r="J69" i="16"/>
  <c r="AU9" i="23"/>
  <c r="K9" i="2"/>
  <c r="D386" i="2"/>
  <c r="D343" i="2"/>
  <c r="C355" i="2"/>
  <c r="C353" i="2"/>
  <c r="C354" i="2"/>
  <c r="C382" i="2"/>
  <c r="C381" i="2"/>
  <c r="Z9" i="2"/>
  <c r="D345" i="2"/>
  <c r="D339" i="2"/>
  <c r="I80" i="1"/>
  <c r="F80" i="1"/>
  <c r="E96" i="1"/>
  <c r="F96" i="1"/>
  <c r="D58" i="1"/>
  <c r="B18" i="2"/>
  <c r="D183" i="2"/>
  <c r="D207" i="2" s="1"/>
  <c r="F3" i="25" s="1"/>
  <c r="I88" i="21"/>
  <c r="B18" i="23"/>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D72" i="2"/>
  <c r="B19" i="23"/>
  <c r="I109" i="23"/>
  <c r="I108" i="23"/>
  <c r="I107" i="23"/>
  <c r="I106" i="23"/>
  <c r="I105" i="23"/>
  <c r="I104" i="23"/>
  <c r="I103" i="23"/>
  <c r="I102" i="23"/>
  <c r="I101" i="23"/>
  <c r="I100" i="23"/>
  <c r="I99" i="23"/>
  <c r="I98" i="23"/>
  <c r="I97" i="23"/>
  <c r="I96" i="23"/>
  <c r="I95" i="23"/>
  <c r="I92" i="23"/>
  <c r="I88" i="23"/>
  <c r="I84" i="23"/>
  <c r="I37" i="23"/>
  <c r="I36" i="23"/>
  <c r="I35" i="23"/>
  <c r="I27" i="23"/>
  <c r="I19" i="23"/>
  <c r="I18" i="23"/>
  <c r="I17" i="23"/>
  <c r="I16" i="23"/>
  <c r="I94" i="23"/>
  <c r="I86" i="23"/>
  <c r="I93" i="23"/>
  <c r="I89" i="23"/>
  <c r="I85" i="23"/>
  <c r="I81" i="23"/>
  <c r="I80" i="23"/>
  <c r="I79" i="23"/>
  <c r="I78" i="23"/>
  <c r="I77" i="23"/>
  <c r="I76" i="23"/>
  <c r="I75" i="23"/>
  <c r="I74" i="23"/>
  <c r="I73" i="23"/>
  <c r="I72" i="23"/>
  <c r="I71" i="23"/>
  <c r="I70" i="23"/>
  <c r="I69" i="23"/>
  <c r="I68" i="23"/>
  <c r="I67" i="23"/>
  <c r="I66" i="23"/>
  <c r="I65" i="23"/>
  <c r="I64" i="23"/>
  <c r="I63" i="23"/>
  <c r="I62" i="23"/>
  <c r="I61" i="23"/>
  <c r="I60" i="23"/>
  <c r="I34" i="23"/>
  <c r="I33" i="23"/>
  <c r="I26" i="23"/>
  <c r="I25" i="23"/>
  <c r="I24" i="23"/>
  <c r="I23" i="23"/>
  <c r="I15" i="23"/>
  <c r="I91" i="23"/>
  <c r="I87" i="23"/>
  <c r="I83" i="23"/>
  <c r="I49" i="23"/>
  <c r="I48" i="23"/>
  <c r="I47" i="23"/>
  <c r="I46" i="23"/>
  <c r="I45" i="23"/>
  <c r="I44" i="23"/>
  <c r="I43" i="23"/>
  <c r="I42" i="23"/>
  <c r="I41" i="23"/>
  <c r="I40" i="23"/>
  <c r="I39" i="23"/>
  <c r="I38" i="23"/>
  <c r="I29" i="23"/>
  <c r="I28" i="23"/>
  <c r="I20" i="23"/>
  <c r="I10" i="23"/>
  <c r="I9" i="23"/>
  <c r="I90" i="23"/>
  <c r="I82" i="23"/>
  <c r="I12" i="23"/>
  <c r="I11" i="23"/>
  <c r="I59" i="23"/>
  <c r="I57" i="23"/>
  <c r="I55" i="23"/>
  <c r="I53" i="23"/>
  <c r="I51" i="23"/>
  <c r="I32" i="23"/>
  <c r="I30" i="23"/>
  <c r="I22" i="23"/>
  <c r="I58" i="23"/>
  <c r="I56" i="23"/>
  <c r="I54" i="23"/>
  <c r="I52" i="23"/>
  <c r="I50" i="23"/>
  <c r="I31" i="23"/>
  <c r="I21" i="23"/>
  <c r="I14" i="23"/>
  <c r="I13" i="23"/>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B12" i="23"/>
  <c r="J12" i="23"/>
  <c r="J16" i="23"/>
  <c r="J20" i="23"/>
  <c r="J24" i="23"/>
  <c r="J28" i="23"/>
  <c r="J32" i="23"/>
  <c r="J36" i="23"/>
  <c r="J40" i="23"/>
  <c r="J44" i="23"/>
  <c r="J48" i="23"/>
  <c r="J14" i="23"/>
  <c r="J19" i="23"/>
  <c r="J25" i="23"/>
  <c r="J30" i="23"/>
  <c r="J35" i="23"/>
  <c r="J41" i="23"/>
  <c r="J46" i="23"/>
  <c r="J51" i="23"/>
  <c r="J55" i="23"/>
  <c r="J59" i="23"/>
  <c r="J63" i="23"/>
  <c r="J67" i="23"/>
  <c r="J71" i="23"/>
  <c r="J75" i="23"/>
  <c r="J79" i="23"/>
  <c r="J83" i="23"/>
  <c r="J87" i="23"/>
  <c r="J91" i="23"/>
  <c r="J95" i="23"/>
  <c r="J99" i="23"/>
  <c r="J103" i="23"/>
  <c r="J107" i="23"/>
  <c r="J18" i="23"/>
  <c r="J29" i="23"/>
  <c r="J39" i="23"/>
  <c r="J50" i="23"/>
  <c r="J58" i="23"/>
  <c r="J70" i="23"/>
  <c r="J74" i="23"/>
  <c r="J86" i="23"/>
  <c r="J94" i="23"/>
  <c r="J102" i="23"/>
  <c r="J15" i="23"/>
  <c r="J21" i="23"/>
  <c r="J26" i="23"/>
  <c r="J31" i="23"/>
  <c r="J37" i="23"/>
  <c r="J42" i="23"/>
  <c r="J47" i="23"/>
  <c r="J52" i="23"/>
  <c r="J56" i="23"/>
  <c r="J60" i="23"/>
  <c r="J64" i="23"/>
  <c r="J68" i="23"/>
  <c r="J72" i="23"/>
  <c r="J76" i="23"/>
  <c r="J80" i="23"/>
  <c r="J84" i="23"/>
  <c r="J88" i="23"/>
  <c r="J92" i="23"/>
  <c r="J96" i="23"/>
  <c r="J100" i="23"/>
  <c r="J104" i="23"/>
  <c r="J108" i="23"/>
  <c r="B14" i="23"/>
  <c r="J13" i="23"/>
  <c r="J34" i="23"/>
  <c r="J45" i="23"/>
  <c r="J62" i="23"/>
  <c r="J82" i="23"/>
  <c r="J98" i="23"/>
  <c r="J10" i="23"/>
  <c r="J11" i="23"/>
  <c r="J17" i="23"/>
  <c r="J22" i="23"/>
  <c r="J27" i="23"/>
  <c r="J33" i="23"/>
  <c r="J38" i="23"/>
  <c r="J43" i="23"/>
  <c r="J49" i="23"/>
  <c r="J53" i="23"/>
  <c r="J57" i="23"/>
  <c r="J61" i="23"/>
  <c r="J65" i="23"/>
  <c r="J69" i="23"/>
  <c r="J73" i="23"/>
  <c r="J77" i="23"/>
  <c r="J81" i="23"/>
  <c r="J85" i="23"/>
  <c r="J89" i="23"/>
  <c r="J93" i="23"/>
  <c r="J97" i="23"/>
  <c r="J101" i="23"/>
  <c r="J105" i="23"/>
  <c r="J109" i="23"/>
  <c r="J23" i="23"/>
  <c r="J54" i="23"/>
  <c r="J66" i="23"/>
  <c r="J78" i="23"/>
  <c r="J90" i="23"/>
  <c r="J106" i="23"/>
  <c r="L21" i="2"/>
  <c r="D221" i="2"/>
  <c r="D239" i="2"/>
  <c r="N13" i="8" s="1"/>
  <c r="O13" i="8" s="1"/>
  <c r="D240" i="2" s="1"/>
  <c r="J66" i="1" s="1"/>
  <c r="D61" i="1"/>
  <c r="D64" i="1"/>
  <c r="D206" i="2"/>
  <c r="C3" i="25" s="1"/>
  <c r="D63" i="1"/>
  <c r="D62" i="1"/>
  <c r="K66" i="1"/>
  <c r="L16" i="2"/>
  <c r="D33" i="1"/>
  <c r="D36" i="1"/>
  <c r="D34" i="1"/>
  <c r="D37" i="1"/>
  <c r="G3" i="8"/>
  <c r="D95" i="2"/>
  <c r="J20" i="1" s="1"/>
  <c r="B17" i="2"/>
  <c r="D214" i="2" s="1"/>
  <c r="C70" i="16" l="1"/>
  <c r="D70" i="16" s="1"/>
  <c r="AU13" i="23"/>
  <c r="AU29" i="23"/>
  <c r="AU106" i="23"/>
  <c r="AU78" i="23"/>
  <c r="AU93" i="23"/>
  <c r="AU61" i="23"/>
  <c r="AU22" i="23"/>
  <c r="AU34" i="23"/>
  <c r="AU88" i="23"/>
  <c r="AU56" i="23"/>
  <c r="AU15" i="23"/>
  <c r="AU39" i="23"/>
  <c r="AU87" i="23"/>
  <c r="AU55" i="23"/>
  <c r="AU14" i="23"/>
  <c r="AU20" i="23"/>
  <c r="AU66" i="23"/>
  <c r="AU83" i="23"/>
  <c r="AU54" i="23"/>
  <c r="AU53" i="23"/>
  <c r="AU80" i="23"/>
  <c r="AU47" i="23"/>
  <c r="AU94" i="23"/>
  <c r="AU18" i="23"/>
  <c r="AU79" i="23"/>
  <c r="AU46" i="23"/>
  <c r="AU44" i="23"/>
  <c r="AU12" i="23"/>
  <c r="AU89" i="23"/>
  <c r="AU102" i="23"/>
  <c r="AU85" i="23"/>
  <c r="AU11" i="23"/>
  <c r="AU23" i="23"/>
  <c r="AU81" i="23"/>
  <c r="AU49" i="23"/>
  <c r="AU10" i="23"/>
  <c r="AU108" i="23"/>
  <c r="AU76" i="23"/>
  <c r="AU42" i="23"/>
  <c r="AU86" i="23"/>
  <c r="AU107" i="23"/>
  <c r="AU75" i="23"/>
  <c r="AU41" i="23"/>
  <c r="AU40" i="23"/>
  <c r="AU84" i="23"/>
  <c r="AU48" i="23"/>
  <c r="AU109" i="23"/>
  <c r="AU77" i="23"/>
  <c r="AU43" i="23"/>
  <c r="AU98" i="23"/>
  <c r="AU104" i="23"/>
  <c r="AU72" i="23"/>
  <c r="AU37" i="23"/>
  <c r="AU74" i="23"/>
  <c r="AU103" i="23"/>
  <c r="AU71" i="23"/>
  <c r="AU35" i="23"/>
  <c r="AU36" i="23"/>
  <c r="AU57" i="23"/>
  <c r="AU51" i="23"/>
  <c r="AU105" i="23"/>
  <c r="AU73" i="23"/>
  <c r="AU38" i="23"/>
  <c r="AU82" i="23"/>
  <c r="AU100" i="23"/>
  <c r="AU68" i="23"/>
  <c r="AU31" i="23"/>
  <c r="AU70" i="23"/>
  <c r="AU99" i="23"/>
  <c r="AU67" i="23"/>
  <c r="AU30" i="23"/>
  <c r="AU32" i="23"/>
  <c r="AU52" i="23"/>
  <c r="AU101" i="23"/>
  <c r="AU33" i="23"/>
  <c r="AU62" i="23"/>
  <c r="AU96" i="23"/>
  <c r="AU64" i="23"/>
  <c r="AU26" i="23"/>
  <c r="AU58" i="23"/>
  <c r="AU95" i="23"/>
  <c r="AU63" i="23"/>
  <c r="AU25" i="23"/>
  <c r="AU28" i="23"/>
  <c r="AU17" i="23"/>
  <c r="AU16" i="23"/>
  <c r="AU69" i="23"/>
  <c r="AU90" i="23"/>
  <c r="AU97" i="23"/>
  <c r="AU65" i="23"/>
  <c r="AU27" i="23"/>
  <c r="AU45" i="23"/>
  <c r="AU92" i="23"/>
  <c r="AU60" i="23"/>
  <c r="AU21" i="23"/>
  <c r="AU50" i="23"/>
  <c r="AU91" i="23"/>
  <c r="AU59" i="23"/>
  <c r="AU19" i="23"/>
  <c r="AU24" i="23"/>
  <c r="J62" i="1"/>
  <c r="K3" i="25"/>
  <c r="D66" i="1"/>
  <c r="D65" i="1"/>
  <c r="I66" i="1"/>
  <c r="I65" i="1"/>
  <c r="D225" i="2"/>
  <c r="D364" i="2"/>
  <c r="C362" i="2"/>
  <c r="F55" i="1"/>
  <c r="F56" i="1"/>
  <c r="B73" i="1" l="1"/>
  <c r="D226" i="2"/>
  <c r="I3" i="8" s="1"/>
  <c r="N8" i="8"/>
  <c r="O8" i="8" s="1"/>
  <c r="N34" i="8" s="1"/>
  <c r="B60" i="21"/>
  <c r="B55" i="21"/>
  <c r="B35" i="21"/>
  <c r="B33" i="21"/>
  <c r="B30" i="21"/>
  <c r="B28" i="21"/>
  <c r="B27" i="21"/>
  <c r="B21" i="21"/>
  <c r="B15" i="21"/>
  <c r="B74" i="1" l="1"/>
  <c r="O34" i="8"/>
  <c r="C73" i="1" s="1"/>
  <c r="D311" i="2"/>
  <c r="AM4" i="23" s="1"/>
  <c r="D310" i="2"/>
  <c r="B58" i="23" s="1"/>
  <c r="D307" i="2"/>
  <c r="B56" i="23" s="1"/>
  <c r="D304" i="2"/>
  <c r="B53" i="23" s="1"/>
  <c r="D301" i="2"/>
  <c r="D300" i="2"/>
  <c r="D296" i="2"/>
  <c r="D295" i="2"/>
  <c r="D294" i="2"/>
  <c r="B51" i="23" s="1"/>
  <c r="D292" i="2"/>
  <c r="B49" i="23" s="1"/>
  <c r="D288" i="2"/>
  <c r="D286" i="2"/>
  <c r="D285" i="2"/>
  <c r="B53" i="21" s="1"/>
  <c r="D282" i="2"/>
  <c r="D281" i="2"/>
  <c r="D280" i="2"/>
  <c r="B52" i="21" s="1"/>
  <c r="D277" i="2"/>
  <c r="D276" i="2"/>
  <c r="D275" i="2"/>
  <c r="B51" i="21" s="1"/>
  <c r="D273" i="2"/>
  <c r="B49" i="21" s="1"/>
  <c r="D302" i="2" l="1"/>
  <c r="D283" i="2"/>
  <c r="B59" i="23"/>
  <c r="B54" i="21"/>
  <c r="B56" i="21"/>
  <c r="K128" i="2"/>
  <c r="B300" i="2"/>
  <c r="B43" i="23" s="1"/>
  <c r="B301" i="2"/>
  <c r="B295" i="2"/>
  <c r="B40" i="23" s="1"/>
  <c r="B296" i="2"/>
  <c r="B41" i="23" s="1"/>
  <c r="B350" i="2"/>
  <c r="A52" i="16"/>
  <c r="B44" i="23" l="1"/>
  <c r="B302" i="2"/>
  <c r="B337" i="2"/>
  <c r="D230" i="2"/>
  <c r="A337" i="2"/>
  <c r="D336" i="2"/>
  <c r="A339" i="2"/>
  <c r="B346" i="2"/>
  <c r="A345" i="2"/>
  <c r="V13" i="17"/>
  <c r="V14" i="17"/>
  <c r="V15" i="17"/>
  <c r="V16" i="17"/>
  <c r="V17" i="17"/>
  <c r="V18" i="17"/>
  <c r="V19" i="17"/>
  <c r="V20" i="17"/>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206" i="17"/>
  <c r="V207" i="17"/>
  <c r="V208" i="17"/>
  <c r="V209" i="17"/>
  <c r="V210" i="17"/>
  <c r="V211" i="17"/>
  <c r="V212" i="17"/>
  <c r="V213" i="17"/>
  <c r="V214" i="17"/>
  <c r="V215" i="17"/>
  <c r="V216" i="17"/>
  <c r="V217" i="17"/>
  <c r="V218" i="17"/>
  <c r="V219" i="17"/>
  <c r="V220" i="17"/>
  <c r="V221" i="17"/>
  <c r="V222" i="17"/>
  <c r="V223" i="17"/>
  <c r="V224" i="17"/>
  <c r="V225" i="17"/>
  <c r="V226" i="17"/>
  <c r="V227" i="17"/>
  <c r="V228" i="17"/>
  <c r="V229" i="17"/>
  <c r="V230" i="17"/>
  <c r="V231" i="17"/>
  <c r="V232" i="17"/>
  <c r="V233" i="17"/>
  <c r="V234" i="17"/>
  <c r="V235" i="17"/>
  <c r="V236" i="17"/>
  <c r="V237" i="17"/>
  <c r="V238" i="17"/>
  <c r="V239" i="17"/>
  <c r="V240" i="17"/>
  <c r="V241" i="17"/>
  <c r="V242" i="17"/>
  <c r="V243" i="17"/>
  <c r="V244" i="17"/>
  <c r="V245" i="17"/>
  <c r="V246" i="17"/>
  <c r="V247" i="17"/>
  <c r="V248" i="17"/>
  <c r="V249" i="17"/>
  <c r="V250" i="17"/>
  <c r="V251" i="17"/>
  <c r="V252" i="17"/>
  <c r="V253" i="17"/>
  <c r="V254" i="17"/>
  <c r="V255" i="17"/>
  <c r="V256" i="17"/>
  <c r="V257" i="17"/>
  <c r="V258" i="17"/>
  <c r="V259" i="17"/>
  <c r="V260" i="17"/>
  <c r="V261" i="17"/>
  <c r="V262" i="17"/>
  <c r="V263" i="17"/>
  <c r="V264" i="17"/>
  <c r="V265" i="17"/>
  <c r="V266" i="17"/>
  <c r="V267" i="17"/>
  <c r="V268" i="17"/>
  <c r="V269" i="17"/>
  <c r="V270" i="17"/>
  <c r="V271" i="17"/>
  <c r="V272" i="17"/>
  <c r="V273" i="17"/>
  <c r="V274" i="17"/>
  <c r="V275" i="17"/>
  <c r="V276" i="17"/>
  <c r="V277" i="17"/>
  <c r="V278" i="17"/>
  <c r="V279" i="17"/>
  <c r="V280" i="17"/>
  <c r="V281" i="17"/>
  <c r="V282" i="17"/>
  <c r="V283" i="17"/>
  <c r="V284" i="17"/>
  <c r="V285" i="17"/>
  <c r="V286" i="17"/>
  <c r="V287" i="17"/>
  <c r="V288" i="17"/>
  <c r="V289" i="17"/>
  <c r="V290" i="17"/>
  <c r="V291" i="17"/>
  <c r="V292" i="17"/>
  <c r="V293" i="17"/>
  <c r="V294" i="17"/>
  <c r="V295" i="17"/>
  <c r="V296" i="17"/>
  <c r="V297" i="17"/>
  <c r="V298" i="17"/>
  <c r="V299" i="17"/>
  <c r="V300" i="17"/>
  <c r="V301" i="17"/>
  <c r="V302" i="17"/>
  <c r="V303" i="17"/>
  <c r="V304" i="17"/>
  <c r="V305" i="17"/>
  <c r="V306" i="17"/>
  <c r="V307" i="17"/>
  <c r="V308" i="17"/>
  <c r="V309" i="17"/>
  <c r="V310" i="17"/>
  <c r="V311" i="17"/>
  <c r="V312" i="17"/>
  <c r="V313" i="17"/>
  <c r="V314" i="17"/>
  <c r="V315" i="17"/>
  <c r="V316" i="17"/>
  <c r="V317" i="17"/>
  <c r="V318" i="17"/>
  <c r="V319" i="17"/>
  <c r="V320" i="17"/>
  <c r="V321" i="17"/>
  <c r="V322" i="17"/>
  <c r="V323" i="17"/>
  <c r="V324" i="17"/>
  <c r="V325" i="17"/>
  <c r="V326" i="17"/>
  <c r="V327" i="17"/>
  <c r="V328" i="17"/>
  <c r="V329" i="17"/>
  <c r="V330" i="17"/>
  <c r="V331" i="17"/>
  <c r="V332" i="17"/>
  <c r="V333" i="17"/>
  <c r="V334" i="17"/>
  <c r="V335" i="17"/>
  <c r="V336" i="17"/>
  <c r="V337" i="17"/>
  <c r="V338" i="17"/>
  <c r="V339" i="17"/>
  <c r="V340" i="17"/>
  <c r="V341" i="17"/>
  <c r="V342" i="17"/>
  <c r="V343" i="17"/>
  <c r="V344" i="17"/>
  <c r="V345" i="17"/>
  <c r="V346" i="17"/>
  <c r="V347" i="17"/>
  <c r="V348" i="17"/>
  <c r="V349" i="17"/>
  <c r="V350" i="17"/>
  <c r="V351" i="17"/>
  <c r="V352" i="17"/>
  <c r="V353" i="17"/>
  <c r="V354" i="17"/>
  <c r="V355" i="17"/>
  <c r="V356" i="17"/>
  <c r="V357" i="17"/>
  <c r="V358" i="17"/>
  <c r="V359" i="17"/>
  <c r="V360" i="17"/>
  <c r="V361" i="17"/>
  <c r="V362" i="17"/>
  <c r="V363" i="17"/>
  <c r="V364" i="17"/>
  <c r="V365" i="17"/>
  <c r="V366" i="17"/>
  <c r="V367" i="17"/>
  <c r="V368" i="17"/>
  <c r="V369" i="17"/>
  <c r="V370" i="17"/>
  <c r="V371" i="17"/>
  <c r="V372" i="17"/>
  <c r="V373" i="17"/>
  <c r="V374" i="17"/>
  <c r="V375" i="17"/>
  <c r="V376" i="17"/>
  <c r="V377" i="17"/>
  <c r="V378" i="17"/>
  <c r="V379" i="17"/>
  <c r="V380" i="17"/>
  <c r="V381" i="17"/>
  <c r="V382" i="17"/>
  <c r="V383" i="17"/>
  <c r="V384" i="17"/>
  <c r="V385" i="17"/>
  <c r="V386" i="17"/>
  <c r="V387" i="17"/>
  <c r="V388" i="17"/>
  <c r="V389" i="17"/>
  <c r="V390" i="17"/>
  <c r="V391" i="17"/>
  <c r="V392" i="17"/>
  <c r="V393" i="17"/>
  <c r="V394" i="17"/>
  <c r="V395" i="17"/>
  <c r="V396" i="17"/>
  <c r="V397" i="17"/>
  <c r="V398" i="17"/>
  <c r="V399" i="17"/>
  <c r="V400" i="17"/>
  <c r="V401" i="17"/>
  <c r="V402" i="17"/>
  <c r="V403" i="17"/>
  <c r="V404" i="17"/>
  <c r="V405" i="17"/>
  <c r="V406" i="17"/>
  <c r="V407" i="17"/>
  <c r="V408" i="17"/>
  <c r="V409" i="17"/>
  <c r="V410" i="17"/>
  <c r="V411" i="17"/>
  <c r="V412" i="17"/>
  <c r="V413" i="17"/>
  <c r="V414" i="17"/>
  <c r="V415" i="17"/>
  <c r="V416" i="17"/>
  <c r="V417" i="17"/>
  <c r="V418" i="17"/>
  <c r="V419" i="17"/>
  <c r="V420" i="17"/>
  <c r="V421" i="17"/>
  <c r="V422" i="17"/>
  <c r="V423" i="17"/>
  <c r="V424" i="17"/>
  <c r="V425" i="17"/>
  <c r="V426" i="17"/>
  <c r="V427" i="17"/>
  <c r="V428" i="17"/>
  <c r="V429" i="17"/>
  <c r="V430" i="17"/>
  <c r="V431" i="17"/>
  <c r="V432" i="17"/>
  <c r="V433" i="17"/>
  <c r="V434" i="17"/>
  <c r="V435" i="17"/>
  <c r="V436" i="17"/>
  <c r="V437" i="17"/>
  <c r="V438" i="17"/>
  <c r="V439" i="17"/>
  <c r="V440" i="17"/>
  <c r="V441" i="17"/>
  <c r="V442" i="17"/>
  <c r="V443" i="17"/>
  <c r="V444" i="17"/>
  <c r="V445" i="17"/>
  <c r="V446" i="17"/>
  <c r="V447" i="17"/>
  <c r="V448" i="17"/>
  <c r="V449" i="17"/>
  <c r="V450" i="17"/>
  <c r="V451" i="17"/>
  <c r="V452" i="17"/>
  <c r="V453" i="17"/>
  <c r="V454" i="17"/>
  <c r="V455" i="17"/>
  <c r="V456" i="17"/>
  <c r="V457" i="17"/>
  <c r="V458" i="17"/>
  <c r="V459" i="17"/>
  <c r="V460" i="17"/>
  <c r="V461" i="17"/>
  <c r="V462" i="17"/>
  <c r="V463" i="17"/>
  <c r="V464" i="17"/>
  <c r="V465" i="17"/>
  <c r="V466" i="17"/>
  <c r="V467" i="17"/>
  <c r="V468" i="17"/>
  <c r="V469" i="17"/>
  <c r="V470" i="17"/>
  <c r="V471" i="17"/>
  <c r="V472" i="17"/>
  <c r="V473" i="17"/>
  <c r="V474" i="17"/>
  <c r="V475" i="17"/>
  <c r="V476" i="17"/>
  <c r="V477" i="17"/>
  <c r="V478" i="17"/>
  <c r="V479" i="17"/>
  <c r="V480" i="17"/>
  <c r="V481" i="17"/>
  <c r="V482" i="17"/>
  <c r="V483" i="17"/>
  <c r="V484" i="17"/>
  <c r="V485" i="17"/>
  <c r="V486" i="17"/>
  <c r="V487" i="17"/>
  <c r="V488" i="17"/>
  <c r="V489" i="17"/>
  <c r="V490" i="17"/>
  <c r="V491" i="17"/>
  <c r="V492" i="17"/>
  <c r="V493" i="17"/>
  <c r="V494" i="17"/>
  <c r="V495" i="17"/>
  <c r="V496" i="17"/>
  <c r="V497" i="17"/>
  <c r="V498" i="17"/>
  <c r="V499" i="17"/>
  <c r="V500" i="17"/>
  <c r="V501" i="17"/>
  <c r="V502" i="17"/>
  <c r="V503" i="17"/>
  <c r="V504" i="17"/>
  <c r="V505" i="17"/>
  <c r="V506" i="17"/>
  <c r="V507" i="17"/>
  <c r="V508" i="17"/>
  <c r="V509" i="17"/>
  <c r="V510" i="17"/>
  <c r="V511" i="17"/>
  <c r="V512" i="17"/>
  <c r="V513" i="17"/>
  <c r="V514" i="17"/>
  <c r="V515" i="17"/>
  <c r="V516" i="17"/>
  <c r="V517" i="17"/>
  <c r="V518" i="17"/>
  <c r="V519" i="17"/>
  <c r="V520" i="17"/>
  <c r="V521" i="17"/>
  <c r="V522" i="17"/>
  <c r="V523" i="17"/>
  <c r="V524" i="17"/>
  <c r="V525" i="17"/>
  <c r="V526" i="17"/>
  <c r="V527" i="17"/>
  <c r="V528" i="17"/>
  <c r="V529" i="17"/>
  <c r="V530" i="17"/>
  <c r="V531" i="17"/>
  <c r="V532" i="17"/>
  <c r="V533" i="17"/>
  <c r="V534" i="17"/>
  <c r="V535" i="17"/>
  <c r="V536" i="17"/>
  <c r="V537" i="17"/>
  <c r="V538" i="17"/>
  <c r="V539" i="17"/>
  <c r="V540" i="17"/>
  <c r="V541" i="17"/>
  <c r="V542" i="17"/>
  <c r="V543" i="17"/>
  <c r="V544" i="17"/>
  <c r="V545" i="17"/>
  <c r="V546" i="17"/>
  <c r="V547" i="17"/>
  <c r="V548" i="17"/>
  <c r="V549" i="17"/>
  <c r="V550" i="17"/>
  <c r="V551" i="17"/>
  <c r="V552" i="17"/>
  <c r="V553" i="17"/>
  <c r="V554" i="17"/>
  <c r="V555" i="17"/>
  <c r="V556" i="17"/>
  <c r="V557" i="17"/>
  <c r="V558" i="17"/>
  <c r="V559" i="17"/>
  <c r="V560" i="17"/>
  <c r="V561" i="17"/>
  <c r="V562" i="17"/>
  <c r="V563" i="17"/>
  <c r="V564" i="17"/>
  <c r="V565" i="17"/>
  <c r="V566" i="17"/>
  <c r="V567" i="17"/>
  <c r="V568" i="17"/>
  <c r="V569" i="17"/>
  <c r="V570" i="17"/>
  <c r="V571" i="17"/>
  <c r="V572" i="17"/>
  <c r="V573" i="17"/>
  <c r="V574" i="17"/>
  <c r="V575" i="17"/>
  <c r="V576" i="17"/>
  <c r="V577" i="17"/>
  <c r="V578" i="17"/>
  <c r="V579" i="17"/>
  <c r="V580" i="17"/>
  <c r="V581" i="17"/>
  <c r="V582" i="17"/>
  <c r="V583" i="17"/>
  <c r="V584" i="17"/>
  <c r="V585" i="17"/>
  <c r="V586" i="17"/>
  <c r="V587" i="17"/>
  <c r="V588" i="17"/>
  <c r="V589" i="17"/>
  <c r="V590" i="17"/>
  <c r="V591" i="17"/>
  <c r="V592" i="17"/>
  <c r="V593" i="17"/>
  <c r="V594" i="17"/>
  <c r="V595" i="17"/>
  <c r="V596" i="17"/>
  <c r="V597" i="17"/>
  <c r="V598" i="17"/>
  <c r="V599" i="17"/>
  <c r="V600" i="17"/>
  <c r="V601" i="17"/>
  <c r="V602" i="17"/>
  <c r="V603" i="17"/>
  <c r="V604" i="17"/>
  <c r="V605" i="17"/>
  <c r="V606" i="17"/>
  <c r="V607" i="17"/>
  <c r="V608" i="17"/>
  <c r="V609" i="17"/>
  <c r="V610" i="17"/>
  <c r="V611" i="17"/>
  <c r="V612" i="17"/>
  <c r="V613" i="17"/>
  <c r="D353" i="2" l="1"/>
  <c r="E353" i="2"/>
  <c r="C63" i="16" s="1"/>
  <c r="D63" i="16" s="1"/>
  <c r="I3" i="17"/>
  <c r="B359" i="2"/>
  <c r="A359" i="2"/>
  <c r="B203" i="2"/>
  <c r="B218" i="2" s="1"/>
  <c r="B358" i="2" l="1"/>
  <c r="A358" i="2"/>
  <c r="B357" i="2"/>
  <c r="A357" i="2"/>
  <c r="AE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05" i="2"/>
  <c r="Q6" i="17"/>
  <c r="C6" i="17" l="1"/>
  <c r="C6" i="25"/>
  <c r="A341" i="2"/>
  <c r="B175" i="2"/>
  <c r="B176" i="2" s="1"/>
  <c r="H3" i="8" s="1"/>
  <c r="B122" i="2"/>
  <c r="B77" i="2"/>
  <c r="B8" i="2"/>
  <c r="D187" i="2" s="1"/>
  <c r="B9" i="2"/>
  <c r="H625" i="25" l="1"/>
  <c r="H623" i="25"/>
  <c r="G613" i="25"/>
  <c r="G612" i="25"/>
  <c r="G611" i="25"/>
  <c r="G610" i="25"/>
  <c r="G609" i="25"/>
  <c r="G608" i="25"/>
  <c r="G607" i="25"/>
  <c r="G606" i="25"/>
  <c r="G605" i="25"/>
  <c r="G604" i="25"/>
  <c r="G603" i="25"/>
  <c r="G602" i="25"/>
  <c r="G601" i="25"/>
  <c r="G600" i="25"/>
  <c r="G599" i="25"/>
  <c r="G598" i="25"/>
  <c r="G597" i="25"/>
  <c r="G596" i="25"/>
  <c r="G595" i="25"/>
  <c r="G594" i="25"/>
  <c r="G593" i="25"/>
  <c r="G592" i="25"/>
  <c r="G591" i="25"/>
  <c r="G590" i="25"/>
  <c r="G589" i="25"/>
  <c r="G588" i="25"/>
  <c r="G587" i="25"/>
  <c r="G586" i="25"/>
  <c r="G585" i="25"/>
  <c r="G584" i="25"/>
  <c r="G583" i="25"/>
  <c r="G582" i="25"/>
  <c r="G581" i="25"/>
  <c r="G580" i="25"/>
  <c r="G579" i="25"/>
  <c r="G578" i="25"/>
  <c r="G577" i="25"/>
  <c r="G576" i="25"/>
  <c r="G575" i="25"/>
  <c r="G574" i="25"/>
  <c r="G573" i="25"/>
  <c r="G572" i="25"/>
  <c r="G571" i="25"/>
  <c r="G570" i="25"/>
  <c r="G569" i="25"/>
  <c r="G568" i="25"/>
  <c r="G567" i="25"/>
  <c r="G566" i="25"/>
  <c r="G565" i="25"/>
  <c r="G564" i="25"/>
  <c r="G563" i="25"/>
  <c r="G562" i="25"/>
  <c r="G561" i="25"/>
  <c r="G560" i="25"/>
  <c r="G559" i="25"/>
  <c r="G558" i="25"/>
  <c r="G557" i="25"/>
  <c r="G556" i="25"/>
  <c r="G555" i="25"/>
  <c r="G554" i="25"/>
  <c r="G553" i="25"/>
  <c r="G552" i="25"/>
  <c r="G551" i="25"/>
  <c r="G550" i="25"/>
  <c r="G549" i="25"/>
  <c r="G548" i="25"/>
  <c r="G547" i="25"/>
  <c r="G546" i="25"/>
  <c r="G545" i="25"/>
  <c r="G544" i="25"/>
  <c r="G543" i="25"/>
  <c r="G625" i="25"/>
  <c r="G623" i="25"/>
  <c r="G628" i="25"/>
  <c r="G626" i="25"/>
  <c r="G624" i="25"/>
  <c r="H613" i="25"/>
  <c r="H612" i="25"/>
  <c r="H611" i="25"/>
  <c r="H610" i="25"/>
  <c r="H609" i="25"/>
  <c r="H608" i="25"/>
  <c r="H607" i="25"/>
  <c r="H606" i="25"/>
  <c r="H605" i="25"/>
  <c r="H604" i="25"/>
  <c r="H603" i="25"/>
  <c r="H602" i="25"/>
  <c r="H601" i="25"/>
  <c r="H600" i="25"/>
  <c r="H599" i="25"/>
  <c r="H598" i="25"/>
  <c r="H597" i="25"/>
  <c r="H596" i="25"/>
  <c r="H595" i="25"/>
  <c r="H594" i="25"/>
  <c r="H593" i="25"/>
  <c r="H592" i="25"/>
  <c r="H591" i="25"/>
  <c r="H590" i="25"/>
  <c r="H589" i="25"/>
  <c r="H588" i="25"/>
  <c r="H587" i="25"/>
  <c r="H586" i="25"/>
  <c r="H585" i="25"/>
  <c r="H584" i="25"/>
  <c r="H583" i="25"/>
  <c r="H582" i="25"/>
  <c r="H581" i="25"/>
  <c r="H580" i="25"/>
  <c r="H579" i="25"/>
  <c r="H578" i="25"/>
  <c r="H577" i="25"/>
  <c r="H576" i="25"/>
  <c r="H575" i="25"/>
  <c r="H574" i="25"/>
  <c r="H573" i="25"/>
  <c r="H572" i="25"/>
  <c r="H571" i="25"/>
  <c r="H570" i="25"/>
  <c r="H569" i="25"/>
  <c r="H568" i="25"/>
  <c r="H567" i="25"/>
  <c r="H566" i="25"/>
  <c r="H565" i="25"/>
  <c r="H564" i="25"/>
  <c r="H563" i="25"/>
  <c r="H562" i="25"/>
  <c r="H561" i="25"/>
  <c r="H560" i="25"/>
  <c r="H559" i="25"/>
  <c r="H558" i="25"/>
  <c r="H557" i="25"/>
  <c r="H556" i="25"/>
  <c r="H555" i="25"/>
  <c r="H554" i="25"/>
  <c r="H553" i="25"/>
  <c r="H552" i="25"/>
  <c r="H551" i="25"/>
  <c r="H550" i="25"/>
  <c r="H549" i="25"/>
  <c r="H548" i="25"/>
  <c r="H547" i="25"/>
  <c r="H546" i="25"/>
  <c r="H545" i="25"/>
  <c r="H544" i="25"/>
  <c r="H543" i="25"/>
  <c r="H542" i="25"/>
  <c r="H541" i="25"/>
  <c r="H540" i="25"/>
  <c r="H539" i="25"/>
  <c r="H538" i="25"/>
  <c r="H537" i="25"/>
  <c r="G542" i="25"/>
  <c r="G538" i="25"/>
  <c r="H628" i="25"/>
  <c r="G539" i="25"/>
  <c r="H624" i="25"/>
  <c r="G541" i="25"/>
  <c r="G537" i="25"/>
  <c r="G536" i="25"/>
  <c r="G535" i="25"/>
  <c r="G534" i="25"/>
  <c r="G533" i="25"/>
  <c r="G532" i="25"/>
  <c r="G531" i="25"/>
  <c r="G530" i="25"/>
  <c r="G529" i="25"/>
  <c r="G528" i="25"/>
  <c r="G527" i="25"/>
  <c r="G526" i="25"/>
  <c r="G525" i="25"/>
  <c r="G524" i="25"/>
  <c r="G523" i="25"/>
  <c r="G522" i="25"/>
  <c r="G521" i="25"/>
  <c r="G520" i="25"/>
  <c r="G519" i="25"/>
  <c r="G518" i="25"/>
  <c r="G517" i="25"/>
  <c r="G516" i="25"/>
  <c r="G515" i="25"/>
  <c r="G514" i="25"/>
  <c r="G513" i="25"/>
  <c r="G512" i="25"/>
  <c r="G511" i="25"/>
  <c r="G510" i="25"/>
  <c r="G509" i="25"/>
  <c r="G508" i="25"/>
  <c r="G507" i="25"/>
  <c r="G506" i="25"/>
  <c r="G505" i="25"/>
  <c r="G504" i="25"/>
  <c r="G503" i="25"/>
  <c r="G502" i="25"/>
  <c r="G501" i="25"/>
  <c r="G500" i="25"/>
  <c r="G499" i="25"/>
  <c r="G498" i="25"/>
  <c r="G497" i="25"/>
  <c r="G496" i="25"/>
  <c r="G495" i="25"/>
  <c r="G494" i="25"/>
  <c r="G493" i="25"/>
  <c r="G492" i="25"/>
  <c r="G491" i="25"/>
  <c r="G490" i="25"/>
  <c r="G489" i="25"/>
  <c r="G488" i="25"/>
  <c r="G487" i="25"/>
  <c r="G486" i="25"/>
  <c r="G485" i="25"/>
  <c r="G484" i="25"/>
  <c r="G483" i="25"/>
  <c r="G482" i="25"/>
  <c r="G481" i="25"/>
  <c r="G480" i="25"/>
  <c r="G479" i="25"/>
  <c r="G478" i="25"/>
  <c r="G477" i="25"/>
  <c r="G476" i="25"/>
  <c r="G475" i="25"/>
  <c r="G474" i="25"/>
  <c r="G473" i="25"/>
  <c r="G472" i="25"/>
  <c r="G471" i="25"/>
  <c r="G470" i="25"/>
  <c r="G469" i="25"/>
  <c r="G468" i="25"/>
  <c r="G467" i="25"/>
  <c r="G466" i="25"/>
  <c r="G465" i="25"/>
  <c r="G464" i="25"/>
  <c r="G463" i="25"/>
  <c r="G462" i="25"/>
  <c r="G461" i="25"/>
  <c r="G460" i="25"/>
  <c r="G459" i="25"/>
  <c r="G458" i="25"/>
  <c r="G457" i="25"/>
  <c r="G456" i="25"/>
  <c r="G455" i="25"/>
  <c r="G454" i="25"/>
  <c r="G453" i="25"/>
  <c r="G452" i="25"/>
  <c r="G451" i="25"/>
  <c r="G450" i="25"/>
  <c r="G449" i="25"/>
  <c r="G448" i="25"/>
  <c r="G447" i="25"/>
  <c r="G446" i="25"/>
  <c r="G445" i="25"/>
  <c r="G444" i="25"/>
  <c r="G443" i="25"/>
  <c r="G442" i="25"/>
  <c r="G441" i="25"/>
  <c r="G440" i="25"/>
  <c r="G439" i="25"/>
  <c r="G438" i="25"/>
  <c r="G437" i="25"/>
  <c r="G436" i="25"/>
  <c r="G435" i="25"/>
  <c r="G434" i="25"/>
  <c r="G433" i="25"/>
  <c r="G432" i="25"/>
  <c r="G431" i="25"/>
  <c r="G430" i="25"/>
  <c r="G429" i="25"/>
  <c r="G428" i="25"/>
  <c r="G427" i="25"/>
  <c r="G426" i="25"/>
  <c r="G425" i="25"/>
  <c r="G424" i="25"/>
  <c r="G423" i="25"/>
  <c r="G422" i="25"/>
  <c r="G421" i="25"/>
  <c r="G420" i="25"/>
  <c r="G419" i="25"/>
  <c r="G418" i="25"/>
  <c r="G417" i="25"/>
  <c r="G416" i="25"/>
  <c r="G415" i="25"/>
  <c r="G414" i="25"/>
  <c r="G413" i="25"/>
  <c r="G412" i="25"/>
  <c r="G411" i="25"/>
  <c r="G410" i="25"/>
  <c r="G409" i="25"/>
  <c r="G408" i="25"/>
  <c r="G407" i="25"/>
  <c r="G406" i="25"/>
  <c r="G405" i="25"/>
  <c r="G404" i="25"/>
  <c r="G403" i="25"/>
  <c r="G402" i="25"/>
  <c r="G401" i="25"/>
  <c r="G400" i="25"/>
  <c r="G399" i="25"/>
  <c r="G398" i="25"/>
  <c r="G397" i="25"/>
  <c r="G396" i="25"/>
  <c r="G395" i="25"/>
  <c r="G394" i="25"/>
  <c r="G393" i="25"/>
  <c r="G392" i="25"/>
  <c r="G391" i="25"/>
  <c r="G390" i="25"/>
  <c r="G389" i="25"/>
  <c r="G388" i="25"/>
  <c r="G387" i="25"/>
  <c r="G386" i="25"/>
  <c r="G385" i="25"/>
  <c r="G384" i="25"/>
  <c r="G383" i="25"/>
  <c r="G382" i="25"/>
  <c r="G381" i="25"/>
  <c r="G380" i="25"/>
  <c r="G379" i="25"/>
  <c r="G378" i="25"/>
  <c r="G377" i="25"/>
  <c r="G376" i="25"/>
  <c r="G375" i="25"/>
  <c r="G374" i="25"/>
  <c r="G373" i="25"/>
  <c r="G372" i="25"/>
  <c r="G371" i="25"/>
  <c r="G370" i="25"/>
  <c r="H536" i="25"/>
  <c r="H532" i="25"/>
  <c r="H528" i="25"/>
  <c r="H524" i="25"/>
  <c r="H520" i="25"/>
  <c r="H516" i="25"/>
  <c r="H512" i="25"/>
  <c r="H508" i="25"/>
  <c r="H504" i="25"/>
  <c r="H500" i="25"/>
  <c r="H496" i="25"/>
  <c r="H492" i="25"/>
  <c r="H488" i="25"/>
  <c r="H484" i="25"/>
  <c r="H480" i="25"/>
  <c r="H476" i="25"/>
  <c r="H472" i="25"/>
  <c r="H468" i="25"/>
  <c r="H464" i="25"/>
  <c r="H460" i="25"/>
  <c r="H456" i="25"/>
  <c r="H452" i="25"/>
  <c r="H448" i="25"/>
  <c r="H444" i="25"/>
  <c r="H440" i="25"/>
  <c r="H436" i="25"/>
  <c r="H432" i="25"/>
  <c r="H428" i="25"/>
  <c r="H424" i="25"/>
  <c r="H420" i="25"/>
  <c r="H416" i="25"/>
  <c r="H412" i="25"/>
  <c r="H408" i="25"/>
  <c r="H404" i="25"/>
  <c r="H400" i="25"/>
  <c r="H396" i="25"/>
  <c r="H533" i="25"/>
  <c r="H529" i="25"/>
  <c r="H525" i="25"/>
  <c r="H521" i="25"/>
  <c r="H517" i="25"/>
  <c r="H513" i="25"/>
  <c r="H509" i="25"/>
  <c r="H505" i="25"/>
  <c r="H501" i="25"/>
  <c r="H497" i="25"/>
  <c r="H493" i="25"/>
  <c r="H489" i="25"/>
  <c r="H485" i="25"/>
  <c r="H481" i="25"/>
  <c r="H477" i="25"/>
  <c r="H473" i="25"/>
  <c r="H469" i="25"/>
  <c r="H465" i="25"/>
  <c r="H461" i="25"/>
  <c r="H457" i="25"/>
  <c r="H453" i="25"/>
  <c r="H449" i="25"/>
  <c r="H445" i="25"/>
  <c r="H441" i="25"/>
  <c r="H437" i="25"/>
  <c r="H433" i="25"/>
  <c r="H429" i="25"/>
  <c r="H425" i="25"/>
  <c r="H421" i="25"/>
  <c r="H417" i="25"/>
  <c r="H413" i="25"/>
  <c r="H409" i="25"/>
  <c r="H405" i="25"/>
  <c r="H401" i="25"/>
  <c r="H397" i="25"/>
  <c r="H393" i="25"/>
  <c r="H389" i="25"/>
  <c r="H385" i="25"/>
  <c r="H381" i="25"/>
  <c r="H377" i="25"/>
  <c r="H373" i="25"/>
  <c r="H369" i="25"/>
  <c r="H368" i="25"/>
  <c r="H367" i="25"/>
  <c r="H366" i="25"/>
  <c r="H365" i="25"/>
  <c r="H364" i="25"/>
  <c r="H363" i="25"/>
  <c r="H362" i="25"/>
  <c r="H361" i="25"/>
  <c r="H360" i="25"/>
  <c r="H359" i="25"/>
  <c r="H358" i="25"/>
  <c r="H357" i="25"/>
  <c r="H356" i="25"/>
  <c r="H355" i="25"/>
  <c r="H354" i="25"/>
  <c r="H353" i="25"/>
  <c r="H352" i="25"/>
  <c r="H351" i="25"/>
  <c r="H350" i="25"/>
  <c r="H349" i="25"/>
  <c r="H348" i="25"/>
  <c r="H347" i="25"/>
  <c r="H346" i="25"/>
  <c r="H345" i="25"/>
  <c r="H344" i="25"/>
  <c r="H343" i="25"/>
  <c r="H342" i="25"/>
  <c r="H341" i="25"/>
  <c r="H340" i="25"/>
  <c r="H339" i="25"/>
  <c r="H338" i="25"/>
  <c r="H337" i="25"/>
  <c r="H336" i="25"/>
  <c r="H335" i="25"/>
  <c r="H334" i="25"/>
  <c r="H333" i="25"/>
  <c r="H332" i="25"/>
  <c r="H331" i="25"/>
  <c r="H330" i="25"/>
  <c r="H329" i="25"/>
  <c r="H328" i="25"/>
  <c r="H327" i="25"/>
  <c r="H326" i="25"/>
  <c r="H626" i="25"/>
  <c r="G540" i="25"/>
  <c r="H535" i="25"/>
  <c r="H531" i="25"/>
  <c r="H527" i="25"/>
  <c r="H523" i="25"/>
  <c r="H519" i="25"/>
  <c r="H515" i="25"/>
  <c r="H511" i="25"/>
  <c r="H507" i="25"/>
  <c r="H503" i="25"/>
  <c r="H499" i="25"/>
  <c r="H495" i="25"/>
  <c r="H491" i="25"/>
  <c r="H487" i="25"/>
  <c r="H483" i="25"/>
  <c r="H479" i="25"/>
  <c r="H475" i="25"/>
  <c r="H471" i="25"/>
  <c r="H467" i="25"/>
  <c r="H463" i="25"/>
  <c r="H459" i="25"/>
  <c r="H455" i="25"/>
  <c r="H451" i="25"/>
  <c r="H447" i="25"/>
  <c r="H443" i="25"/>
  <c r="H439" i="25"/>
  <c r="H435" i="25"/>
  <c r="H431" i="25"/>
  <c r="H427" i="25"/>
  <c r="H423" i="25"/>
  <c r="H419" i="25"/>
  <c r="H415" i="25"/>
  <c r="H411" i="25"/>
  <c r="H407" i="25"/>
  <c r="H403" i="25"/>
  <c r="H399" i="25"/>
  <c r="H395" i="25"/>
  <c r="H391" i="25"/>
  <c r="H387" i="25"/>
  <c r="H383" i="25"/>
  <c r="H379" i="25"/>
  <c r="H375" i="25"/>
  <c r="H371" i="25"/>
  <c r="H522" i="25"/>
  <c r="H506" i="25"/>
  <c r="H490" i="25"/>
  <c r="H474" i="25"/>
  <c r="H458" i="25"/>
  <c r="H442" i="25"/>
  <c r="H426" i="25"/>
  <c r="H410" i="25"/>
  <c r="H394" i="25"/>
  <c r="H386" i="25"/>
  <c r="H378" i="25"/>
  <c r="H370" i="25"/>
  <c r="G366" i="25"/>
  <c r="G362" i="25"/>
  <c r="G358" i="25"/>
  <c r="G354" i="25"/>
  <c r="G350" i="25"/>
  <c r="G346" i="25"/>
  <c r="G342" i="25"/>
  <c r="G338" i="25"/>
  <c r="G334" i="25"/>
  <c r="G330" i="25"/>
  <c r="G326" i="25"/>
  <c r="G325" i="25"/>
  <c r="G324" i="25"/>
  <c r="G323" i="25"/>
  <c r="G322" i="25"/>
  <c r="G321" i="25"/>
  <c r="G320" i="25"/>
  <c r="G319" i="25"/>
  <c r="G318" i="25"/>
  <c r="G317" i="25"/>
  <c r="G316" i="25"/>
  <c r="G315" i="25"/>
  <c r="G314" i="25"/>
  <c r="G313" i="25"/>
  <c r="G312" i="25"/>
  <c r="G311" i="25"/>
  <c r="G310" i="25"/>
  <c r="G309" i="25"/>
  <c r="G308" i="25"/>
  <c r="G307" i="25"/>
  <c r="G306" i="25"/>
  <c r="G305" i="25"/>
  <c r="G304" i="25"/>
  <c r="G303" i="25"/>
  <c r="G302" i="25"/>
  <c r="G301" i="25"/>
  <c r="G300" i="25"/>
  <c r="G299" i="25"/>
  <c r="G298" i="25"/>
  <c r="G297" i="25"/>
  <c r="G296" i="25"/>
  <c r="G295" i="25"/>
  <c r="G294" i="25"/>
  <c r="G293" i="25"/>
  <c r="G292" i="25"/>
  <c r="G291" i="25"/>
  <c r="G290" i="25"/>
  <c r="G289" i="25"/>
  <c r="G288" i="25"/>
  <c r="G287" i="25"/>
  <c r="G286" i="25"/>
  <c r="G285" i="25"/>
  <c r="G284" i="25"/>
  <c r="G283" i="25"/>
  <c r="G282" i="25"/>
  <c r="G281" i="25"/>
  <c r="G280" i="25"/>
  <c r="G279" i="25"/>
  <c r="G278" i="25"/>
  <c r="G277" i="25"/>
  <c r="G276" i="25"/>
  <c r="G275" i="25"/>
  <c r="G274" i="25"/>
  <c r="G273" i="25"/>
  <c r="G272" i="25"/>
  <c r="G271" i="25"/>
  <c r="G270" i="25"/>
  <c r="G269" i="25"/>
  <c r="G268" i="25"/>
  <c r="G267" i="25"/>
  <c r="G266" i="25"/>
  <c r="G265" i="25"/>
  <c r="G264" i="25"/>
  <c r="H534" i="25"/>
  <c r="H518" i="25"/>
  <c r="H502" i="25"/>
  <c r="H486" i="25"/>
  <c r="H470" i="25"/>
  <c r="H454" i="25"/>
  <c r="H438" i="25"/>
  <c r="H422" i="25"/>
  <c r="H406" i="25"/>
  <c r="H392" i="25"/>
  <c r="H384" i="25"/>
  <c r="H376" i="25"/>
  <c r="G367" i="25"/>
  <c r="G363" i="25"/>
  <c r="G359" i="25"/>
  <c r="G355" i="25"/>
  <c r="G351" i="25"/>
  <c r="G347" i="25"/>
  <c r="G343" i="25"/>
  <c r="G339" i="25"/>
  <c r="G335" i="25"/>
  <c r="G331" i="25"/>
  <c r="G327" i="25"/>
  <c r="H526" i="25"/>
  <c r="H510" i="25"/>
  <c r="H494" i="25"/>
  <c r="H478" i="25"/>
  <c r="H462" i="25"/>
  <c r="H446" i="25"/>
  <c r="H430" i="25"/>
  <c r="H414" i="25"/>
  <c r="H398" i="25"/>
  <c r="H388" i="25"/>
  <c r="H380" i="25"/>
  <c r="H372" i="25"/>
  <c r="G369" i="25"/>
  <c r="G365" i="25"/>
  <c r="G361" i="25"/>
  <c r="G357" i="25"/>
  <c r="G353" i="25"/>
  <c r="G349" i="25"/>
  <c r="G345" i="25"/>
  <c r="G341" i="25"/>
  <c r="G337" i="25"/>
  <c r="G333" i="25"/>
  <c r="G329" i="25"/>
  <c r="H325" i="25"/>
  <c r="H324" i="25"/>
  <c r="H323" i="25"/>
  <c r="H322" i="25"/>
  <c r="H321" i="25"/>
  <c r="H320" i="25"/>
  <c r="H319" i="25"/>
  <c r="H318" i="25"/>
  <c r="H317" i="25"/>
  <c r="H316" i="25"/>
  <c r="H315" i="25"/>
  <c r="H314" i="25"/>
  <c r="H313" i="25"/>
  <c r="H312" i="25"/>
  <c r="H311" i="25"/>
  <c r="H310" i="25"/>
  <c r="H309" i="25"/>
  <c r="H308" i="25"/>
  <c r="H307" i="25"/>
  <c r="H306" i="25"/>
  <c r="H305" i="25"/>
  <c r="H304" i="25"/>
  <c r="H303" i="25"/>
  <c r="H302" i="25"/>
  <c r="H301" i="25"/>
  <c r="H300" i="25"/>
  <c r="H299" i="25"/>
  <c r="H298" i="25"/>
  <c r="H297" i="25"/>
  <c r="H296" i="25"/>
  <c r="H295" i="25"/>
  <c r="H294" i="25"/>
  <c r="H293" i="25"/>
  <c r="H292" i="25"/>
  <c r="H291" i="25"/>
  <c r="H290" i="25"/>
  <c r="H289" i="25"/>
  <c r="H288" i="25"/>
  <c r="H287" i="25"/>
  <c r="H286" i="25"/>
  <c r="H285" i="25"/>
  <c r="H284" i="25"/>
  <c r="H283" i="25"/>
  <c r="H282" i="25"/>
  <c r="H281" i="25"/>
  <c r="H280" i="25"/>
  <c r="H279" i="25"/>
  <c r="H278" i="25"/>
  <c r="H277" i="25"/>
  <c r="H276" i="25"/>
  <c r="H275" i="25"/>
  <c r="H274" i="25"/>
  <c r="H273" i="25"/>
  <c r="H272" i="25"/>
  <c r="H271" i="25"/>
  <c r="H270" i="25"/>
  <c r="H269" i="25"/>
  <c r="H268" i="25"/>
  <c r="H267" i="25"/>
  <c r="H266" i="25"/>
  <c r="H265" i="25"/>
  <c r="H264" i="25"/>
  <c r="H263" i="25"/>
  <c r="H262" i="25"/>
  <c r="H261" i="25"/>
  <c r="H260" i="25"/>
  <c r="H259" i="25"/>
  <c r="H258" i="25"/>
  <c r="H257" i="25"/>
  <c r="H256" i="25"/>
  <c r="H255" i="25"/>
  <c r="H254" i="25"/>
  <c r="H253" i="25"/>
  <c r="H252" i="25"/>
  <c r="H251" i="25"/>
  <c r="H250" i="25"/>
  <c r="H249" i="25"/>
  <c r="H248" i="25"/>
  <c r="H247" i="25"/>
  <c r="H246" i="25"/>
  <c r="H245" i="25"/>
  <c r="H244" i="25"/>
  <c r="H243" i="25"/>
  <c r="H242" i="25"/>
  <c r="H241" i="25"/>
  <c r="H240" i="25"/>
  <c r="H239" i="25"/>
  <c r="H238" i="25"/>
  <c r="H237" i="25"/>
  <c r="H236" i="25"/>
  <c r="H235" i="25"/>
  <c r="H234" i="25"/>
  <c r="H482" i="25"/>
  <c r="H418" i="25"/>
  <c r="H374" i="25"/>
  <c r="G356" i="25"/>
  <c r="G340" i="25"/>
  <c r="G261" i="25"/>
  <c r="G257" i="25"/>
  <c r="G253" i="25"/>
  <c r="G249" i="25"/>
  <c r="G245" i="25"/>
  <c r="G241" i="25"/>
  <c r="G237" i="25"/>
  <c r="H233" i="25"/>
  <c r="H232" i="25"/>
  <c r="H231" i="25"/>
  <c r="H230" i="25"/>
  <c r="H229" i="25"/>
  <c r="H228" i="25"/>
  <c r="H227" i="25"/>
  <c r="H226" i="25"/>
  <c r="H225" i="25"/>
  <c r="H224" i="25"/>
  <c r="H223" i="25"/>
  <c r="H222" i="25"/>
  <c r="H221" i="25"/>
  <c r="H220" i="25"/>
  <c r="H219" i="25"/>
  <c r="H218" i="25"/>
  <c r="H217" i="25"/>
  <c r="H216" i="25"/>
  <c r="H215" i="25"/>
  <c r="H214" i="25"/>
  <c r="H213" i="25"/>
  <c r="H212" i="25"/>
  <c r="H211" i="25"/>
  <c r="H210" i="25"/>
  <c r="H209" i="25"/>
  <c r="H208" i="25"/>
  <c r="H207" i="25"/>
  <c r="H206" i="25"/>
  <c r="H205" i="25"/>
  <c r="H204" i="25"/>
  <c r="H203" i="25"/>
  <c r="H202" i="25"/>
  <c r="H201" i="25"/>
  <c r="H200" i="25"/>
  <c r="H199" i="25"/>
  <c r="H198" i="25"/>
  <c r="H197" i="25"/>
  <c r="H196" i="25"/>
  <c r="H195" i="25"/>
  <c r="H194" i="25"/>
  <c r="H193" i="25"/>
  <c r="H192" i="25"/>
  <c r="H191" i="25"/>
  <c r="H190" i="25"/>
  <c r="H189" i="25"/>
  <c r="H188" i="25"/>
  <c r="H187" i="25"/>
  <c r="H186" i="25"/>
  <c r="H185" i="25"/>
  <c r="H184" i="25"/>
  <c r="H183" i="25"/>
  <c r="H182" i="25"/>
  <c r="H181" i="25"/>
  <c r="H180" i="25"/>
  <c r="H179" i="25"/>
  <c r="H178" i="25"/>
  <c r="H177" i="25"/>
  <c r="H176" i="25"/>
  <c r="H175" i="25"/>
  <c r="H173" i="25"/>
  <c r="H172" i="25"/>
  <c r="H171" i="25"/>
  <c r="H170" i="25"/>
  <c r="H169" i="25"/>
  <c r="H168" i="25"/>
  <c r="H167" i="25"/>
  <c r="H166" i="25"/>
  <c r="H165" i="25"/>
  <c r="H164" i="25"/>
  <c r="H163" i="25"/>
  <c r="H162" i="25"/>
  <c r="H161" i="25"/>
  <c r="H159" i="25"/>
  <c r="H158" i="25"/>
  <c r="H156" i="25"/>
  <c r="H154" i="25"/>
  <c r="H152" i="25"/>
  <c r="H150" i="25"/>
  <c r="H149" i="25"/>
  <c r="H148" i="25"/>
  <c r="H146" i="25"/>
  <c r="H145" i="25"/>
  <c r="H143" i="25"/>
  <c r="H141" i="25"/>
  <c r="H139" i="25"/>
  <c r="H137" i="25"/>
  <c r="H135" i="25"/>
  <c r="H133" i="25"/>
  <c r="H131" i="25"/>
  <c r="H129" i="25"/>
  <c r="H128" i="25"/>
  <c r="H126" i="25"/>
  <c r="H124" i="25"/>
  <c r="H122" i="25"/>
  <c r="H120" i="25"/>
  <c r="H118" i="25"/>
  <c r="H530" i="25"/>
  <c r="H466" i="25"/>
  <c r="H402" i="25"/>
  <c r="G368" i="25"/>
  <c r="G352" i="25"/>
  <c r="G336" i="25"/>
  <c r="G262" i="25"/>
  <c r="G258" i="25"/>
  <c r="G254" i="25"/>
  <c r="G250" i="25"/>
  <c r="G246" i="25"/>
  <c r="G242" i="25"/>
  <c r="G238"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H498" i="25"/>
  <c r="H434" i="25"/>
  <c r="H382" i="25"/>
  <c r="G360" i="25"/>
  <c r="G344" i="25"/>
  <c r="G328" i="25"/>
  <c r="G260" i="25"/>
  <c r="G256" i="25"/>
  <c r="G252" i="25"/>
  <c r="G248" i="25"/>
  <c r="G244" i="25"/>
  <c r="G240" i="25"/>
  <c r="G236" i="25"/>
  <c r="H174" i="25"/>
  <c r="H160" i="25"/>
  <c r="H157" i="25"/>
  <c r="H155" i="25"/>
  <c r="H153" i="25"/>
  <c r="H151" i="25"/>
  <c r="H147" i="25"/>
  <c r="H144" i="25"/>
  <c r="H142" i="25"/>
  <c r="H140" i="25"/>
  <c r="H138" i="25"/>
  <c r="H136" i="25"/>
  <c r="H134" i="25"/>
  <c r="H132" i="25"/>
  <c r="H130" i="25"/>
  <c r="H127" i="25"/>
  <c r="H125" i="25"/>
  <c r="H123" i="25"/>
  <c r="H121" i="25"/>
  <c r="H119" i="25"/>
  <c r="H117" i="25"/>
  <c r="G364" i="25"/>
  <c r="G251" i="25"/>
  <c r="G235" i="25"/>
  <c r="H113" i="25"/>
  <c r="H109" i="25"/>
  <c r="H105" i="25"/>
  <c r="H101" i="25"/>
  <c r="H97" i="25"/>
  <c r="H93" i="25"/>
  <c r="H89" i="25"/>
  <c r="H85" i="25"/>
  <c r="H81" i="25"/>
  <c r="H77" i="25"/>
  <c r="H75" i="25"/>
  <c r="H73" i="25"/>
  <c r="H70" i="25"/>
  <c r="H67" i="25"/>
  <c r="H64" i="25"/>
  <c r="H60" i="25"/>
  <c r="H57" i="25"/>
  <c r="H54" i="25"/>
  <c r="H51" i="25"/>
  <c r="H48" i="25"/>
  <c r="H45" i="25"/>
  <c r="H42" i="25"/>
  <c r="H39" i="25"/>
  <c r="H35" i="25"/>
  <c r="H32" i="25"/>
  <c r="H29" i="25"/>
  <c r="H25" i="25"/>
  <c r="H22" i="25"/>
  <c r="H19" i="25"/>
  <c r="H16" i="25"/>
  <c r="H14" i="25"/>
  <c r="H13" i="25"/>
  <c r="G44" i="25"/>
  <c r="G41" i="25"/>
  <c r="G37" i="25"/>
  <c r="G33" i="25"/>
  <c r="G29" i="25"/>
  <c r="G26" i="25"/>
  <c r="G22" i="25"/>
  <c r="G18" i="25"/>
  <c r="G14" i="25"/>
  <c r="H107" i="25"/>
  <c r="H95" i="25"/>
  <c r="H514" i="25"/>
  <c r="G348" i="25"/>
  <c r="G263" i="25"/>
  <c r="G247" i="25"/>
  <c r="H114" i="25"/>
  <c r="H110" i="25"/>
  <c r="H106" i="25"/>
  <c r="H102" i="25"/>
  <c r="H98" i="25"/>
  <c r="H94" i="25"/>
  <c r="H90" i="25"/>
  <c r="H86" i="25"/>
  <c r="H82" i="25"/>
  <c r="H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3" i="25"/>
  <c r="G40" i="25"/>
  <c r="G36" i="25"/>
  <c r="G32" i="25"/>
  <c r="G28" i="25"/>
  <c r="G24" i="25"/>
  <c r="G21" i="25"/>
  <c r="G17" i="25"/>
  <c r="G13" i="25"/>
  <c r="G332" i="25"/>
  <c r="G259" i="25"/>
  <c r="H115" i="25"/>
  <c r="H103" i="25"/>
  <c r="H91" i="25"/>
  <c r="H79" i="25"/>
  <c r="H390" i="25"/>
  <c r="G255" i="25"/>
  <c r="G239" i="25"/>
  <c r="H116" i="25"/>
  <c r="H112" i="25"/>
  <c r="H108" i="25"/>
  <c r="H104" i="25"/>
  <c r="H100" i="25"/>
  <c r="H96" i="25"/>
  <c r="H92" i="25"/>
  <c r="H88" i="25"/>
  <c r="H84" i="25"/>
  <c r="H80" i="25"/>
  <c r="H76" i="25"/>
  <c r="H74" i="25"/>
  <c r="H72" i="25"/>
  <c r="H71" i="25"/>
  <c r="H69" i="25"/>
  <c r="H68" i="25"/>
  <c r="H66" i="25"/>
  <c r="H65" i="25"/>
  <c r="H63" i="25"/>
  <c r="H62" i="25"/>
  <c r="H61" i="25"/>
  <c r="H59" i="25"/>
  <c r="H58" i="25"/>
  <c r="H56" i="25"/>
  <c r="H55" i="25"/>
  <c r="H53" i="25"/>
  <c r="H52" i="25"/>
  <c r="H50" i="25"/>
  <c r="H49" i="25"/>
  <c r="H47" i="25"/>
  <c r="H46" i="25"/>
  <c r="H44" i="25"/>
  <c r="H43" i="25"/>
  <c r="H41" i="25"/>
  <c r="H40" i="25"/>
  <c r="H38" i="25"/>
  <c r="H37" i="25"/>
  <c r="H36" i="25"/>
  <c r="H34" i="25"/>
  <c r="H33" i="25"/>
  <c r="H31" i="25"/>
  <c r="H30" i="25"/>
  <c r="H28" i="25"/>
  <c r="H27" i="25"/>
  <c r="H26" i="25"/>
  <c r="H24" i="25"/>
  <c r="H23" i="25"/>
  <c r="H21" i="25"/>
  <c r="H20" i="25"/>
  <c r="H18" i="25"/>
  <c r="H17" i="25"/>
  <c r="H15" i="25"/>
  <c r="G42" i="25"/>
  <c r="G39" i="25"/>
  <c r="G38" i="25"/>
  <c r="G35" i="25"/>
  <c r="G34" i="25"/>
  <c r="G31" i="25"/>
  <c r="G30" i="25"/>
  <c r="G27" i="25"/>
  <c r="G25" i="25"/>
  <c r="G23" i="25"/>
  <c r="G20" i="25"/>
  <c r="G19" i="25"/>
  <c r="G16" i="25"/>
  <c r="G15" i="25"/>
  <c r="H450" i="25"/>
  <c r="G243" i="25"/>
  <c r="H111" i="25"/>
  <c r="H99" i="25"/>
  <c r="H87" i="25"/>
  <c r="H83" i="25"/>
  <c r="AO109" i="23"/>
  <c r="AO108" i="23"/>
  <c r="AO107" i="23"/>
  <c r="AO106" i="23"/>
  <c r="AO105" i="23"/>
  <c r="AO104" i="23"/>
  <c r="AO103" i="23"/>
  <c r="AO102" i="23"/>
  <c r="AO101" i="23"/>
  <c r="AO100" i="23"/>
  <c r="AO99" i="23"/>
  <c r="AO98" i="23"/>
  <c r="AO97" i="23"/>
  <c r="AO96" i="23"/>
  <c r="AO95" i="23"/>
  <c r="AO94" i="23"/>
  <c r="AO93" i="23"/>
  <c r="AO92" i="23"/>
  <c r="AO91" i="23"/>
  <c r="AO90" i="23"/>
  <c r="AO89" i="23"/>
  <c r="AO88" i="23"/>
  <c r="AO87" i="23"/>
  <c r="AO86" i="23"/>
  <c r="AO85" i="23"/>
  <c r="AO84" i="23"/>
  <c r="AO83" i="23"/>
  <c r="AO82" i="23"/>
  <c r="AO81" i="23"/>
  <c r="H109" i="23"/>
  <c r="H107" i="23"/>
  <c r="H105" i="23"/>
  <c r="H103" i="23"/>
  <c r="H101" i="23"/>
  <c r="H99" i="23"/>
  <c r="H97" i="23"/>
  <c r="H95" i="23"/>
  <c r="H91" i="23"/>
  <c r="H87" i="23"/>
  <c r="H83" i="23"/>
  <c r="AO59" i="23"/>
  <c r="AO58" i="23"/>
  <c r="AO57" i="23"/>
  <c r="AO56" i="23"/>
  <c r="AO55" i="23"/>
  <c r="AO54" i="23"/>
  <c r="AO53" i="23"/>
  <c r="AO52" i="23"/>
  <c r="AO51" i="23"/>
  <c r="AO50" i="23"/>
  <c r="H49" i="23"/>
  <c r="H48" i="23"/>
  <c r="H47" i="23"/>
  <c r="H46" i="23"/>
  <c r="H45" i="23"/>
  <c r="H44" i="23"/>
  <c r="H43" i="23"/>
  <c r="H42" i="23"/>
  <c r="H41" i="23"/>
  <c r="H40" i="23"/>
  <c r="H39" i="23"/>
  <c r="H38" i="23"/>
  <c r="AO32" i="23"/>
  <c r="AO31" i="23"/>
  <c r="AO30" i="23"/>
  <c r="H29" i="23"/>
  <c r="H28" i="23"/>
  <c r="AO22" i="23"/>
  <c r="AO21" i="23"/>
  <c r="H20" i="23"/>
  <c r="AO14" i="23"/>
  <c r="AO13" i="23"/>
  <c r="AO12" i="23"/>
  <c r="AO11" i="23"/>
  <c r="H9" i="23"/>
  <c r="H102" i="23"/>
  <c r="H80" i="23"/>
  <c r="H76" i="23"/>
  <c r="H72" i="23"/>
  <c r="H68" i="23"/>
  <c r="H92" i="23"/>
  <c r="H88" i="23"/>
  <c r="H84" i="23"/>
  <c r="AO49" i="23"/>
  <c r="AO48" i="23"/>
  <c r="AO47" i="23"/>
  <c r="AO46" i="23"/>
  <c r="AO45" i="23"/>
  <c r="AO44" i="23"/>
  <c r="AO43" i="23"/>
  <c r="AO42" i="23"/>
  <c r="AO41" i="23"/>
  <c r="AO40" i="23"/>
  <c r="AO39" i="23"/>
  <c r="AO38" i="23"/>
  <c r="H37" i="23"/>
  <c r="H36" i="23"/>
  <c r="H35" i="23"/>
  <c r="AO29" i="23"/>
  <c r="AO28" i="23"/>
  <c r="H27" i="23"/>
  <c r="AO20" i="23"/>
  <c r="H19" i="23"/>
  <c r="H18" i="23"/>
  <c r="H17" i="23"/>
  <c r="H16" i="23"/>
  <c r="AO10" i="23"/>
  <c r="AO9" i="23"/>
  <c r="H98" i="23"/>
  <c r="H89" i="23"/>
  <c r="H81" i="23"/>
  <c r="H78" i="23"/>
  <c r="H73" i="23"/>
  <c r="H69" i="23"/>
  <c r="H66" i="23"/>
  <c r="H94" i="23"/>
  <c r="H90" i="23"/>
  <c r="H86" i="23"/>
  <c r="H82" i="23"/>
  <c r="AO80" i="23"/>
  <c r="AO79" i="23"/>
  <c r="AO78" i="23"/>
  <c r="AO77" i="23"/>
  <c r="AO76" i="23"/>
  <c r="AO75" i="23"/>
  <c r="AO74" i="23"/>
  <c r="AO73" i="23"/>
  <c r="AO72" i="23"/>
  <c r="AO71" i="23"/>
  <c r="AO70" i="23"/>
  <c r="AO69" i="23"/>
  <c r="AO68" i="23"/>
  <c r="AO67" i="23"/>
  <c r="AO66" i="23"/>
  <c r="AO65" i="23"/>
  <c r="AO64" i="23"/>
  <c r="AO63" i="23"/>
  <c r="AO62" i="23"/>
  <c r="AO61" i="23"/>
  <c r="AO60" i="23"/>
  <c r="H59" i="23"/>
  <c r="H58" i="23"/>
  <c r="H57" i="23"/>
  <c r="H56" i="23"/>
  <c r="H55" i="23"/>
  <c r="H54" i="23"/>
  <c r="H53" i="23"/>
  <c r="H52" i="23"/>
  <c r="H51" i="23"/>
  <c r="H50" i="23"/>
  <c r="AO34" i="23"/>
  <c r="AO33" i="23"/>
  <c r="H32" i="23"/>
  <c r="H31" i="23"/>
  <c r="H30" i="23"/>
  <c r="AO26" i="23"/>
  <c r="AO25" i="23"/>
  <c r="AO24" i="23"/>
  <c r="AO23" i="23"/>
  <c r="H22" i="23"/>
  <c r="H21" i="23"/>
  <c r="AO15" i="23"/>
  <c r="H14" i="23"/>
  <c r="H13" i="23"/>
  <c r="H12" i="23"/>
  <c r="H11" i="23"/>
  <c r="B11" i="23"/>
  <c r="H10" i="23"/>
  <c r="H108" i="23"/>
  <c r="H106" i="23"/>
  <c r="H104" i="23"/>
  <c r="H100" i="23"/>
  <c r="H96" i="23"/>
  <c r="H93" i="23"/>
  <c r="H85" i="23"/>
  <c r="H79" i="23"/>
  <c r="H77" i="23"/>
  <c r="H75" i="23"/>
  <c r="H74" i="23"/>
  <c r="H71" i="23"/>
  <c r="H70" i="23"/>
  <c r="H67" i="23"/>
  <c r="H65" i="23"/>
  <c r="H63" i="23"/>
  <c r="H61" i="23"/>
  <c r="AO37" i="23"/>
  <c r="AO35" i="23"/>
  <c r="H34" i="23"/>
  <c r="H25" i="23"/>
  <c r="H60" i="23"/>
  <c r="H33" i="23"/>
  <c r="H26" i="23"/>
  <c r="AO18" i="23"/>
  <c r="H15" i="23"/>
  <c r="H62" i="23"/>
  <c r="AO19" i="23"/>
  <c r="AO17" i="23"/>
  <c r="H23" i="23"/>
  <c r="AO16" i="23"/>
  <c r="H64" i="23"/>
  <c r="AO36" i="23"/>
  <c r="AO27" i="23"/>
  <c r="H24" i="23"/>
  <c r="K9" i="23"/>
  <c r="AW8" i="23"/>
  <c r="AX8" i="23"/>
  <c r="K97" i="23"/>
  <c r="K50" i="23"/>
  <c r="K78" i="23"/>
  <c r="K43" i="23"/>
  <c r="K104" i="23"/>
  <c r="K37" i="23"/>
  <c r="K35" i="23"/>
  <c r="K24" i="23"/>
  <c r="K68" i="23"/>
  <c r="K32" i="23"/>
  <c r="K89" i="23"/>
  <c r="K96" i="23"/>
  <c r="K25" i="23"/>
  <c r="K57" i="23"/>
  <c r="K33" i="23"/>
  <c r="K94" i="23"/>
  <c r="K44" i="23"/>
  <c r="K27" i="23"/>
  <c r="K91" i="23"/>
  <c r="K93" i="23"/>
  <c r="K22" i="23"/>
  <c r="K88" i="23"/>
  <c r="K15" i="23"/>
  <c r="K87" i="23"/>
  <c r="K14" i="23"/>
  <c r="K65" i="23"/>
  <c r="K107" i="23"/>
  <c r="K66" i="23"/>
  <c r="K13" i="23"/>
  <c r="K52" i="23"/>
  <c r="K29" i="23"/>
  <c r="K51" i="23"/>
  <c r="K16" i="23"/>
  <c r="K10" i="23"/>
  <c r="K59" i="23"/>
  <c r="K101" i="23"/>
  <c r="K80" i="23"/>
  <c r="K79" i="23"/>
  <c r="K42" i="23"/>
  <c r="K40" i="23"/>
  <c r="K61" i="23"/>
  <c r="K34" i="23"/>
  <c r="K56" i="23"/>
  <c r="K39" i="23"/>
  <c r="K55" i="23"/>
  <c r="K20" i="23"/>
  <c r="K76" i="23"/>
  <c r="K41" i="23"/>
  <c r="K38" i="23"/>
  <c r="K84" i="23"/>
  <c r="K102" i="23"/>
  <c r="K83" i="23"/>
  <c r="K48" i="23"/>
  <c r="K81" i="23"/>
  <c r="K60" i="23"/>
  <c r="K105" i="23"/>
  <c r="K106" i="23"/>
  <c r="K69" i="23"/>
  <c r="K62" i="23"/>
  <c r="K47" i="23"/>
  <c r="K18" i="23"/>
  <c r="K46" i="23"/>
  <c r="K12" i="23"/>
  <c r="K103" i="23"/>
  <c r="K90" i="23"/>
  <c r="K86" i="23"/>
  <c r="K82" i="23"/>
  <c r="K70" i="23"/>
  <c r="K67" i="23"/>
  <c r="K49" i="23"/>
  <c r="K21" i="23"/>
  <c r="K54" i="23"/>
  <c r="K53" i="23"/>
  <c r="K26" i="23"/>
  <c r="K95" i="23"/>
  <c r="K98" i="23"/>
  <c r="K36" i="23"/>
  <c r="K100" i="23"/>
  <c r="K23" i="23"/>
  <c r="K63" i="23"/>
  <c r="K19" i="23"/>
  <c r="K109" i="23"/>
  <c r="K92" i="23"/>
  <c r="K72" i="23"/>
  <c r="K45" i="23"/>
  <c r="K31" i="23"/>
  <c r="K108" i="23"/>
  <c r="K11" i="23"/>
  <c r="K75" i="23"/>
  <c r="K64" i="23"/>
  <c r="K77" i="23"/>
  <c r="K71" i="23"/>
  <c r="K73" i="23"/>
  <c r="K30" i="23"/>
  <c r="K17" i="23"/>
  <c r="K58" i="23"/>
  <c r="K85" i="23"/>
  <c r="K28" i="23"/>
  <c r="K74" i="23"/>
  <c r="K99" i="23"/>
  <c r="F234"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D53" i="2"/>
  <c r="D54" i="2"/>
  <c r="B39" i="2"/>
  <c r="D39" i="2"/>
  <c r="B38" i="2"/>
  <c r="D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375" i="2"/>
  <c r="B347" i="2"/>
  <c r="A361" i="2"/>
  <c r="B387" i="2"/>
  <c r="B361" i="2"/>
  <c r="F135" i="2" l="1"/>
  <c r="F136" i="2"/>
  <c r="B136" i="2" s="1"/>
  <c r="K132" i="2"/>
  <c r="K133" i="2"/>
  <c r="B16" i="21"/>
  <c r="A375" i="2"/>
  <c r="B27" i="2" l="1"/>
  <c r="B190" i="2" s="1"/>
  <c r="D186" i="2" l="1"/>
  <c r="B30" i="2"/>
  <c r="D58" i="2"/>
  <c r="D133" i="2" s="1"/>
  <c r="D57" i="2"/>
  <c r="D132" i="2" s="1"/>
  <c r="B41" i="2"/>
  <c r="D227" i="2"/>
  <c r="B75" i="1" s="1"/>
  <c r="D42" i="2"/>
  <c r="D44" i="2" s="1"/>
  <c r="N3" i="25"/>
  <c r="N5" i="25" s="1"/>
  <c r="AL9" i="23"/>
  <c r="B78" i="23"/>
  <c r="AL23" i="23"/>
  <c r="AL107" i="23"/>
  <c r="AL75" i="23"/>
  <c r="AL19" i="23"/>
  <c r="AL24" i="23"/>
  <c r="AL43" i="23"/>
  <c r="AL103" i="23"/>
  <c r="AL35" i="23"/>
  <c r="AL100" i="23"/>
  <c r="AL52" i="23"/>
  <c r="AL67" i="23"/>
  <c r="AL30" i="23"/>
  <c r="AL32" i="23"/>
  <c r="AL60" i="23"/>
  <c r="AL72" i="23"/>
  <c r="AL15" i="23"/>
  <c r="AL87" i="23"/>
  <c r="AL14" i="23"/>
  <c r="AL105" i="23"/>
  <c r="AL38" i="23"/>
  <c r="AL31" i="23"/>
  <c r="AL99" i="23"/>
  <c r="AL54" i="23"/>
  <c r="AL11" i="23"/>
  <c r="AL96" i="23"/>
  <c r="AL64" i="23"/>
  <c r="AL95" i="23"/>
  <c r="AL63" i="23"/>
  <c r="AL28" i="23"/>
  <c r="AL86" i="23"/>
  <c r="AL59" i="23"/>
  <c r="AL78" i="23"/>
  <c r="AL22" i="23"/>
  <c r="AL71" i="23"/>
  <c r="AL68" i="23"/>
  <c r="AL51" i="23"/>
  <c r="AL16" i="23"/>
  <c r="AL39" i="23"/>
  <c r="AL102" i="23"/>
  <c r="AL49" i="23"/>
  <c r="AL108" i="23"/>
  <c r="AL42" i="23"/>
  <c r="AL93" i="23"/>
  <c r="AL34" i="23"/>
  <c r="AL37" i="23"/>
  <c r="AL66" i="23"/>
  <c r="AL57" i="23"/>
  <c r="AL29" i="23"/>
  <c r="AL90" i="23"/>
  <c r="AL65" i="23"/>
  <c r="AL45" i="23"/>
  <c r="AL50" i="23"/>
  <c r="AL109" i="23"/>
  <c r="AL98" i="23"/>
  <c r="AL13" i="23"/>
  <c r="AL85" i="23"/>
  <c r="AL53" i="23"/>
  <c r="AL26" i="23"/>
  <c r="AL58" i="23"/>
  <c r="AL25" i="23"/>
  <c r="AL76" i="23"/>
  <c r="AL91" i="23"/>
  <c r="AL40" i="23"/>
  <c r="AL88" i="23"/>
  <c r="AL20" i="23"/>
  <c r="AL70" i="23"/>
  <c r="AL48" i="23"/>
  <c r="AL92" i="23"/>
  <c r="AL56" i="23"/>
  <c r="AL36" i="23"/>
  <c r="AL81" i="23"/>
  <c r="AL10" i="23"/>
  <c r="AL77" i="23"/>
  <c r="AL74" i="23"/>
  <c r="AL89" i="23"/>
  <c r="AL17" i="23"/>
  <c r="AL97" i="23"/>
  <c r="AL21" i="23"/>
  <c r="AL41" i="23"/>
  <c r="AL61" i="23"/>
  <c r="AL73" i="23"/>
  <c r="AL82" i="23"/>
  <c r="AL106" i="23"/>
  <c r="AL101" i="23"/>
  <c r="AL69" i="23"/>
  <c r="AL33" i="23"/>
  <c r="AL18" i="23"/>
  <c r="AL83" i="23"/>
  <c r="AL27" i="23"/>
  <c r="AL104" i="23"/>
  <c r="AL55" i="23"/>
  <c r="AL84" i="23"/>
  <c r="AL62" i="23"/>
  <c r="AL12" i="23"/>
  <c r="AL80" i="23"/>
  <c r="AL79" i="23"/>
  <c r="AL46" i="23"/>
  <c r="AL94" i="23"/>
  <c r="AL44" i="23"/>
  <c r="AL47" i="23"/>
  <c r="AM42" i="23"/>
  <c r="AM66" i="23"/>
  <c r="AM65" i="23"/>
  <c r="AM98" i="23"/>
  <c r="AM26" i="23"/>
  <c r="AM74" i="23"/>
  <c r="AM82" i="23"/>
  <c r="AM19" i="23"/>
  <c r="AM35" i="23"/>
  <c r="AM30" i="23"/>
  <c r="AM15" i="23"/>
  <c r="AM38" i="23"/>
  <c r="AM11" i="23"/>
  <c r="AM63" i="23"/>
  <c r="AM17" i="23"/>
  <c r="AM91" i="23"/>
  <c r="AM22" i="23"/>
  <c r="AM68" i="23"/>
  <c r="AM48" i="23"/>
  <c r="AM104" i="23"/>
  <c r="AM36" i="23"/>
  <c r="AM80" i="23"/>
  <c r="AM46" i="23"/>
  <c r="AM73" i="23"/>
  <c r="AM101" i="23"/>
  <c r="AM9" i="23"/>
  <c r="AM93" i="23"/>
  <c r="AM57" i="23"/>
  <c r="AM45" i="23"/>
  <c r="AM13" i="23"/>
  <c r="AM58" i="23"/>
  <c r="AM89" i="23"/>
  <c r="AM23" i="23"/>
  <c r="AM24" i="23"/>
  <c r="AM100" i="23"/>
  <c r="AM32" i="23"/>
  <c r="AM87" i="23"/>
  <c r="AM31" i="23"/>
  <c r="AM96" i="23"/>
  <c r="AM28" i="23"/>
  <c r="AM97" i="23"/>
  <c r="AM59" i="23"/>
  <c r="AM88" i="23"/>
  <c r="AM70" i="23"/>
  <c r="AM16" i="23"/>
  <c r="AM56" i="23"/>
  <c r="AM84" i="23"/>
  <c r="AM47" i="23"/>
  <c r="AM44" i="23"/>
  <c r="AM106" i="23"/>
  <c r="AM33" i="23"/>
  <c r="AM75" i="23"/>
  <c r="AM103" i="23"/>
  <c r="AM72" i="23"/>
  <c r="AM54" i="23"/>
  <c r="AM95" i="23"/>
  <c r="AM86" i="23"/>
  <c r="AM78" i="23"/>
  <c r="AM51" i="23"/>
  <c r="AM92" i="23"/>
  <c r="AM62" i="23"/>
  <c r="AM79" i="23"/>
  <c r="AM69" i="23"/>
  <c r="AM49" i="23"/>
  <c r="AM34" i="23"/>
  <c r="AM29" i="23"/>
  <c r="AM50" i="23"/>
  <c r="AM85" i="23"/>
  <c r="AM25" i="23"/>
  <c r="AM21" i="23"/>
  <c r="AM107" i="23"/>
  <c r="AM43" i="23"/>
  <c r="AM52" i="23"/>
  <c r="AM60" i="23"/>
  <c r="AM14" i="23"/>
  <c r="AM99" i="23"/>
  <c r="AM64" i="23"/>
  <c r="AM81" i="23"/>
  <c r="AM76" i="23"/>
  <c r="AM40" i="23"/>
  <c r="AM71" i="23"/>
  <c r="AM83" i="23"/>
  <c r="AM27" i="23"/>
  <c r="AM39" i="23"/>
  <c r="AM102" i="23"/>
  <c r="AM94" i="23"/>
  <c r="AM12" i="23"/>
  <c r="AM18" i="23"/>
  <c r="AM108" i="23"/>
  <c r="AM37" i="23"/>
  <c r="AM90" i="23"/>
  <c r="AM109" i="23"/>
  <c r="AM53" i="23"/>
  <c r="AM10" i="23"/>
  <c r="AM61" i="23"/>
  <c r="AM67" i="23"/>
  <c r="AM105" i="23"/>
  <c r="AM77" i="23"/>
  <c r="AM20" i="23"/>
  <c r="AM55" i="23"/>
  <c r="AM41" i="23"/>
  <c r="B13" i="23"/>
  <c r="D41" i="2"/>
  <c r="B13" i="21"/>
  <c r="B78" i="21"/>
  <c r="B28" i="2"/>
  <c r="B327" i="2"/>
  <c r="B222" i="2"/>
  <c r="N3" i="17"/>
  <c r="N5" i="17" s="1"/>
  <c r="N22" i="8"/>
  <c r="D60" i="16"/>
  <c r="L190" i="2" l="1"/>
  <c r="M190" i="2" s="1"/>
  <c r="K190" i="2"/>
  <c r="J3" i="8"/>
  <c r="C636" i="25"/>
  <c r="A626" i="25"/>
  <c r="B79" i="23"/>
  <c r="B70" i="23"/>
  <c r="D112" i="2"/>
  <c r="D127" i="2"/>
  <c r="J38" i="1" s="1"/>
  <c r="D123" i="2"/>
  <c r="D120" i="2"/>
  <c r="D121" i="2" s="1"/>
  <c r="D113" i="2"/>
  <c r="D62" i="2"/>
  <c r="D69" i="2"/>
  <c r="D81" i="2"/>
  <c r="D90" i="2" s="1"/>
  <c r="D99" i="2"/>
  <c r="D61" i="2"/>
  <c r="D68" i="2"/>
  <c r="J30" i="1" s="1"/>
  <c r="D80" i="2"/>
  <c r="D89" i="2" s="1"/>
  <c r="D92" i="2" s="1"/>
  <c r="D98" i="2"/>
  <c r="J27" i="1"/>
  <c r="A626" i="17"/>
  <c r="C636" i="17"/>
  <c r="I60" i="16"/>
  <c r="J23" i="1" l="1"/>
  <c r="D102" i="2"/>
  <c r="D106" i="2" s="1"/>
  <c r="D103" i="2"/>
  <c r="D107" i="2" s="1"/>
  <c r="J24" i="1"/>
  <c r="D61" i="16"/>
  <c r="C67" i="16"/>
  <c r="D67" i="16" s="1"/>
  <c r="D71" i="16"/>
  <c r="D74" i="16"/>
  <c r="C58" i="16"/>
  <c r="D56" i="16"/>
  <c r="D53" i="16"/>
  <c r="D52" i="16"/>
  <c r="D55" i="16"/>
  <c r="D45" i="16"/>
  <c r="B363" i="2"/>
  <c r="F63" i="1" l="1"/>
  <c r="D72" i="16" l="1"/>
  <c r="D73" i="16" l="1"/>
  <c r="B126" i="2"/>
  <c r="B224" i="2"/>
  <c r="B46" i="2"/>
  <c r="B140" i="2"/>
  <c r="B311" i="2"/>
  <c r="B280" i="2"/>
  <c r="B42" i="21" s="1"/>
  <c r="B339" i="2"/>
  <c r="B47" i="2"/>
  <c r="B7" i="2"/>
  <c r="B146" i="2"/>
  <c r="B273" i="2"/>
  <c r="B292" i="2"/>
  <c r="B37" i="23" s="1"/>
  <c r="B238" i="2"/>
  <c r="N10" i="8" s="1"/>
  <c r="B307" i="2"/>
  <c r="B47" i="23" s="1"/>
  <c r="B310" i="2"/>
  <c r="B304" i="2"/>
  <c r="B46" i="23" s="1"/>
  <c r="B160" i="2"/>
  <c r="B275" i="2"/>
  <c r="B294" i="2"/>
  <c r="B285" i="2"/>
  <c r="B276" i="2"/>
  <c r="B277" i="2"/>
  <c r="B41" i="21" s="1"/>
  <c r="B282" i="2"/>
  <c r="B281" i="2"/>
  <c r="B43" i="21" s="1"/>
  <c r="B386" i="2"/>
  <c r="B288" i="2"/>
  <c r="B255" i="2"/>
  <c r="B20" i="23" s="1"/>
  <c r="B151" i="2"/>
  <c r="B23" i="23" s="1"/>
  <c r="B274" i="2"/>
  <c r="B38" i="23" s="1"/>
  <c r="B293" i="2"/>
  <c r="B50" i="23" s="1"/>
  <c r="D6" i="6"/>
  <c r="D7" i="6"/>
  <c r="D9" i="6"/>
  <c r="D10"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6" i="8"/>
  <c r="A68" i="8" s="1"/>
  <c r="A80" i="8" s="1"/>
  <c r="A92" i="8" s="1"/>
  <c r="A104" i="8" s="1"/>
  <c r="A116" i="8" s="1"/>
  <c r="A128" i="8" s="1"/>
  <c r="A140" i="8" s="1"/>
  <c r="A152" i="8" s="1"/>
  <c r="A57" i="8"/>
  <c r="A69" i="8" s="1"/>
  <c r="A81" i="8" s="1"/>
  <c r="A93" i="8" s="1"/>
  <c r="A105" i="8" s="1"/>
  <c r="A117" i="8" s="1"/>
  <c r="A129" i="8" s="1"/>
  <c r="A141" i="8" s="1"/>
  <c r="A153" i="8" s="1"/>
  <c r="B116" i="2"/>
  <c r="A343" i="2"/>
  <c r="B343" i="2"/>
  <c r="A363" i="2"/>
  <c r="B385" i="2"/>
  <c r="B341" i="2" l="1"/>
  <c r="B93" i="2"/>
  <c r="M56" i="23" s="1"/>
  <c r="N56" i="23" s="1"/>
  <c r="D341" i="2"/>
  <c r="AM90" i="21"/>
  <c r="AM29" i="21"/>
  <c r="AM9" i="21"/>
  <c r="AM78" i="21"/>
  <c r="AM89" i="21"/>
  <c r="AM68" i="21"/>
  <c r="AM18" i="21"/>
  <c r="AM93" i="21"/>
  <c r="AM49" i="21"/>
  <c r="AM26" i="21"/>
  <c r="AM41" i="21"/>
  <c r="AM17" i="21"/>
  <c r="AM80" i="21"/>
  <c r="AM98" i="21"/>
  <c r="AM95" i="21"/>
  <c r="AM76" i="21"/>
  <c r="AM21" i="21"/>
  <c r="AM35" i="21"/>
  <c r="AM30" i="21"/>
  <c r="AM72" i="21"/>
  <c r="AM102" i="21"/>
  <c r="AM84" i="21"/>
  <c r="AM101" i="21"/>
  <c r="AM69" i="21"/>
  <c r="AM14" i="21"/>
  <c r="AM16" i="21"/>
  <c r="AM22" i="21"/>
  <c r="AM96" i="21"/>
  <c r="AM73" i="21"/>
  <c r="AM46" i="21"/>
  <c r="AM99" i="21"/>
  <c r="AM54" i="21"/>
  <c r="AM109" i="21"/>
  <c r="AM63" i="21"/>
  <c r="AM88" i="21"/>
  <c r="AM39" i="21"/>
  <c r="AM48" i="21"/>
  <c r="AM10" i="21"/>
  <c r="AM60" i="21"/>
  <c r="AM70" i="21"/>
  <c r="AM13" i="21"/>
  <c r="AM43" i="21"/>
  <c r="AM85" i="21"/>
  <c r="AM92" i="21"/>
  <c r="AM24" i="21"/>
  <c r="AM103" i="21"/>
  <c r="AM107" i="21"/>
  <c r="AM47" i="21"/>
  <c r="AM100" i="21"/>
  <c r="AM83" i="21"/>
  <c r="AM36" i="21"/>
  <c r="AM66" i="21"/>
  <c r="AM58" i="21"/>
  <c r="AM87" i="21"/>
  <c r="AM56" i="21"/>
  <c r="AM19" i="21"/>
  <c r="AM25" i="21"/>
  <c r="AM28" i="21"/>
  <c r="AM59" i="21"/>
  <c r="AM75" i="21"/>
  <c r="AM108" i="21"/>
  <c r="AM33" i="21"/>
  <c r="AM11" i="21"/>
  <c r="AM104" i="21"/>
  <c r="AM82" i="21"/>
  <c r="AM40" i="21"/>
  <c r="AM50" i="21"/>
  <c r="AM45" i="21"/>
  <c r="AM32" i="21"/>
  <c r="AM91" i="21"/>
  <c r="AM77" i="21"/>
  <c r="AM94" i="21"/>
  <c r="AM27" i="21"/>
  <c r="AM44" i="21"/>
  <c r="AM31" i="21"/>
  <c r="AM20" i="21"/>
  <c r="AM86" i="21"/>
  <c r="AM57" i="21"/>
  <c r="AM23" i="21"/>
  <c r="AM64" i="21"/>
  <c r="AM12" i="21"/>
  <c r="AM51" i="21"/>
  <c r="AM42" i="21"/>
  <c r="AM61" i="21"/>
  <c r="AM37" i="21"/>
  <c r="AM67" i="21"/>
  <c r="AM38" i="21"/>
  <c r="AM53" i="21"/>
  <c r="AM34" i="21"/>
  <c r="AM71" i="21"/>
  <c r="AM55" i="21"/>
  <c r="AM105" i="21"/>
  <c r="AM15" i="21"/>
  <c r="AM81" i="21"/>
  <c r="AM52" i="21"/>
  <c r="AM62" i="21"/>
  <c r="AM106" i="21"/>
  <c r="AM65" i="21"/>
  <c r="AM79" i="21"/>
  <c r="AM97" i="21"/>
  <c r="AM74" i="21"/>
  <c r="AR57" i="23"/>
  <c r="AR18" i="23"/>
  <c r="AR19" i="23"/>
  <c r="AR83" i="23"/>
  <c r="AR44" i="23"/>
  <c r="AR108" i="23"/>
  <c r="AR77" i="23"/>
  <c r="AR46" i="23"/>
  <c r="AR95" i="23"/>
  <c r="AR24" i="23"/>
  <c r="AR31" i="23"/>
  <c r="AR103" i="23"/>
  <c r="AR84" i="23"/>
  <c r="AR14" i="23"/>
  <c r="AR105" i="23"/>
  <c r="AR30" i="23"/>
  <c r="AR65" i="23"/>
  <c r="AR26" i="23"/>
  <c r="AR27" i="23"/>
  <c r="AR91" i="23"/>
  <c r="AR52" i="23"/>
  <c r="AR13" i="23"/>
  <c r="AR85" i="23"/>
  <c r="AR54" i="23"/>
  <c r="AR32" i="23"/>
  <c r="AR48" i="23"/>
  <c r="AR39" i="23"/>
  <c r="AR40" i="23"/>
  <c r="AR59" i="23"/>
  <c r="AR67" i="23"/>
  <c r="AR61" i="23"/>
  <c r="AR106" i="23"/>
  <c r="AR73" i="23"/>
  <c r="AR34" i="23"/>
  <c r="AR35" i="23"/>
  <c r="AR99" i="23"/>
  <c r="AR60" i="23"/>
  <c r="AR29" i="23"/>
  <c r="AR93" i="23"/>
  <c r="AR62" i="23"/>
  <c r="AR56" i="23"/>
  <c r="AR72" i="23"/>
  <c r="AR47" i="23"/>
  <c r="AR64" i="23"/>
  <c r="AR20" i="23"/>
  <c r="AR92" i="23"/>
  <c r="AR17" i="23"/>
  <c r="AR81" i="23"/>
  <c r="AR42" i="23"/>
  <c r="AR43" i="23"/>
  <c r="AR107" i="23"/>
  <c r="AR68" i="23"/>
  <c r="AR37" i="23"/>
  <c r="AR101" i="23"/>
  <c r="AR70" i="23"/>
  <c r="AR88" i="23"/>
  <c r="AR96" i="23"/>
  <c r="AR55" i="23"/>
  <c r="AR80" i="23"/>
  <c r="AR58" i="23"/>
  <c r="AR22" i="23"/>
  <c r="AR90" i="23"/>
  <c r="AR28" i="23"/>
  <c r="AR15" i="23"/>
  <c r="AR25" i="23"/>
  <c r="AR89" i="23"/>
  <c r="AR50" i="23"/>
  <c r="AR51" i="23"/>
  <c r="AR12" i="23"/>
  <c r="AR76" i="23"/>
  <c r="AR45" i="23"/>
  <c r="AR109" i="23"/>
  <c r="AR78" i="23"/>
  <c r="AR66" i="23"/>
  <c r="AR74" i="23"/>
  <c r="AR63" i="23"/>
  <c r="AR104" i="23"/>
  <c r="AR97" i="23"/>
  <c r="AR86" i="23"/>
  <c r="AR82" i="23"/>
  <c r="AR21" i="23"/>
  <c r="AR33" i="23"/>
  <c r="AR49" i="23"/>
  <c r="AR10" i="23"/>
  <c r="AR11" i="23"/>
  <c r="AR75" i="23"/>
  <c r="AR36" i="23"/>
  <c r="AR100" i="23"/>
  <c r="AR69" i="23"/>
  <c r="AR38" i="23"/>
  <c r="AR102" i="23"/>
  <c r="AR9" i="23"/>
  <c r="AR23" i="23"/>
  <c r="AR87" i="23"/>
  <c r="AR16" i="23"/>
  <c r="AR53" i="23"/>
  <c r="AR98" i="23"/>
  <c r="AR71" i="23"/>
  <c r="AR41" i="23"/>
  <c r="AR94" i="23"/>
  <c r="AR79" i="23"/>
  <c r="B162"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D58" i="16"/>
  <c r="D59" i="16"/>
  <c r="A42" i="16"/>
  <c r="B143" i="2"/>
  <c r="B142" i="2"/>
  <c r="B22" i="23"/>
  <c r="B283" i="2"/>
  <c r="AP37" i="23"/>
  <c r="AS37" i="23" s="1"/>
  <c r="AP99" i="23"/>
  <c r="AS99" i="23" s="1"/>
  <c r="AP92" i="23"/>
  <c r="AS92" i="23" s="1"/>
  <c r="AP15" i="23"/>
  <c r="AS15" i="23" s="1"/>
  <c r="AP10" i="23"/>
  <c r="AS10" i="23" s="1"/>
  <c r="AP77" i="23"/>
  <c r="AS77" i="23" s="1"/>
  <c r="AP41" i="23"/>
  <c r="AS41" i="23" s="1"/>
  <c r="AP49" i="23"/>
  <c r="AS49" i="23" s="1"/>
  <c r="AP88" i="23"/>
  <c r="AS88" i="23" s="1"/>
  <c r="AP9" i="23"/>
  <c r="AS9" i="23" s="1"/>
  <c r="B75" i="23" s="1"/>
  <c r="B76" i="23" s="1"/>
  <c r="AP75" i="23"/>
  <c r="AS75" i="23" s="1"/>
  <c r="AP84" i="23"/>
  <c r="AS84" i="23" s="1"/>
  <c r="AP27" i="23"/>
  <c r="AS27" i="23" s="1"/>
  <c r="AP52" i="23"/>
  <c r="AS52" i="23" s="1"/>
  <c r="AP69" i="23"/>
  <c r="AS69" i="23" s="1"/>
  <c r="AP25" i="23"/>
  <c r="AS25" i="23" s="1"/>
  <c r="AP108" i="23"/>
  <c r="AS108" i="23" s="1"/>
  <c r="AP63" i="23"/>
  <c r="AS63" i="23" s="1"/>
  <c r="AP26" i="23"/>
  <c r="AS26" i="23" s="1"/>
  <c r="AP109" i="23"/>
  <c r="AS109" i="23" s="1"/>
  <c r="AP105" i="23"/>
  <c r="AS105" i="23" s="1"/>
  <c r="AP34" i="23"/>
  <c r="AS34" i="23" s="1"/>
  <c r="AP21" i="23"/>
  <c r="AS21" i="23" s="1"/>
  <c r="AP17" i="23"/>
  <c r="AS17" i="23" s="1"/>
  <c r="AP91" i="23"/>
  <c r="AS91" i="23" s="1"/>
  <c r="AP100" i="23"/>
  <c r="AS100" i="23" s="1"/>
  <c r="AP64" i="23"/>
  <c r="AS64" i="23" s="1"/>
  <c r="AP87" i="23"/>
  <c r="AS87" i="23" s="1"/>
  <c r="AP22" i="23"/>
  <c r="AS22" i="23" s="1"/>
  <c r="AP101" i="23"/>
  <c r="AS101" i="23" s="1"/>
  <c r="AP89" i="23"/>
  <c r="AS89" i="23" s="1"/>
  <c r="AP33" i="23"/>
  <c r="AS33" i="23" s="1"/>
  <c r="AP79" i="23"/>
  <c r="AS79" i="23" s="1"/>
  <c r="AP42" i="23"/>
  <c r="AS42" i="23" s="1"/>
  <c r="AP23" i="23"/>
  <c r="AS23" i="23" s="1"/>
  <c r="AP16" i="23"/>
  <c r="AS16" i="23" s="1"/>
  <c r="AP82" i="23"/>
  <c r="AS82" i="23" s="1"/>
  <c r="AP14" i="23"/>
  <c r="AS14" i="23" s="1"/>
  <c r="AP53" i="23"/>
  <c r="AS53" i="23" s="1"/>
  <c r="AP107" i="23"/>
  <c r="AS107" i="23" s="1"/>
  <c r="AP65" i="23"/>
  <c r="AS65" i="23" s="1"/>
  <c r="AP90" i="23"/>
  <c r="AS90" i="23" s="1"/>
  <c r="AP43" i="23"/>
  <c r="AS43" i="23" s="1"/>
  <c r="AP38" i="23"/>
  <c r="AS38" i="23" s="1"/>
  <c r="AP19" i="23"/>
  <c r="AS19" i="23" s="1"/>
  <c r="AP12" i="23"/>
  <c r="AS12" i="23" s="1"/>
  <c r="AP97" i="23"/>
  <c r="AS97" i="23" s="1"/>
  <c r="AP13" i="23"/>
  <c r="AS13" i="23" s="1"/>
  <c r="AP58" i="23"/>
  <c r="AS58" i="23" s="1"/>
  <c r="AP39" i="23"/>
  <c r="AS39" i="23" s="1"/>
  <c r="AP32" i="23"/>
  <c r="AS32" i="23" s="1"/>
  <c r="AP29" i="23"/>
  <c r="AS29" i="23" s="1"/>
  <c r="AP30" i="23"/>
  <c r="AS30" i="23" s="1"/>
  <c r="AP85" i="23"/>
  <c r="AS85" i="23" s="1"/>
  <c r="AP57" i="23"/>
  <c r="AS57" i="23" s="1"/>
  <c r="AP50" i="23"/>
  <c r="AS50" i="23" s="1"/>
  <c r="AP66" i="23"/>
  <c r="AS66" i="23" s="1"/>
  <c r="AP62" i="23"/>
  <c r="AS62" i="23" s="1"/>
  <c r="AP73" i="23"/>
  <c r="AS73" i="23" s="1"/>
  <c r="AP54" i="23"/>
  <c r="AS54" i="23" s="1"/>
  <c r="AP35" i="23"/>
  <c r="AS35" i="23" s="1"/>
  <c r="AP28" i="23"/>
  <c r="AS28" i="23" s="1"/>
  <c r="AP18" i="23"/>
  <c r="AS18" i="23" s="1"/>
  <c r="AP24" i="23"/>
  <c r="AS24" i="23" s="1"/>
  <c r="AP74" i="23"/>
  <c r="AS74" i="23" s="1"/>
  <c r="AP55" i="23"/>
  <c r="AS55" i="23" s="1"/>
  <c r="AP48" i="23"/>
  <c r="AS48" i="23" s="1"/>
  <c r="AP47" i="23"/>
  <c r="AS47" i="23" s="1"/>
  <c r="AP46" i="23"/>
  <c r="AS46" i="23" s="1"/>
  <c r="AP11" i="23"/>
  <c r="AS11" i="23" s="1"/>
  <c r="AP20" i="23"/>
  <c r="AS20" i="23" s="1"/>
  <c r="AP61" i="23"/>
  <c r="AS61" i="23" s="1"/>
  <c r="AP44" i="23"/>
  <c r="AS44" i="23" s="1"/>
  <c r="AP36" i="23"/>
  <c r="AS36" i="23" s="1"/>
  <c r="AP72" i="23"/>
  <c r="AS72" i="23" s="1"/>
  <c r="AP70" i="23"/>
  <c r="AS70" i="23" s="1"/>
  <c r="AP51" i="23"/>
  <c r="AS51" i="23" s="1"/>
  <c r="AP56" i="23"/>
  <c r="AS56" i="23" s="1"/>
  <c r="AP95" i="23"/>
  <c r="AS95" i="23" s="1"/>
  <c r="AP86" i="23"/>
  <c r="AS86" i="23" s="1"/>
  <c r="AP67" i="23"/>
  <c r="AS67" i="23" s="1"/>
  <c r="AP60" i="23"/>
  <c r="AS60" i="23" s="1"/>
  <c r="AP98" i="23"/>
  <c r="AS98" i="23" s="1"/>
  <c r="AP104" i="23"/>
  <c r="AS104" i="23" s="1"/>
  <c r="AP106" i="23"/>
  <c r="AS106" i="23" s="1"/>
  <c r="AP78" i="23"/>
  <c r="AS78" i="23" s="1"/>
  <c r="AP102" i="23"/>
  <c r="AS102" i="23" s="1"/>
  <c r="AP83" i="23"/>
  <c r="AS83" i="23" s="1"/>
  <c r="AP76" i="23"/>
  <c r="AS76" i="23" s="1"/>
  <c r="AP93" i="23"/>
  <c r="AS93" i="23" s="1"/>
  <c r="AP81" i="23"/>
  <c r="AS81" i="23" s="1"/>
  <c r="AP45" i="23"/>
  <c r="AS45" i="23" s="1"/>
  <c r="AP103" i="23"/>
  <c r="AS103" i="23" s="1"/>
  <c r="AP96" i="23"/>
  <c r="AS96" i="23" s="1"/>
  <c r="AP40" i="23"/>
  <c r="AS40" i="23" s="1"/>
  <c r="AP94" i="23"/>
  <c r="AS94" i="23" s="1"/>
  <c r="AP59" i="23"/>
  <c r="AS59" i="23" s="1"/>
  <c r="AP68" i="23"/>
  <c r="AS68" i="23" s="1"/>
  <c r="AP71" i="23"/>
  <c r="AS71" i="23" s="1"/>
  <c r="AP31" i="23"/>
  <c r="AS31" i="23" s="1"/>
  <c r="AP80" i="23"/>
  <c r="AS80" i="23" s="1"/>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B322" i="2"/>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40" i="2"/>
  <c r="B32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B39" i="23"/>
  <c r="B77" i="23"/>
  <c r="AQ18" i="23"/>
  <c r="AQ50" i="23"/>
  <c r="AQ82" i="23"/>
  <c r="AQ13" i="23"/>
  <c r="AQ77" i="23"/>
  <c r="AQ57" i="23"/>
  <c r="AQ76" i="23"/>
  <c r="AQ71" i="23"/>
  <c r="AQ102" i="23"/>
  <c r="AQ64" i="23"/>
  <c r="AQ59" i="23"/>
  <c r="AQ40" i="23"/>
  <c r="AQ67" i="23"/>
  <c r="AQ34" i="23"/>
  <c r="AQ61" i="23"/>
  <c r="AQ89" i="23"/>
  <c r="AQ23" i="23"/>
  <c r="AQ62" i="23"/>
  <c r="AQ80" i="23"/>
  <c r="AQ107" i="23"/>
  <c r="AQ26" i="23"/>
  <c r="AQ58" i="23"/>
  <c r="AQ90" i="23"/>
  <c r="AQ21" i="23"/>
  <c r="AQ53" i="23"/>
  <c r="AQ85" i="23"/>
  <c r="AQ14" i="23"/>
  <c r="AQ109" i="23"/>
  <c r="AQ73" i="23"/>
  <c r="AQ20" i="23"/>
  <c r="AQ52" i="23"/>
  <c r="AQ84" i="23"/>
  <c r="AQ15" i="23"/>
  <c r="AQ47" i="23"/>
  <c r="AQ79" i="23"/>
  <c r="AQ22" i="23"/>
  <c r="AQ54" i="23"/>
  <c r="AQ17" i="23"/>
  <c r="AQ105" i="23"/>
  <c r="AQ72" i="23"/>
  <c r="AQ35" i="23"/>
  <c r="AQ98" i="23"/>
  <c r="AQ70" i="23"/>
  <c r="AQ60" i="23"/>
  <c r="AQ87" i="23"/>
  <c r="AQ16" i="23"/>
  <c r="AQ43" i="23"/>
  <c r="AQ10" i="23"/>
  <c r="AQ42" i="23"/>
  <c r="AQ74" i="23"/>
  <c r="AQ106" i="23"/>
  <c r="AQ37" i="23"/>
  <c r="AQ69" i="23"/>
  <c r="AQ101" i="23"/>
  <c r="AQ86" i="23"/>
  <c r="AQ41" i="23"/>
  <c r="AQ97" i="23"/>
  <c r="AQ36" i="23"/>
  <c r="AQ68" i="23"/>
  <c r="AQ100" i="23"/>
  <c r="AQ31" i="23"/>
  <c r="AQ63" i="23"/>
  <c r="AQ95" i="23"/>
  <c r="AQ38" i="23"/>
  <c r="AQ78" i="23"/>
  <c r="AQ49" i="23"/>
  <c r="AQ24" i="23"/>
  <c r="AQ56" i="23"/>
  <c r="AQ88" i="23"/>
  <c r="AQ19" i="23"/>
  <c r="AQ51" i="23"/>
  <c r="AQ83" i="23"/>
  <c r="AQ65" i="23"/>
  <c r="AQ45" i="23"/>
  <c r="AQ9" i="23"/>
  <c r="AQ94" i="23"/>
  <c r="AQ12" i="23"/>
  <c r="AQ44" i="23"/>
  <c r="AQ108" i="23"/>
  <c r="AQ39" i="23"/>
  <c r="AQ103" i="23"/>
  <c r="AQ46" i="23"/>
  <c r="AQ81" i="23"/>
  <c r="AQ32" i="23"/>
  <c r="AQ96" i="23"/>
  <c r="AQ27" i="23"/>
  <c r="AQ91" i="23"/>
  <c r="AQ104" i="23"/>
  <c r="AQ99" i="23"/>
  <c r="AQ66" i="23"/>
  <c r="AQ29" i="23"/>
  <c r="AQ93" i="23"/>
  <c r="AQ25" i="23"/>
  <c r="AQ28" i="23"/>
  <c r="AQ92" i="23"/>
  <c r="AQ55" i="23"/>
  <c r="AQ30" i="23"/>
  <c r="AQ33" i="23"/>
  <c r="AQ48" i="23"/>
  <c r="AQ11" i="23"/>
  <c r="AQ75" i="23"/>
  <c r="M9" i="23"/>
  <c r="M40" i="23"/>
  <c r="N40" i="23" s="1"/>
  <c r="M88" i="23"/>
  <c r="N88" i="23" s="1"/>
  <c r="M39" i="23"/>
  <c r="N39" i="23" s="1"/>
  <c r="M36" i="23"/>
  <c r="N36" i="23" s="1"/>
  <c r="M100" i="23"/>
  <c r="N100" i="23" s="1"/>
  <c r="M68" i="23"/>
  <c r="N68" i="23" s="1"/>
  <c r="M67" i="23"/>
  <c r="N67" i="23" s="1"/>
  <c r="M23" i="23"/>
  <c r="N23" i="23" s="1"/>
  <c r="M59" i="23"/>
  <c r="N59" i="23" s="1"/>
  <c r="M17" i="23"/>
  <c r="N17" i="23" s="1"/>
  <c r="M33" i="23"/>
  <c r="N33" i="23" s="1"/>
  <c r="M62" i="23"/>
  <c r="N62" i="23" s="1"/>
  <c r="M63" i="23"/>
  <c r="N63" i="23" s="1"/>
  <c r="M12" i="23"/>
  <c r="N12" i="23" s="1"/>
  <c r="M94" i="23"/>
  <c r="N94" i="23" s="1"/>
  <c r="M95" i="23"/>
  <c r="N95" i="23" s="1"/>
  <c r="M92" i="23"/>
  <c r="N92" i="23" s="1"/>
  <c r="M78" i="23"/>
  <c r="N78" i="23" s="1"/>
  <c r="M77" i="23"/>
  <c r="N77" i="23" s="1"/>
  <c r="M43" i="23"/>
  <c r="N43" i="23" s="1"/>
  <c r="M37" i="23"/>
  <c r="N37" i="23" s="1"/>
  <c r="M74" i="23"/>
  <c r="N74" i="23" s="1"/>
  <c r="M55" i="23"/>
  <c r="N55" i="23" s="1"/>
  <c r="M65" i="23"/>
  <c r="N65" i="23" s="1"/>
  <c r="M107" i="23"/>
  <c r="N107" i="23" s="1"/>
  <c r="M41" i="23"/>
  <c r="N41" i="23" s="1"/>
  <c r="M38" i="23"/>
  <c r="N38" i="23" s="1"/>
  <c r="M13" i="23"/>
  <c r="N13" i="23" s="1"/>
  <c r="M29" i="23"/>
  <c r="N29" i="23" s="1"/>
  <c r="M49" i="23"/>
  <c r="N49" i="23" s="1"/>
  <c r="M21" i="23"/>
  <c r="N21" i="23" s="1"/>
  <c r="M105" i="23"/>
  <c r="N105" i="23" s="1"/>
  <c r="M85" i="23"/>
  <c r="N85" i="23" s="1"/>
  <c r="M53" i="23"/>
  <c r="N53" i="23" s="1"/>
  <c r="M18" i="23"/>
  <c r="N18" i="23" s="1"/>
  <c r="M27" i="23"/>
  <c r="N27" i="23" s="1"/>
  <c r="M42" i="23"/>
  <c r="N42" i="23" s="1"/>
  <c r="M104" i="23"/>
  <c r="N104" i="23" s="1"/>
  <c r="M72" i="23"/>
  <c r="N72" i="23" s="1"/>
  <c r="M103" i="23"/>
  <c r="N103" i="23" s="1"/>
  <c r="M71" i="23"/>
  <c r="N71" i="23" s="1"/>
  <c r="M20" i="23"/>
  <c r="N20" i="23" s="1"/>
  <c r="M84" i="23"/>
  <c r="N84" i="23" s="1"/>
  <c r="M52" i="23"/>
  <c r="N52" i="23" s="1"/>
  <c r="M102" i="23"/>
  <c r="N102" i="23" s="1"/>
  <c r="M83" i="23"/>
  <c r="N83" i="23" s="1"/>
  <c r="M51" i="23"/>
  <c r="N51" i="23" s="1"/>
  <c r="M81" i="23"/>
  <c r="N81" i="23" s="1"/>
  <c r="M108" i="23"/>
  <c r="N108" i="23" s="1"/>
  <c r="M57" i="23"/>
  <c r="N57" i="23" s="1"/>
  <c r="M11" i="23"/>
  <c r="N11" i="23" s="1"/>
  <c r="M26" i="23"/>
  <c r="N26" i="23" s="1"/>
  <c r="M79" i="23"/>
  <c r="N79" i="23" s="1"/>
  <c r="M46" i="23"/>
  <c r="N46" i="23" s="1"/>
  <c r="M28" i="23"/>
  <c r="N28" i="23" s="1"/>
  <c r="M91" i="23"/>
  <c r="N91" i="23" s="1"/>
  <c r="M61" i="23"/>
  <c r="N61" i="23" s="1"/>
  <c r="M22" i="23"/>
  <c r="N22" i="23" s="1"/>
  <c r="M34" i="23"/>
  <c r="N34" i="23" s="1"/>
  <c r="M15" i="23"/>
  <c r="N15" i="23" s="1"/>
  <c r="M35" i="23"/>
  <c r="N35" i="23" s="1"/>
  <c r="M90" i="23"/>
  <c r="N90" i="23" s="1"/>
  <c r="M45" i="23"/>
  <c r="N45" i="23" s="1"/>
  <c r="M75" i="23"/>
  <c r="N75" i="23" s="1"/>
  <c r="M73" i="23"/>
  <c r="N73" i="23" s="1"/>
  <c r="M82" i="23"/>
  <c r="N82" i="23" s="1"/>
  <c r="M31" i="23"/>
  <c r="N31" i="23" s="1"/>
  <c r="M70" i="23"/>
  <c r="N70" i="23" s="1"/>
  <c r="M99" i="23"/>
  <c r="N99" i="23" s="1"/>
  <c r="M48" i="23"/>
  <c r="N48" i="23" s="1"/>
  <c r="M10" i="23"/>
  <c r="N10" i="23" s="1"/>
  <c r="M106" i="23"/>
  <c r="N106" i="23" s="1"/>
  <c r="M101" i="23"/>
  <c r="N101" i="23" s="1"/>
  <c r="M69" i="23"/>
  <c r="N69" i="23" s="1"/>
  <c r="M96" i="23"/>
  <c r="N96" i="23" s="1"/>
  <c r="M64" i="23"/>
  <c r="N64" i="23" s="1"/>
  <c r="M44" i="23"/>
  <c r="N44" i="23" s="1"/>
  <c r="G234" i="2"/>
  <c r="B58" i="21"/>
  <c r="AL9" i="21"/>
  <c r="B37" i="21"/>
  <c r="M9" i="21"/>
  <c r="N9" i="21" s="1"/>
  <c r="D52" i="2"/>
  <c r="D56" i="2" s="1"/>
  <c r="D192" i="2"/>
  <c r="B188" i="2"/>
  <c r="B187" i="2"/>
  <c r="B118" i="2"/>
  <c r="B37" i="2"/>
  <c r="D37" i="2"/>
  <c r="B68" i="23" s="1"/>
  <c r="B21" i="2"/>
  <c r="B388"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28" i="2"/>
  <c r="B351" i="2"/>
  <c r="A340" i="2"/>
  <c r="B340" i="2"/>
  <c r="B49" i="2"/>
  <c r="B239" i="2"/>
  <c r="N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206" i="2"/>
  <c r="B16" i="2"/>
  <c r="B34" i="2"/>
  <c r="B349" i="2"/>
  <c r="N4" i="8"/>
  <c r="O4" i="8" s="1"/>
  <c r="E13" i="1" s="1"/>
  <c r="O10" i="8"/>
  <c r="F66" i="1"/>
  <c r="B257"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O22" i="8" s="1"/>
  <c r="E56" i="1"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2" i="6" s="1"/>
  <c r="B13" i="6" s="1"/>
  <c r="B72" i="2"/>
  <c r="B221" i="2"/>
  <c r="B161"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M50" i="23" l="1"/>
  <c r="N50" i="23" s="1"/>
  <c r="M25" i="23"/>
  <c r="N25" i="23" s="1"/>
  <c r="B53" i="2"/>
  <c r="B57" i="2" s="1"/>
  <c r="B68" i="2" s="1"/>
  <c r="M54" i="23"/>
  <c r="N54" i="23" s="1"/>
  <c r="O54" i="23" s="1"/>
  <c r="M66" i="23"/>
  <c r="N66" i="23" s="1"/>
  <c r="O66" i="23" s="1"/>
  <c r="M98" i="23"/>
  <c r="N98" i="23" s="1"/>
  <c r="O98" i="23" s="1"/>
  <c r="M80" i="23"/>
  <c r="N80" i="23" s="1"/>
  <c r="O80" i="23" s="1"/>
  <c r="M89" i="23"/>
  <c r="N89" i="23" s="1"/>
  <c r="P89" i="23" s="1"/>
  <c r="Q89" i="23" s="1"/>
  <c r="AE89" i="23" s="1"/>
  <c r="M24" i="23"/>
  <c r="N24" i="23" s="1"/>
  <c r="O24" i="23" s="1"/>
  <c r="M97" i="23"/>
  <c r="N97" i="23" s="1"/>
  <c r="O97" i="23" s="1"/>
  <c r="B52" i="2"/>
  <c r="B56" i="2" s="1"/>
  <c r="M60" i="23"/>
  <c r="N60" i="23" s="1"/>
  <c r="O60" i="23" s="1"/>
  <c r="M87" i="23"/>
  <c r="N87" i="23" s="1"/>
  <c r="AF87" i="23" s="1"/>
  <c r="B54" i="2"/>
  <c r="B58" i="2" s="1"/>
  <c r="B154" i="2" s="1"/>
  <c r="M16" i="23"/>
  <c r="N16" i="23" s="1"/>
  <c r="O16" i="23" s="1"/>
  <c r="M86" i="23"/>
  <c r="N86" i="23" s="1"/>
  <c r="P86" i="23" s="1"/>
  <c r="Q86" i="23" s="1"/>
  <c r="AE86" i="23" s="1"/>
  <c r="M93" i="23"/>
  <c r="N93" i="23" s="1"/>
  <c r="V93" i="23" s="1"/>
  <c r="M109" i="23"/>
  <c r="N109" i="23" s="1"/>
  <c r="P109" i="23" s="1"/>
  <c r="Q109" i="23" s="1"/>
  <c r="AE109" i="23" s="1"/>
  <c r="M76" i="23"/>
  <c r="N76" i="23" s="1"/>
  <c r="AF76" i="23" s="1"/>
  <c r="M58" i="23"/>
  <c r="N58" i="23" s="1"/>
  <c r="O58" i="23" s="1"/>
  <c r="M32" i="23"/>
  <c r="N32" i="23" s="1"/>
  <c r="P32" i="23" s="1"/>
  <c r="Q32" i="23" s="1"/>
  <c r="AE32" i="23" s="1"/>
  <c r="M14" i="23"/>
  <c r="N14" i="23" s="1"/>
  <c r="O14" i="23" s="1"/>
  <c r="M19" i="23"/>
  <c r="N19" i="23" s="1"/>
  <c r="O19" i="23" s="1"/>
  <c r="M47" i="23"/>
  <c r="N47" i="23" s="1"/>
  <c r="P47" i="23" s="1"/>
  <c r="Q47" i="23" s="1"/>
  <c r="AE47" i="23" s="1"/>
  <c r="M30" i="23"/>
  <c r="N30" i="23" s="1"/>
  <c r="O30" i="23" s="1"/>
  <c r="C65" i="16"/>
  <c r="D65" i="16" s="1"/>
  <c r="B95" i="2"/>
  <c r="E20" i="1" s="1"/>
  <c r="C64" i="16"/>
  <c r="B183" i="2"/>
  <c r="B192" i="2" s="1"/>
  <c r="B42" i="2"/>
  <c r="B44" i="2" s="1"/>
  <c r="E27" i="1" s="1"/>
  <c r="D63" i="2"/>
  <c r="D197" i="2"/>
  <c r="F6" i="25" s="1"/>
  <c r="D194" i="2"/>
  <c r="O48" i="23"/>
  <c r="P48" i="23"/>
  <c r="Q48" i="23" s="1"/>
  <c r="AE48" i="23" s="1"/>
  <c r="O18" i="23"/>
  <c r="P18" i="23"/>
  <c r="Q18" i="23" s="1"/>
  <c r="AE18" i="23" s="1"/>
  <c r="P92" i="23"/>
  <c r="Q92" i="23" s="1"/>
  <c r="AE92" i="23" s="1"/>
  <c r="O92" i="23"/>
  <c r="O64" i="23"/>
  <c r="P64" i="23"/>
  <c r="Q64" i="23" s="1"/>
  <c r="AE64" i="23" s="1"/>
  <c r="P90" i="23"/>
  <c r="Q90" i="23" s="1"/>
  <c r="AE90" i="23" s="1"/>
  <c r="O90" i="23"/>
  <c r="P28" i="23"/>
  <c r="Q28" i="23" s="1"/>
  <c r="AE28" i="23" s="1"/>
  <c r="O28" i="23"/>
  <c r="O81" i="23"/>
  <c r="P81" i="23"/>
  <c r="Q81" i="23" s="1"/>
  <c r="AE81" i="23" s="1"/>
  <c r="O71" i="23"/>
  <c r="P71" i="23"/>
  <c r="Q71" i="23" s="1"/>
  <c r="AE71" i="23" s="1"/>
  <c r="P53" i="23"/>
  <c r="Q53" i="23" s="1"/>
  <c r="AE53" i="23" s="1"/>
  <c r="O53" i="23"/>
  <c r="O13" i="23"/>
  <c r="P13" i="23"/>
  <c r="Q13" i="23" s="1"/>
  <c r="AE13" i="23" s="1"/>
  <c r="P74" i="23"/>
  <c r="Q74" i="23" s="1"/>
  <c r="AE74" i="23" s="1"/>
  <c r="O74" i="23"/>
  <c r="P95" i="23"/>
  <c r="Q95" i="23" s="1"/>
  <c r="AE95" i="23" s="1"/>
  <c r="O95" i="23"/>
  <c r="P33" i="23"/>
  <c r="Q33" i="23" s="1"/>
  <c r="AE33" i="23" s="1"/>
  <c r="O33" i="23"/>
  <c r="O68" i="23"/>
  <c r="P68" i="23"/>
  <c r="Q68" i="23" s="1"/>
  <c r="AE68" i="23" s="1"/>
  <c r="P40" i="23"/>
  <c r="Q40" i="23" s="1"/>
  <c r="AE40" i="23" s="1"/>
  <c r="O40" i="23"/>
  <c r="O75" i="23"/>
  <c r="P75" i="23"/>
  <c r="Q75" i="23" s="1"/>
  <c r="AE75" i="23" s="1"/>
  <c r="O108" i="23"/>
  <c r="P108" i="23"/>
  <c r="Q108" i="23" s="1"/>
  <c r="AE108" i="23" s="1"/>
  <c r="O67" i="23"/>
  <c r="P67" i="23"/>
  <c r="Q67" i="23" s="1"/>
  <c r="AE67" i="23" s="1"/>
  <c r="P99" i="23"/>
  <c r="Q99" i="23" s="1"/>
  <c r="AE99" i="23" s="1"/>
  <c r="O99" i="23"/>
  <c r="P96" i="23"/>
  <c r="Q96" i="23" s="1"/>
  <c r="AE96" i="23" s="1"/>
  <c r="O96" i="23"/>
  <c r="O70" i="23"/>
  <c r="P70" i="23"/>
  <c r="Q70" i="23" s="1"/>
  <c r="AE70" i="23" s="1"/>
  <c r="O35" i="23"/>
  <c r="P35" i="23"/>
  <c r="Q35" i="23" s="1"/>
  <c r="AE35" i="23" s="1"/>
  <c r="P46" i="23"/>
  <c r="Q46" i="23" s="1"/>
  <c r="AE46" i="23" s="1"/>
  <c r="O46" i="23"/>
  <c r="O51" i="23"/>
  <c r="P51" i="23"/>
  <c r="Q51" i="23" s="1"/>
  <c r="AE51" i="23" s="1"/>
  <c r="O103" i="23"/>
  <c r="P103" i="23"/>
  <c r="Q103" i="23" s="1"/>
  <c r="AE103" i="23" s="1"/>
  <c r="P85" i="23"/>
  <c r="Q85" i="23" s="1"/>
  <c r="AE85" i="23" s="1"/>
  <c r="O85" i="23"/>
  <c r="O38" i="23"/>
  <c r="P38" i="23"/>
  <c r="Q38" i="23" s="1"/>
  <c r="AE38" i="23" s="1"/>
  <c r="O37" i="23"/>
  <c r="P37" i="23"/>
  <c r="Q37" i="23" s="1"/>
  <c r="AE37" i="23" s="1"/>
  <c r="O94" i="23"/>
  <c r="P94" i="23"/>
  <c r="Q94" i="23" s="1"/>
  <c r="AE94" i="23" s="1"/>
  <c r="O17" i="23"/>
  <c r="P17" i="23"/>
  <c r="Q17" i="23" s="1"/>
  <c r="AE17" i="23" s="1"/>
  <c r="O100" i="23"/>
  <c r="P100" i="23"/>
  <c r="Q100" i="23" s="1"/>
  <c r="AE100" i="23" s="1"/>
  <c r="O50" i="23"/>
  <c r="P50" i="23"/>
  <c r="Q50" i="23" s="1"/>
  <c r="AE50" i="23" s="1"/>
  <c r="O10" i="23"/>
  <c r="P10" i="23"/>
  <c r="Q10" i="23" s="1"/>
  <c r="AE10" i="23" s="1"/>
  <c r="O91" i="23"/>
  <c r="P91" i="23"/>
  <c r="Q91" i="23" s="1"/>
  <c r="AE91" i="23" s="1"/>
  <c r="O88" i="23"/>
  <c r="P88" i="23"/>
  <c r="Q88" i="23" s="1"/>
  <c r="AE88" i="23" s="1"/>
  <c r="P15" i="23"/>
  <c r="Q15" i="23" s="1"/>
  <c r="AE15" i="23" s="1"/>
  <c r="O15" i="23"/>
  <c r="O72" i="23"/>
  <c r="P72" i="23"/>
  <c r="Q72" i="23" s="1"/>
  <c r="AE72" i="23" s="1"/>
  <c r="P54" i="23"/>
  <c r="Q54" i="23" s="1"/>
  <c r="AE54" i="23" s="1"/>
  <c r="P98" i="23"/>
  <c r="Q98" i="23" s="1"/>
  <c r="AE98" i="23" s="1"/>
  <c r="P44" i="23"/>
  <c r="Q44" i="23" s="1"/>
  <c r="AE44" i="23" s="1"/>
  <c r="O44" i="23"/>
  <c r="O20" i="23"/>
  <c r="P20" i="23"/>
  <c r="Q20" i="23" s="1"/>
  <c r="AE20" i="23" s="1"/>
  <c r="P62" i="23"/>
  <c r="Q62" i="23" s="1"/>
  <c r="AE62" i="23" s="1"/>
  <c r="O62" i="23"/>
  <c r="O31" i="23"/>
  <c r="P31" i="23"/>
  <c r="Q31" i="23" s="1"/>
  <c r="AE31" i="23" s="1"/>
  <c r="O83" i="23"/>
  <c r="P83" i="23"/>
  <c r="Q83" i="23" s="1"/>
  <c r="AE83" i="23" s="1"/>
  <c r="O101" i="23"/>
  <c r="P101" i="23"/>
  <c r="Q101" i="23" s="1"/>
  <c r="AE101" i="23" s="1"/>
  <c r="O82" i="23"/>
  <c r="P82" i="23"/>
  <c r="Q82" i="23" s="1"/>
  <c r="AE82" i="23" s="1"/>
  <c r="O34" i="23"/>
  <c r="P34" i="23"/>
  <c r="Q34" i="23" s="1"/>
  <c r="AE34" i="23" s="1"/>
  <c r="O26" i="23"/>
  <c r="P26" i="23"/>
  <c r="Q26" i="23" s="1"/>
  <c r="AE26" i="23" s="1"/>
  <c r="O102" i="23"/>
  <c r="P102" i="23"/>
  <c r="Q102" i="23" s="1"/>
  <c r="AE102" i="23" s="1"/>
  <c r="P104" i="23"/>
  <c r="Q104" i="23" s="1"/>
  <c r="AE104" i="23" s="1"/>
  <c r="O104" i="23"/>
  <c r="O105" i="23"/>
  <c r="P105" i="23"/>
  <c r="Q105" i="23" s="1"/>
  <c r="AE105" i="23" s="1"/>
  <c r="P41" i="23"/>
  <c r="Q41" i="23" s="1"/>
  <c r="AE41" i="23" s="1"/>
  <c r="O41" i="23"/>
  <c r="O43" i="23"/>
  <c r="P43" i="23"/>
  <c r="Q43" i="23" s="1"/>
  <c r="AE43" i="23" s="1"/>
  <c r="O12" i="23"/>
  <c r="P12" i="23"/>
  <c r="Q12" i="23" s="1"/>
  <c r="AE12" i="23" s="1"/>
  <c r="O59" i="23"/>
  <c r="P59" i="23"/>
  <c r="Q59" i="23" s="1"/>
  <c r="AE59" i="23" s="1"/>
  <c r="O36" i="23"/>
  <c r="P36" i="23"/>
  <c r="Q36" i="23" s="1"/>
  <c r="AE36" i="23" s="1"/>
  <c r="P45" i="23"/>
  <c r="Q45" i="23" s="1"/>
  <c r="AE45" i="23" s="1"/>
  <c r="O45" i="23"/>
  <c r="O29" i="23"/>
  <c r="P29" i="23"/>
  <c r="Q29" i="23" s="1"/>
  <c r="AE29" i="23" s="1"/>
  <c r="O55" i="23"/>
  <c r="P55" i="23"/>
  <c r="Q55" i="23" s="1"/>
  <c r="AE55" i="23" s="1"/>
  <c r="O69" i="23"/>
  <c r="P69" i="23"/>
  <c r="Q69" i="23" s="1"/>
  <c r="AE69" i="23" s="1"/>
  <c r="P79" i="23"/>
  <c r="Q79" i="23" s="1"/>
  <c r="AE79" i="23" s="1"/>
  <c r="O79" i="23"/>
  <c r="O106" i="23"/>
  <c r="P106" i="23"/>
  <c r="Q106" i="23" s="1"/>
  <c r="AE106" i="23" s="1"/>
  <c r="O73" i="23"/>
  <c r="P73" i="23"/>
  <c r="Q73" i="23" s="1"/>
  <c r="AE73" i="23" s="1"/>
  <c r="P22" i="23"/>
  <c r="Q22" i="23" s="1"/>
  <c r="AE22" i="23" s="1"/>
  <c r="O22" i="23"/>
  <c r="O11" i="23"/>
  <c r="P11" i="23"/>
  <c r="Q11" i="23" s="1"/>
  <c r="AE11" i="23" s="1"/>
  <c r="O52" i="23"/>
  <c r="P52" i="23"/>
  <c r="Q52" i="23" s="1"/>
  <c r="AE52" i="23" s="1"/>
  <c r="O42" i="23"/>
  <c r="P42" i="23"/>
  <c r="Q42" i="23" s="1"/>
  <c r="AE42" i="23" s="1"/>
  <c r="P21" i="23"/>
  <c r="Q21" i="23" s="1"/>
  <c r="AE21" i="23" s="1"/>
  <c r="O21" i="23"/>
  <c r="O107" i="23"/>
  <c r="P107" i="23"/>
  <c r="Q107" i="23" s="1"/>
  <c r="AE107" i="23" s="1"/>
  <c r="P77" i="23"/>
  <c r="Q77" i="23" s="1"/>
  <c r="AE77" i="23" s="1"/>
  <c r="O77" i="23"/>
  <c r="O25" i="23"/>
  <c r="P25" i="23"/>
  <c r="Q25" i="23" s="1"/>
  <c r="AE25" i="23" s="1"/>
  <c r="P61" i="23"/>
  <c r="Q61" i="23" s="1"/>
  <c r="AE61" i="23" s="1"/>
  <c r="O61" i="23"/>
  <c r="P57" i="23"/>
  <c r="Q57" i="23" s="1"/>
  <c r="AE57" i="23" s="1"/>
  <c r="O57" i="23"/>
  <c r="O84" i="23"/>
  <c r="P84" i="23"/>
  <c r="Q84" i="23" s="1"/>
  <c r="AE84" i="23" s="1"/>
  <c r="P27" i="23"/>
  <c r="Q27" i="23" s="1"/>
  <c r="AE27" i="23" s="1"/>
  <c r="O27" i="23"/>
  <c r="P49" i="23"/>
  <c r="Q49" i="23" s="1"/>
  <c r="AE49" i="23" s="1"/>
  <c r="O49" i="23"/>
  <c r="O65" i="23"/>
  <c r="P65" i="23"/>
  <c r="Q65" i="23" s="1"/>
  <c r="AE65" i="23" s="1"/>
  <c r="O78" i="23"/>
  <c r="P78" i="23"/>
  <c r="Q78" i="23" s="1"/>
  <c r="AE78" i="23" s="1"/>
  <c r="P63" i="23"/>
  <c r="Q63" i="23" s="1"/>
  <c r="AE63" i="23" s="1"/>
  <c r="O63" i="23"/>
  <c r="O23" i="23"/>
  <c r="P23" i="23"/>
  <c r="Q23" i="23" s="1"/>
  <c r="AE23" i="23" s="1"/>
  <c r="P39" i="23"/>
  <c r="Q39" i="23" s="1"/>
  <c r="AE39" i="23" s="1"/>
  <c r="O39" i="23"/>
  <c r="O32" i="23"/>
  <c r="P14" i="23"/>
  <c r="Q14" i="23" s="1"/>
  <c r="AE14" i="23" s="1"/>
  <c r="O56" i="23"/>
  <c r="P56" i="23"/>
  <c r="Q56" i="23" s="1"/>
  <c r="AE56" i="23" s="1"/>
  <c r="M131" i="2"/>
  <c r="D131" i="2"/>
  <c r="K131" i="2"/>
  <c r="K134" i="2" s="1"/>
  <c r="P9" i="21"/>
  <c r="Q9" i="21" s="1"/>
  <c r="AE9" i="21" s="1"/>
  <c r="O9" i="21"/>
  <c r="B323" i="2"/>
  <c r="B324" i="2" s="1"/>
  <c r="E104" i="1" s="1"/>
  <c r="E103" i="1"/>
  <c r="F613" i="25"/>
  <c r="F611" i="25"/>
  <c r="C633" i="25"/>
  <c r="E613" i="25"/>
  <c r="E611" i="25"/>
  <c r="E609" i="25"/>
  <c r="A623" i="25"/>
  <c r="E612" i="25"/>
  <c r="E610" i="25"/>
  <c r="E608" i="25"/>
  <c r="E605" i="25"/>
  <c r="E603" i="25"/>
  <c r="E601" i="25"/>
  <c r="E599" i="25"/>
  <c r="E597" i="25"/>
  <c r="F610" i="25"/>
  <c r="F608" i="25"/>
  <c r="F607" i="25"/>
  <c r="F606" i="25"/>
  <c r="F604" i="25"/>
  <c r="F602" i="25"/>
  <c r="F600" i="25"/>
  <c r="F598" i="25"/>
  <c r="F605" i="25"/>
  <c r="F603" i="25"/>
  <c r="F601" i="25"/>
  <c r="F599" i="25"/>
  <c r="F597" i="25"/>
  <c r="F595" i="25"/>
  <c r="F593" i="25"/>
  <c r="E607" i="25"/>
  <c r="E604" i="25"/>
  <c r="E594" i="25"/>
  <c r="F592" i="25"/>
  <c r="F590" i="25"/>
  <c r="F588" i="25"/>
  <c r="F586" i="25"/>
  <c r="F612" i="25"/>
  <c r="E606" i="25"/>
  <c r="E598" i="25"/>
  <c r="E592" i="25"/>
  <c r="E590" i="25"/>
  <c r="E588" i="25"/>
  <c r="E586" i="25"/>
  <c r="E584" i="25"/>
  <c r="E602" i="25"/>
  <c r="E596" i="25"/>
  <c r="F594" i="25"/>
  <c r="E593" i="25"/>
  <c r="E591" i="25"/>
  <c r="E589" i="25"/>
  <c r="E587" i="25"/>
  <c r="E585" i="25"/>
  <c r="E583" i="25"/>
  <c r="E581" i="25"/>
  <c r="E579" i="25"/>
  <c r="F609" i="25"/>
  <c r="E600" i="25"/>
  <c r="F591" i="25"/>
  <c r="E582" i="25"/>
  <c r="F581" i="25"/>
  <c r="F580" i="25"/>
  <c r="E577" i="25"/>
  <c r="E575" i="25"/>
  <c r="E573" i="25"/>
  <c r="E571" i="25"/>
  <c r="E569" i="25"/>
  <c r="E567" i="25"/>
  <c r="E565" i="25"/>
  <c r="E563" i="25"/>
  <c r="E561" i="25"/>
  <c r="E559" i="25"/>
  <c r="E557" i="25"/>
  <c r="F585" i="25"/>
  <c r="E580" i="25"/>
  <c r="F579" i="25"/>
  <c r="F578" i="25"/>
  <c r="F576" i="25"/>
  <c r="F574" i="25"/>
  <c r="F572" i="25"/>
  <c r="F570" i="25"/>
  <c r="F568" i="25"/>
  <c r="F566" i="25"/>
  <c r="F596" i="25"/>
  <c r="E595" i="25"/>
  <c r="F589" i="25"/>
  <c r="F584" i="25"/>
  <c r="F583" i="25"/>
  <c r="F582" i="25"/>
  <c r="F577" i="25"/>
  <c r="F575" i="25"/>
  <c r="F573" i="25"/>
  <c r="F571" i="25"/>
  <c r="F569" i="25"/>
  <c r="F567" i="25"/>
  <c r="E576" i="25"/>
  <c r="E568" i="25"/>
  <c r="F565" i="25"/>
  <c r="E560" i="25"/>
  <c r="F559" i="25"/>
  <c r="F558" i="25"/>
  <c r="E556" i="25"/>
  <c r="E554" i="25"/>
  <c r="E552" i="25"/>
  <c r="E550" i="25"/>
  <c r="E548" i="25"/>
  <c r="E546" i="25"/>
  <c r="E544" i="25"/>
  <c r="E542" i="25"/>
  <c r="E540" i="25"/>
  <c r="E538" i="25"/>
  <c r="E536" i="25"/>
  <c r="E534" i="25"/>
  <c r="E532" i="25"/>
  <c r="E530" i="25"/>
  <c r="E528" i="25"/>
  <c r="E526" i="25"/>
  <c r="E570" i="25"/>
  <c r="F564" i="25"/>
  <c r="E558" i="25"/>
  <c r="F557" i="25"/>
  <c r="F555" i="25"/>
  <c r="F553" i="25"/>
  <c r="F551" i="25"/>
  <c r="F549" i="25"/>
  <c r="F547" i="25"/>
  <c r="F545" i="25"/>
  <c r="F543" i="25"/>
  <c r="F541" i="25"/>
  <c r="F539" i="25"/>
  <c r="E578" i="25"/>
  <c r="E574" i="25"/>
  <c r="E566" i="25"/>
  <c r="E562" i="25"/>
  <c r="F561" i="25"/>
  <c r="F560" i="25"/>
  <c r="F556" i="25"/>
  <c r="F554" i="25"/>
  <c r="F552" i="25"/>
  <c r="F550" i="25"/>
  <c r="F548" i="25"/>
  <c r="F546" i="25"/>
  <c r="F544" i="25"/>
  <c r="F542" i="25"/>
  <c r="F540" i="25"/>
  <c r="E572" i="25"/>
  <c r="E549" i="25"/>
  <c r="E541" i="25"/>
  <c r="F538" i="25"/>
  <c r="F537" i="25"/>
  <c r="E531" i="25"/>
  <c r="F530" i="25"/>
  <c r="F529" i="25"/>
  <c r="E564" i="25"/>
  <c r="F563" i="25"/>
  <c r="F562" i="25"/>
  <c r="E551" i="25"/>
  <c r="E543" i="25"/>
  <c r="E537" i="25"/>
  <c r="F536" i="25"/>
  <c r="F535" i="25"/>
  <c r="E529" i="25"/>
  <c r="F528" i="25"/>
  <c r="F527" i="25"/>
  <c r="E524" i="25"/>
  <c r="E555" i="25"/>
  <c r="E547" i="25"/>
  <c r="E539" i="25"/>
  <c r="E533" i="25"/>
  <c r="F532" i="25"/>
  <c r="F531" i="25"/>
  <c r="E525" i="25"/>
  <c r="E523" i="25"/>
  <c r="E521" i="25"/>
  <c r="E519" i="25"/>
  <c r="E517" i="25"/>
  <c r="E515" i="25"/>
  <c r="E513" i="25"/>
  <c r="E553" i="25"/>
  <c r="E527" i="25"/>
  <c r="F526" i="25"/>
  <c r="F525" i="25"/>
  <c r="E518" i="25"/>
  <c r="F517" i="25"/>
  <c r="F516" i="25"/>
  <c r="E510" i="25"/>
  <c r="E508" i="25"/>
  <c r="E506" i="25"/>
  <c r="E504" i="25"/>
  <c r="E502" i="25"/>
  <c r="E500" i="25"/>
  <c r="E498" i="25"/>
  <c r="E496" i="25"/>
  <c r="E494" i="25"/>
  <c r="E492" i="25"/>
  <c r="E490" i="25"/>
  <c r="E488" i="25"/>
  <c r="E486" i="25"/>
  <c r="E484" i="25"/>
  <c r="E482" i="25"/>
  <c r="E480" i="25"/>
  <c r="E478" i="25"/>
  <c r="E476" i="25"/>
  <c r="E474" i="25"/>
  <c r="E472" i="25"/>
  <c r="E470" i="25"/>
  <c r="E468" i="25"/>
  <c r="E466" i="25"/>
  <c r="F587" i="25"/>
  <c r="F524" i="25"/>
  <c r="F523" i="25"/>
  <c r="F522" i="25"/>
  <c r="E516" i="25"/>
  <c r="F515" i="25"/>
  <c r="F514" i="25"/>
  <c r="F511" i="25"/>
  <c r="F509" i="25"/>
  <c r="F507" i="25"/>
  <c r="F505" i="25"/>
  <c r="F503" i="25"/>
  <c r="F501" i="25"/>
  <c r="F499" i="25"/>
  <c r="F497" i="25"/>
  <c r="F495" i="25"/>
  <c r="F493" i="25"/>
  <c r="F491" i="25"/>
  <c r="F489" i="25"/>
  <c r="F487" i="25"/>
  <c r="F485" i="25"/>
  <c r="F483" i="25"/>
  <c r="E545" i="25"/>
  <c r="E535" i="25"/>
  <c r="F534" i="25"/>
  <c r="F533" i="25"/>
  <c r="E520" i="25"/>
  <c r="F519" i="25"/>
  <c r="F518" i="25"/>
  <c r="E512" i="25"/>
  <c r="F510" i="25"/>
  <c r="F508" i="25"/>
  <c r="F506" i="25"/>
  <c r="F504" i="25"/>
  <c r="F502" i="25"/>
  <c r="F500" i="25"/>
  <c r="F498" i="25"/>
  <c r="F496" i="25"/>
  <c r="F494" i="25"/>
  <c r="F492" i="25"/>
  <c r="F490" i="25"/>
  <c r="F488" i="25"/>
  <c r="F486" i="25"/>
  <c r="E509" i="25"/>
  <c r="E501" i="25"/>
  <c r="E493" i="25"/>
  <c r="E485" i="25"/>
  <c r="F482" i="25"/>
  <c r="F481" i="25"/>
  <c r="E475" i="25"/>
  <c r="F474" i="25"/>
  <c r="F473" i="25"/>
  <c r="E467" i="25"/>
  <c r="F466" i="25"/>
  <c r="F465" i="25"/>
  <c r="F463" i="25"/>
  <c r="F461" i="25"/>
  <c r="F459" i="25"/>
  <c r="F457" i="25"/>
  <c r="F455" i="25"/>
  <c r="F453" i="25"/>
  <c r="F451" i="25"/>
  <c r="F449" i="25"/>
  <c r="F447" i="25"/>
  <c r="F445" i="25"/>
  <c r="F443" i="25"/>
  <c r="F441" i="25"/>
  <c r="F439" i="25"/>
  <c r="F437" i="25"/>
  <c r="F435" i="25"/>
  <c r="F433" i="25"/>
  <c r="F431" i="25"/>
  <c r="F429" i="25"/>
  <c r="F427" i="25"/>
  <c r="F425" i="25"/>
  <c r="F423" i="25"/>
  <c r="F421" i="25"/>
  <c r="F419" i="25"/>
  <c r="F417" i="25"/>
  <c r="F415" i="25"/>
  <c r="F413" i="25"/>
  <c r="F411" i="25"/>
  <c r="F409" i="25"/>
  <c r="F407" i="25"/>
  <c r="F405" i="25"/>
  <c r="F403" i="25"/>
  <c r="F401" i="25"/>
  <c r="E511" i="25"/>
  <c r="E503" i="25"/>
  <c r="E495" i="25"/>
  <c r="E487" i="25"/>
  <c r="F484" i="25"/>
  <c r="E481" i="25"/>
  <c r="F480" i="25"/>
  <c r="F479" i="25"/>
  <c r="E473" i="25"/>
  <c r="F472" i="25"/>
  <c r="F471" i="25"/>
  <c r="E465" i="25"/>
  <c r="E463" i="25"/>
  <c r="E461" i="25"/>
  <c r="E459" i="25"/>
  <c r="E457" i="25"/>
  <c r="E455" i="25"/>
  <c r="E453" i="25"/>
  <c r="E451" i="25"/>
  <c r="E449" i="25"/>
  <c r="E447" i="25"/>
  <c r="E445" i="25"/>
  <c r="E443" i="25"/>
  <c r="E441" i="25"/>
  <c r="E439" i="25"/>
  <c r="E437" i="25"/>
  <c r="E435" i="25"/>
  <c r="E433" i="25"/>
  <c r="E431" i="25"/>
  <c r="E429" i="25"/>
  <c r="E514" i="25"/>
  <c r="F513" i="25"/>
  <c r="F512" i="25"/>
  <c r="E507" i="25"/>
  <c r="E499" i="25"/>
  <c r="E491" i="25"/>
  <c r="E483" i="25"/>
  <c r="E477" i="25"/>
  <c r="F476" i="25"/>
  <c r="F475" i="25"/>
  <c r="E469" i="25"/>
  <c r="F468" i="25"/>
  <c r="F467" i="25"/>
  <c r="E464" i="25"/>
  <c r="E462" i="25"/>
  <c r="E460" i="25"/>
  <c r="E458" i="25"/>
  <c r="E456" i="25"/>
  <c r="E454" i="25"/>
  <c r="E452" i="25"/>
  <c r="E450" i="25"/>
  <c r="E448" i="25"/>
  <c r="E446" i="25"/>
  <c r="E444" i="25"/>
  <c r="E442" i="25"/>
  <c r="E440" i="25"/>
  <c r="E438" i="25"/>
  <c r="E436" i="25"/>
  <c r="E434" i="25"/>
  <c r="E432" i="25"/>
  <c r="E430" i="25"/>
  <c r="E522" i="25"/>
  <c r="F520" i="25"/>
  <c r="E497" i="25"/>
  <c r="E479" i="25"/>
  <c r="F478" i="25"/>
  <c r="F477" i="25"/>
  <c r="F462" i="25"/>
  <c r="F454" i="25"/>
  <c r="F446" i="25"/>
  <c r="F438" i="25"/>
  <c r="F430" i="25"/>
  <c r="E424" i="25"/>
  <c r="F422" i="25"/>
  <c r="E421" i="25"/>
  <c r="E416" i="25"/>
  <c r="F414" i="25"/>
  <c r="E413" i="25"/>
  <c r="E408" i="25"/>
  <c r="F406" i="25"/>
  <c r="E405" i="25"/>
  <c r="E505" i="25"/>
  <c r="E471" i="25"/>
  <c r="F470" i="25"/>
  <c r="F469" i="25"/>
  <c r="F464" i="25"/>
  <c r="F456" i="25"/>
  <c r="F448" i="25"/>
  <c r="F440" i="25"/>
  <c r="F432" i="25"/>
  <c r="E427" i="25"/>
  <c r="E422" i="25"/>
  <c r="F420" i="25"/>
  <c r="E419" i="25"/>
  <c r="E414" i="25"/>
  <c r="F412" i="25"/>
  <c r="E411" i="25"/>
  <c r="E406" i="25"/>
  <c r="F404" i="25"/>
  <c r="E403" i="25"/>
  <c r="E489" i="25"/>
  <c r="F460" i="25"/>
  <c r="F452" i="25"/>
  <c r="F444" i="25"/>
  <c r="F436" i="25"/>
  <c r="E428" i="25"/>
  <c r="E426" i="25"/>
  <c r="F424" i="25"/>
  <c r="E423" i="25"/>
  <c r="E418" i="25"/>
  <c r="F416" i="25"/>
  <c r="E415" i="25"/>
  <c r="E410" i="25"/>
  <c r="F408" i="25"/>
  <c r="E407" i="25"/>
  <c r="E402" i="25"/>
  <c r="F400" i="25"/>
  <c r="F398" i="25"/>
  <c r="F396" i="25"/>
  <c r="F394" i="25"/>
  <c r="F392" i="25"/>
  <c r="F390" i="25"/>
  <c r="F388" i="25"/>
  <c r="F386" i="25"/>
  <c r="F384" i="25"/>
  <c r="F382" i="25"/>
  <c r="F380" i="25"/>
  <c r="F378" i="25"/>
  <c r="F376" i="25"/>
  <c r="F434" i="25"/>
  <c r="F418" i="25"/>
  <c r="E417" i="25"/>
  <c r="E412" i="25"/>
  <c r="E397" i="25"/>
  <c r="F395" i="25"/>
  <c r="E394" i="25"/>
  <c r="E389" i="25"/>
  <c r="F387" i="25"/>
  <c r="E386" i="25"/>
  <c r="E381" i="25"/>
  <c r="F379" i="25"/>
  <c r="E378" i="25"/>
  <c r="F374" i="25"/>
  <c r="F372" i="25"/>
  <c r="F370" i="25"/>
  <c r="F368" i="25"/>
  <c r="F366" i="25"/>
  <c r="F364" i="25"/>
  <c r="F362" i="25"/>
  <c r="F360" i="25"/>
  <c r="F358" i="25"/>
  <c r="F356" i="25"/>
  <c r="F354" i="25"/>
  <c r="F352" i="25"/>
  <c r="F350" i="25"/>
  <c r="F348" i="25"/>
  <c r="F346" i="25"/>
  <c r="F344" i="25"/>
  <c r="F342" i="25"/>
  <c r="F340" i="25"/>
  <c r="F338" i="25"/>
  <c r="F336" i="25"/>
  <c r="F334" i="25"/>
  <c r="F332" i="25"/>
  <c r="F330" i="25"/>
  <c r="F328" i="25"/>
  <c r="F326" i="25"/>
  <c r="F324" i="25"/>
  <c r="F322" i="25"/>
  <c r="F320" i="25"/>
  <c r="F318" i="25"/>
  <c r="F316" i="25"/>
  <c r="F314" i="25"/>
  <c r="F312" i="25"/>
  <c r="F310" i="25"/>
  <c r="F308" i="25"/>
  <c r="F306" i="25"/>
  <c r="F304" i="25"/>
  <c r="F302" i="25"/>
  <c r="F300" i="25"/>
  <c r="F298" i="25"/>
  <c r="F296" i="25"/>
  <c r="F294" i="25"/>
  <c r="F292" i="25"/>
  <c r="F290" i="25"/>
  <c r="F288" i="25"/>
  <c r="F286" i="25"/>
  <c r="F284" i="25"/>
  <c r="F282" i="25"/>
  <c r="F280" i="25"/>
  <c r="F521" i="25"/>
  <c r="F442" i="25"/>
  <c r="F410" i="25"/>
  <c r="E409" i="25"/>
  <c r="E404" i="25"/>
  <c r="E400" i="25"/>
  <c r="E395" i="25"/>
  <c r="F393" i="25"/>
  <c r="E392" i="25"/>
  <c r="E387" i="25"/>
  <c r="F385" i="25"/>
  <c r="E384" i="25"/>
  <c r="E379" i="25"/>
  <c r="F377" i="25"/>
  <c r="E376" i="25"/>
  <c r="E374" i="25"/>
  <c r="E372" i="25"/>
  <c r="E370" i="25"/>
  <c r="E368" i="25"/>
  <c r="E366" i="25"/>
  <c r="F458" i="25"/>
  <c r="F426" i="25"/>
  <c r="E425" i="25"/>
  <c r="E420" i="25"/>
  <c r="E399" i="25"/>
  <c r="F397" i="25"/>
  <c r="E396" i="25"/>
  <c r="E391" i="25"/>
  <c r="F389" i="25"/>
  <c r="E388" i="25"/>
  <c r="E383" i="25"/>
  <c r="F381" i="25"/>
  <c r="E380" i="25"/>
  <c r="E375" i="25"/>
  <c r="E373" i="25"/>
  <c r="E371" i="25"/>
  <c r="E369" i="25"/>
  <c r="E367" i="25"/>
  <c r="E365" i="25"/>
  <c r="E363" i="25"/>
  <c r="E361" i="25"/>
  <c r="E359" i="25"/>
  <c r="E357" i="25"/>
  <c r="E355" i="25"/>
  <c r="E353" i="25"/>
  <c r="E351" i="25"/>
  <c r="E349" i="25"/>
  <c r="E347" i="25"/>
  <c r="E345" i="25"/>
  <c r="F450" i="25"/>
  <c r="F391" i="25"/>
  <c r="E390" i="25"/>
  <c r="E385" i="25"/>
  <c r="F371" i="25"/>
  <c r="E364" i="25"/>
  <c r="F363" i="25"/>
  <c r="E360" i="25"/>
  <c r="F359" i="25"/>
  <c r="E356" i="25"/>
  <c r="F355" i="25"/>
  <c r="E352" i="25"/>
  <c r="F351" i="25"/>
  <c r="E348" i="25"/>
  <c r="F347" i="25"/>
  <c r="E344" i="25"/>
  <c r="E339" i="25"/>
  <c r="F337" i="25"/>
  <c r="E336" i="25"/>
  <c r="E331" i="25"/>
  <c r="F329" i="25"/>
  <c r="E328" i="25"/>
  <c r="E323" i="25"/>
  <c r="F321" i="25"/>
  <c r="E320" i="25"/>
  <c r="E315" i="25"/>
  <c r="F313" i="25"/>
  <c r="E312" i="25"/>
  <c r="E307" i="25"/>
  <c r="F305" i="25"/>
  <c r="E304" i="25"/>
  <c r="E299" i="25"/>
  <c r="F297" i="25"/>
  <c r="E296" i="25"/>
  <c r="E291" i="25"/>
  <c r="F289" i="25"/>
  <c r="E288" i="25"/>
  <c r="E283" i="25"/>
  <c r="F281" i="25"/>
  <c r="E280" i="25"/>
  <c r="F277" i="25"/>
  <c r="F275" i="25"/>
  <c r="F273" i="25"/>
  <c r="F271" i="25"/>
  <c r="F269" i="25"/>
  <c r="F267" i="25"/>
  <c r="F265" i="25"/>
  <c r="F402" i="25"/>
  <c r="F383" i="25"/>
  <c r="E382" i="25"/>
  <c r="E377" i="25"/>
  <c r="F373" i="25"/>
  <c r="F365" i="25"/>
  <c r="F343" i="25"/>
  <c r="E342" i="25"/>
  <c r="E337" i="25"/>
  <c r="F335" i="25"/>
  <c r="E334" i="25"/>
  <c r="E329" i="25"/>
  <c r="F327" i="25"/>
  <c r="E326" i="25"/>
  <c r="E321" i="25"/>
  <c r="F319" i="25"/>
  <c r="E318" i="25"/>
  <c r="E313" i="25"/>
  <c r="F311" i="25"/>
  <c r="E310" i="25"/>
  <c r="E305" i="25"/>
  <c r="F303" i="25"/>
  <c r="E302" i="25"/>
  <c r="E297" i="25"/>
  <c r="F295" i="25"/>
  <c r="E294" i="25"/>
  <c r="E289" i="25"/>
  <c r="F287" i="25"/>
  <c r="E286" i="25"/>
  <c r="E281" i="25"/>
  <c r="F279" i="25"/>
  <c r="E277" i="25"/>
  <c r="E275" i="25"/>
  <c r="E273" i="25"/>
  <c r="E271" i="25"/>
  <c r="E269" i="25"/>
  <c r="E267" i="25"/>
  <c r="E265" i="25"/>
  <c r="F428" i="25"/>
  <c r="E401" i="25"/>
  <c r="F399" i="25"/>
  <c r="E398" i="25"/>
  <c r="E393" i="25"/>
  <c r="F369" i="25"/>
  <c r="E341" i="25"/>
  <c r="F339" i="25"/>
  <c r="E338" i="25"/>
  <c r="E333" i="25"/>
  <c r="F331" i="25"/>
  <c r="E330" i="25"/>
  <c r="E325" i="25"/>
  <c r="F323" i="25"/>
  <c r="E322" i="25"/>
  <c r="E317" i="25"/>
  <c r="F315" i="25"/>
  <c r="E314" i="25"/>
  <c r="E309" i="25"/>
  <c r="F307" i="25"/>
  <c r="E306" i="25"/>
  <c r="E301" i="25"/>
  <c r="F299" i="25"/>
  <c r="E298" i="25"/>
  <c r="E293" i="25"/>
  <c r="F291" i="25"/>
  <c r="E290" i="25"/>
  <c r="E285" i="25"/>
  <c r="F283" i="25"/>
  <c r="E282" i="25"/>
  <c r="E278" i="25"/>
  <c r="E276" i="25"/>
  <c r="E274" i="25"/>
  <c r="E272" i="25"/>
  <c r="E270" i="25"/>
  <c r="E268" i="25"/>
  <c r="E266" i="25"/>
  <c r="E264" i="25"/>
  <c r="E262" i="25"/>
  <c r="E260" i="25"/>
  <c r="E258" i="25"/>
  <c r="E256" i="25"/>
  <c r="E254" i="25"/>
  <c r="E252" i="25"/>
  <c r="E250" i="25"/>
  <c r="E248" i="25"/>
  <c r="E246" i="25"/>
  <c r="E244" i="25"/>
  <c r="E242" i="25"/>
  <c r="E240" i="25"/>
  <c r="E238" i="25"/>
  <c r="E236" i="25"/>
  <c r="E234" i="25"/>
  <c r="E232" i="25"/>
  <c r="E230" i="25"/>
  <c r="E228" i="25"/>
  <c r="E226" i="25"/>
  <c r="F375" i="25"/>
  <c r="E362" i="25"/>
  <c r="F361" i="25"/>
  <c r="E346" i="25"/>
  <c r="F345" i="25"/>
  <c r="E343" i="25"/>
  <c r="F317" i="25"/>
  <c r="E316" i="25"/>
  <c r="E311" i="25"/>
  <c r="F285" i="25"/>
  <c r="E284" i="25"/>
  <c r="E279" i="25"/>
  <c r="F274" i="25"/>
  <c r="F266" i="25"/>
  <c r="F264" i="25"/>
  <c r="F263" i="25"/>
  <c r="E257" i="25"/>
  <c r="F256" i="25"/>
  <c r="F255" i="25"/>
  <c r="E249" i="25"/>
  <c r="F248" i="25"/>
  <c r="F247" i="25"/>
  <c r="E241" i="25"/>
  <c r="F240" i="25"/>
  <c r="F239" i="25"/>
  <c r="E233" i="25"/>
  <c r="F232" i="25"/>
  <c r="F231" i="25"/>
  <c r="E224" i="25"/>
  <c r="E222" i="25"/>
  <c r="E220" i="25"/>
  <c r="E218" i="25"/>
  <c r="E216" i="25"/>
  <c r="E214" i="25"/>
  <c r="E212" i="25"/>
  <c r="E210" i="25"/>
  <c r="E208" i="25"/>
  <c r="E206" i="25"/>
  <c r="E204" i="25"/>
  <c r="E202" i="25"/>
  <c r="E200" i="25"/>
  <c r="E198" i="25"/>
  <c r="E196" i="25"/>
  <c r="E194" i="25"/>
  <c r="E192" i="25"/>
  <c r="E190" i="25"/>
  <c r="E188" i="25"/>
  <c r="E186" i="25"/>
  <c r="E184" i="25"/>
  <c r="E182" i="25"/>
  <c r="E180" i="25"/>
  <c r="E178" i="25"/>
  <c r="E176" i="25"/>
  <c r="E174" i="25"/>
  <c r="E172" i="25"/>
  <c r="E170" i="25"/>
  <c r="E168" i="25"/>
  <c r="E166" i="25"/>
  <c r="E164" i="25"/>
  <c r="E162" i="25"/>
  <c r="E160" i="25"/>
  <c r="E158" i="25"/>
  <c r="E156" i="25"/>
  <c r="E154" i="25"/>
  <c r="E152" i="25"/>
  <c r="E150" i="25"/>
  <c r="E148" i="25"/>
  <c r="E146" i="25"/>
  <c r="E144" i="25"/>
  <c r="E142" i="25"/>
  <c r="E140" i="25"/>
  <c r="E138" i="25"/>
  <c r="E136" i="25"/>
  <c r="E134" i="25"/>
  <c r="E132" i="25"/>
  <c r="E130" i="25"/>
  <c r="E128" i="25"/>
  <c r="E126" i="25"/>
  <c r="E124" i="25"/>
  <c r="E122" i="25"/>
  <c r="E120" i="25"/>
  <c r="E350" i="25"/>
  <c r="F349" i="25"/>
  <c r="F341" i="25"/>
  <c r="E340" i="25"/>
  <c r="E335" i="25"/>
  <c r="F309" i="25"/>
  <c r="E308" i="25"/>
  <c r="E303" i="25"/>
  <c r="F276" i="25"/>
  <c r="F268" i="25"/>
  <c r="E263" i="25"/>
  <c r="F262" i="25"/>
  <c r="F261" i="25"/>
  <c r="E255" i="25"/>
  <c r="F254" i="25"/>
  <c r="F253" i="25"/>
  <c r="E247" i="25"/>
  <c r="F246" i="25"/>
  <c r="F245" i="25"/>
  <c r="E239" i="25"/>
  <c r="F238" i="25"/>
  <c r="F237" i="25"/>
  <c r="E231" i="25"/>
  <c r="F230" i="25"/>
  <c r="F229" i="25"/>
  <c r="F225" i="25"/>
  <c r="F223" i="25"/>
  <c r="F221" i="25"/>
  <c r="F367" i="25"/>
  <c r="E358" i="25"/>
  <c r="F357" i="25"/>
  <c r="F325" i="25"/>
  <c r="E324" i="25"/>
  <c r="E319" i="25"/>
  <c r="F293" i="25"/>
  <c r="E292" i="25"/>
  <c r="E287" i="25"/>
  <c r="F272" i="25"/>
  <c r="E259" i="25"/>
  <c r="F258" i="25"/>
  <c r="F257" i="25"/>
  <c r="E251" i="25"/>
  <c r="F250" i="25"/>
  <c r="F249" i="25"/>
  <c r="E243" i="25"/>
  <c r="F242" i="25"/>
  <c r="F241" i="25"/>
  <c r="E235" i="25"/>
  <c r="F234" i="25"/>
  <c r="F233" i="25"/>
  <c r="E227" i="25"/>
  <c r="F226" i="25"/>
  <c r="F224" i="25"/>
  <c r="F222" i="25"/>
  <c r="F220" i="25"/>
  <c r="F218" i="25"/>
  <c r="F216" i="25"/>
  <c r="F214" i="25"/>
  <c r="F212" i="25"/>
  <c r="F210" i="25"/>
  <c r="F208" i="25"/>
  <c r="F206" i="25"/>
  <c r="F204" i="25"/>
  <c r="F202" i="25"/>
  <c r="F200" i="25"/>
  <c r="F198" i="25"/>
  <c r="F196" i="25"/>
  <c r="F194" i="25"/>
  <c r="F192" i="25"/>
  <c r="F190" i="25"/>
  <c r="F188" i="25"/>
  <c r="F186" i="25"/>
  <c r="F184" i="25"/>
  <c r="F182" i="25"/>
  <c r="F180" i="25"/>
  <c r="F178" i="25"/>
  <c r="F176" i="25"/>
  <c r="F174" i="25"/>
  <c r="F172" i="25"/>
  <c r="F170" i="25"/>
  <c r="F168" i="25"/>
  <c r="F166" i="25"/>
  <c r="F164" i="25"/>
  <c r="F162" i="25"/>
  <c r="F160" i="25"/>
  <c r="F158" i="25"/>
  <c r="F156" i="25"/>
  <c r="F154" i="25"/>
  <c r="F152" i="25"/>
  <c r="F150" i="25"/>
  <c r="F148" i="25"/>
  <c r="F146" i="25"/>
  <c r="F144" i="25"/>
  <c r="F142" i="25"/>
  <c r="F140" i="25"/>
  <c r="F138" i="25"/>
  <c r="F136" i="25"/>
  <c r="F134" i="25"/>
  <c r="F132" i="25"/>
  <c r="F130" i="25"/>
  <c r="F128" i="25"/>
  <c r="F126" i="25"/>
  <c r="F124" i="25"/>
  <c r="F122" i="25"/>
  <c r="F120" i="25"/>
  <c r="F118" i="25"/>
  <c r="F116" i="25"/>
  <c r="F114" i="25"/>
  <c r="F112" i="25"/>
  <c r="F110" i="25"/>
  <c r="F108" i="25"/>
  <c r="F106" i="25"/>
  <c r="F104" i="25"/>
  <c r="F102" i="25"/>
  <c r="F100" i="25"/>
  <c r="F98" i="25"/>
  <c r="F96" i="25"/>
  <c r="F94" i="25"/>
  <c r="F92" i="25"/>
  <c r="F90" i="25"/>
  <c r="F88" i="25"/>
  <c r="F86" i="25"/>
  <c r="F84" i="25"/>
  <c r="F82" i="25"/>
  <c r="F80" i="25"/>
  <c r="F78" i="25"/>
  <c r="F76" i="25"/>
  <c r="F74" i="25"/>
  <c r="F72" i="25"/>
  <c r="F70" i="25"/>
  <c r="F68" i="25"/>
  <c r="F66" i="25"/>
  <c r="F64" i="25"/>
  <c r="F62" i="25"/>
  <c r="F60" i="25"/>
  <c r="F58" i="25"/>
  <c r="F56" i="25"/>
  <c r="F54" i="25"/>
  <c r="F52" i="25"/>
  <c r="F50" i="25"/>
  <c r="F48" i="25"/>
  <c r="F46" i="25"/>
  <c r="F44" i="25"/>
  <c r="F42" i="25"/>
  <c r="F40" i="25"/>
  <c r="F38" i="25"/>
  <c r="F36" i="25"/>
  <c r="F34" i="25"/>
  <c r="F32" i="25"/>
  <c r="F30" i="25"/>
  <c r="F353" i="25"/>
  <c r="F333" i="25"/>
  <c r="E295" i="25"/>
  <c r="E237" i="25"/>
  <c r="F236" i="25"/>
  <c r="F235" i="25"/>
  <c r="E221" i="25"/>
  <c r="E217" i="25"/>
  <c r="E213" i="25"/>
  <c r="E209" i="25"/>
  <c r="E205" i="25"/>
  <c r="E201" i="25"/>
  <c r="E197" i="25"/>
  <c r="E193" i="25"/>
  <c r="E189" i="25"/>
  <c r="E185" i="25"/>
  <c r="E181" i="25"/>
  <c r="E177" i="25"/>
  <c r="E173" i="25"/>
  <c r="E169" i="25"/>
  <c r="E165" i="25"/>
  <c r="E161" i="25"/>
  <c r="E157" i="25"/>
  <c r="E153" i="25"/>
  <c r="E149" i="25"/>
  <c r="E145" i="25"/>
  <c r="E141" i="25"/>
  <c r="E137" i="25"/>
  <c r="E133" i="25"/>
  <c r="E129" i="25"/>
  <c r="E125" i="25"/>
  <c r="E121" i="25"/>
  <c r="F119" i="25"/>
  <c r="E118" i="25"/>
  <c r="E113" i="25"/>
  <c r="F111" i="25"/>
  <c r="E110" i="25"/>
  <c r="E105" i="25"/>
  <c r="F103" i="25"/>
  <c r="E102" i="25"/>
  <c r="E97" i="25"/>
  <c r="F95" i="25"/>
  <c r="E94" i="25"/>
  <c r="E89" i="25"/>
  <c r="F87" i="25"/>
  <c r="E86" i="25"/>
  <c r="E81" i="25"/>
  <c r="F79" i="25"/>
  <c r="E78" i="25"/>
  <c r="E73" i="25"/>
  <c r="F71" i="25"/>
  <c r="E70" i="25"/>
  <c r="E65" i="25"/>
  <c r="F63" i="25"/>
  <c r="E62" i="25"/>
  <c r="E57" i="25"/>
  <c r="E38" i="25"/>
  <c r="F31" i="25"/>
  <c r="F301" i="25"/>
  <c r="E261" i="25"/>
  <c r="F260" i="25"/>
  <c r="F259" i="25"/>
  <c r="E229" i="25"/>
  <c r="F228" i="25"/>
  <c r="F227" i="25"/>
  <c r="E223" i="25"/>
  <c r="F219" i="25"/>
  <c r="F215" i="25"/>
  <c r="F211" i="25"/>
  <c r="F207" i="25"/>
  <c r="F203" i="25"/>
  <c r="F199" i="25"/>
  <c r="F195" i="25"/>
  <c r="F191" i="25"/>
  <c r="F187" i="25"/>
  <c r="F183" i="25"/>
  <c r="F179" i="25"/>
  <c r="F175" i="25"/>
  <c r="F171" i="25"/>
  <c r="F167" i="25"/>
  <c r="F163" i="25"/>
  <c r="F159" i="25"/>
  <c r="F155" i="25"/>
  <c r="F151" i="25"/>
  <c r="F147" i="25"/>
  <c r="F143" i="25"/>
  <c r="F139" i="25"/>
  <c r="F135" i="25"/>
  <c r="F131" i="25"/>
  <c r="F127" i="25"/>
  <c r="F123" i="25"/>
  <c r="E119" i="25"/>
  <c r="F117" i="25"/>
  <c r="E116" i="25"/>
  <c r="E111" i="25"/>
  <c r="F109" i="25"/>
  <c r="E108" i="25"/>
  <c r="E103" i="25"/>
  <c r="F101" i="25"/>
  <c r="E100" i="25"/>
  <c r="E95" i="25"/>
  <c r="F93" i="25"/>
  <c r="E92" i="25"/>
  <c r="E87" i="25"/>
  <c r="F85" i="25"/>
  <c r="E84" i="25"/>
  <c r="E79" i="25"/>
  <c r="F77" i="25"/>
  <c r="E76" i="25"/>
  <c r="E71" i="25"/>
  <c r="F69" i="25"/>
  <c r="E68" i="25"/>
  <c r="E63" i="25"/>
  <c r="F61" i="25"/>
  <c r="E60" i="25"/>
  <c r="E55" i="25"/>
  <c r="F53" i="25"/>
  <c r="E52" i="25"/>
  <c r="E47" i="25"/>
  <c r="F45" i="25"/>
  <c r="E44" i="25"/>
  <c r="E327" i="25"/>
  <c r="E300" i="25"/>
  <c r="F278" i="25"/>
  <c r="E245" i="25"/>
  <c r="F244" i="25"/>
  <c r="F243" i="25"/>
  <c r="F217" i="25"/>
  <c r="F213" i="25"/>
  <c r="F209" i="25"/>
  <c r="F205" i="25"/>
  <c r="F201" i="25"/>
  <c r="F197" i="25"/>
  <c r="F193" i="25"/>
  <c r="F189" i="25"/>
  <c r="F185" i="25"/>
  <c r="F181" i="25"/>
  <c r="F177" i="25"/>
  <c r="F173" i="25"/>
  <c r="F169" i="25"/>
  <c r="F165" i="25"/>
  <c r="F161" i="25"/>
  <c r="F157" i="25"/>
  <c r="F153" i="25"/>
  <c r="F149" i="25"/>
  <c r="F145" i="25"/>
  <c r="F141" i="25"/>
  <c r="F137" i="25"/>
  <c r="F133" i="25"/>
  <c r="F129" i="25"/>
  <c r="F125" i="25"/>
  <c r="F121" i="25"/>
  <c r="E115" i="25"/>
  <c r="F113" i="25"/>
  <c r="E112" i="25"/>
  <c r="E107" i="25"/>
  <c r="F105" i="25"/>
  <c r="E104" i="25"/>
  <c r="E99" i="25"/>
  <c r="F97" i="25"/>
  <c r="E96" i="25"/>
  <c r="E91" i="25"/>
  <c r="F89" i="25"/>
  <c r="E88" i="25"/>
  <c r="E83" i="25"/>
  <c r="F81" i="25"/>
  <c r="E80" i="25"/>
  <c r="E75" i="25"/>
  <c r="F73" i="25"/>
  <c r="E72" i="25"/>
  <c r="E67" i="25"/>
  <c r="F65" i="25"/>
  <c r="E64" i="25"/>
  <c r="E59" i="25"/>
  <c r="F57" i="25"/>
  <c r="E56" i="25"/>
  <c r="E51" i="25"/>
  <c r="F49" i="25"/>
  <c r="E48" i="25"/>
  <c r="E43" i="25"/>
  <c r="F41" i="25"/>
  <c r="E40" i="25"/>
  <c r="E35" i="25"/>
  <c r="F33" i="25"/>
  <c r="E32" i="25"/>
  <c r="F28" i="25"/>
  <c r="F26" i="25"/>
  <c r="F24" i="25"/>
  <c r="F22" i="25"/>
  <c r="F20" i="25"/>
  <c r="F18" i="25"/>
  <c r="F16" i="25"/>
  <c r="F14" i="25"/>
  <c r="F55" i="25"/>
  <c r="E54" i="25"/>
  <c r="E49" i="25"/>
  <c r="F47" i="25"/>
  <c r="E46" i="25"/>
  <c r="E41" i="25"/>
  <c r="F39" i="25"/>
  <c r="E33" i="25"/>
  <c r="E30" i="25"/>
  <c r="E28" i="25"/>
  <c r="E26" i="25"/>
  <c r="F270" i="25"/>
  <c r="E253" i="25"/>
  <c r="F251" i="25"/>
  <c r="E225" i="25"/>
  <c r="E215" i="25"/>
  <c r="E199" i="25"/>
  <c r="E183" i="25"/>
  <c r="E167" i="25"/>
  <c r="E151" i="25"/>
  <c r="E135" i="25"/>
  <c r="F99" i="25"/>
  <c r="E98" i="25"/>
  <c r="E93" i="25"/>
  <c r="F67" i="25"/>
  <c r="E66" i="25"/>
  <c r="E61" i="25"/>
  <c r="E39" i="25"/>
  <c r="F35" i="25"/>
  <c r="F29" i="25"/>
  <c r="F27" i="25"/>
  <c r="E23" i="25"/>
  <c r="F21" i="25"/>
  <c r="E15" i="25"/>
  <c r="F13" i="25"/>
  <c r="E13" i="25"/>
  <c r="F83" i="25"/>
  <c r="E50" i="25"/>
  <c r="F37" i="25"/>
  <c r="F25" i="25"/>
  <c r="F17" i="25"/>
  <c r="E16" i="25"/>
  <c r="E354" i="25"/>
  <c r="E332" i="25"/>
  <c r="E219" i="25"/>
  <c r="E203" i="25"/>
  <c r="E187" i="25"/>
  <c r="E171" i="25"/>
  <c r="E155" i="25"/>
  <c r="E139" i="25"/>
  <c r="E123" i="25"/>
  <c r="E117" i="25"/>
  <c r="F91" i="25"/>
  <c r="E90" i="25"/>
  <c r="E85" i="25"/>
  <c r="F59" i="25"/>
  <c r="E58" i="25"/>
  <c r="E53" i="25"/>
  <c r="E29" i="25"/>
  <c r="E27" i="25"/>
  <c r="E21" i="25"/>
  <c r="F19" i="25"/>
  <c r="E18" i="25"/>
  <c r="E207" i="25"/>
  <c r="E114" i="25"/>
  <c r="E109" i="25"/>
  <c r="E82" i="25"/>
  <c r="E77" i="25"/>
  <c r="E45" i="25"/>
  <c r="E24" i="25"/>
  <c r="E211" i="25"/>
  <c r="E195" i="25"/>
  <c r="E179" i="25"/>
  <c r="E163" i="25"/>
  <c r="E147" i="25"/>
  <c r="E131" i="25"/>
  <c r="F107" i="25"/>
  <c r="E106" i="25"/>
  <c r="E101" i="25"/>
  <c r="F75" i="25"/>
  <c r="E74" i="25"/>
  <c r="E69" i="25"/>
  <c r="F43" i="25"/>
  <c r="E42" i="25"/>
  <c r="E37" i="25"/>
  <c r="E36" i="25"/>
  <c r="E34" i="25"/>
  <c r="E25" i="25"/>
  <c r="F23" i="25"/>
  <c r="E22" i="25"/>
  <c r="E17" i="25"/>
  <c r="F15" i="25"/>
  <c r="E14" i="25"/>
  <c r="E20" i="25"/>
  <c r="F252" i="25"/>
  <c r="E191" i="25"/>
  <c r="E175" i="25"/>
  <c r="E159" i="25"/>
  <c r="E143" i="25"/>
  <c r="E127" i="25"/>
  <c r="F115" i="25"/>
  <c r="F51" i="25"/>
  <c r="E31" i="25"/>
  <c r="E19" i="25"/>
  <c r="E626" i="25"/>
  <c r="F626" i="25"/>
  <c r="E628" i="25"/>
  <c r="F628" i="25"/>
  <c r="AJ64" i="23"/>
  <c r="AF64" i="23"/>
  <c r="AJ106" i="23"/>
  <c r="AF106" i="23"/>
  <c r="AJ99" i="23"/>
  <c r="AF99" i="23"/>
  <c r="AF73" i="23"/>
  <c r="AJ73" i="23"/>
  <c r="AJ90" i="23"/>
  <c r="AF90" i="23"/>
  <c r="AF22" i="23"/>
  <c r="AJ22" i="23"/>
  <c r="AF28" i="23"/>
  <c r="AJ28" i="23"/>
  <c r="AF11" i="23"/>
  <c r="AJ11" i="23"/>
  <c r="AJ81" i="23"/>
  <c r="AF81" i="23"/>
  <c r="AJ52" i="23"/>
  <c r="AF52" i="23"/>
  <c r="AF71" i="23"/>
  <c r="AJ71" i="23"/>
  <c r="AF42" i="23"/>
  <c r="AJ42" i="23"/>
  <c r="AF53" i="23"/>
  <c r="AJ53" i="23"/>
  <c r="AJ21" i="23"/>
  <c r="AF21" i="23"/>
  <c r="AF13" i="23"/>
  <c r="AJ13" i="23"/>
  <c r="AF107" i="23"/>
  <c r="AJ107" i="23"/>
  <c r="AJ74" i="23"/>
  <c r="AF74" i="23"/>
  <c r="AF77" i="23"/>
  <c r="AJ77" i="23"/>
  <c r="AJ95" i="23"/>
  <c r="AF95" i="23"/>
  <c r="AJ25" i="23"/>
  <c r="AF25" i="23"/>
  <c r="AJ33" i="23"/>
  <c r="AF33" i="23"/>
  <c r="AF60" i="23"/>
  <c r="AJ60" i="23"/>
  <c r="AF68" i="23"/>
  <c r="AJ68" i="23"/>
  <c r="AF40" i="23"/>
  <c r="AJ40" i="23"/>
  <c r="AF96" i="23"/>
  <c r="AJ96" i="23"/>
  <c r="AJ10" i="23"/>
  <c r="AF10" i="23"/>
  <c r="AF70" i="23"/>
  <c r="AJ70" i="23"/>
  <c r="AJ75" i="23"/>
  <c r="AF75" i="23"/>
  <c r="AJ35" i="23"/>
  <c r="AF35" i="23"/>
  <c r="AJ61" i="23"/>
  <c r="AF61" i="23"/>
  <c r="AF46" i="23"/>
  <c r="AJ46" i="23"/>
  <c r="AJ57" i="23"/>
  <c r="AF57" i="23"/>
  <c r="AJ51" i="23"/>
  <c r="AF51" i="23"/>
  <c r="AJ84" i="23"/>
  <c r="AF84" i="23"/>
  <c r="AJ103" i="23"/>
  <c r="AF103" i="23"/>
  <c r="AJ27" i="23"/>
  <c r="AF27" i="23"/>
  <c r="AJ85" i="23"/>
  <c r="AF85" i="23"/>
  <c r="AF49" i="23"/>
  <c r="AJ49" i="23"/>
  <c r="AJ38" i="23"/>
  <c r="AF38" i="23"/>
  <c r="AJ65" i="23"/>
  <c r="AF65" i="23"/>
  <c r="AJ37" i="23"/>
  <c r="AF37" i="23"/>
  <c r="AF78" i="23"/>
  <c r="AJ78" i="23"/>
  <c r="AJ94" i="23"/>
  <c r="AF94" i="23"/>
  <c r="AJ63" i="23"/>
  <c r="AF63" i="23"/>
  <c r="AF17" i="23"/>
  <c r="AJ17" i="23"/>
  <c r="AF23" i="23"/>
  <c r="AJ23" i="23"/>
  <c r="AJ100" i="23"/>
  <c r="AF100" i="23"/>
  <c r="AF39" i="23"/>
  <c r="AJ39" i="23"/>
  <c r="AJ50" i="23"/>
  <c r="AF50" i="23"/>
  <c r="AJ69" i="23"/>
  <c r="AF69" i="23"/>
  <c r="AJ31" i="23"/>
  <c r="AF31" i="23"/>
  <c r="AF15" i="23"/>
  <c r="AJ15" i="23"/>
  <c r="AJ79" i="23"/>
  <c r="AF79" i="23"/>
  <c r="AF83" i="23"/>
  <c r="AJ83" i="23"/>
  <c r="AJ72" i="23"/>
  <c r="AF72" i="23"/>
  <c r="AF54" i="23"/>
  <c r="AJ54" i="23"/>
  <c r="AJ32" i="23"/>
  <c r="AF32" i="23"/>
  <c r="AJ66" i="23"/>
  <c r="AF66" i="23"/>
  <c r="AJ14" i="23"/>
  <c r="AF14" i="23"/>
  <c r="AF98" i="23"/>
  <c r="AJ98" i="23"/>
  <c r="AF19" i="23"/>
  <c r="AJ19" i="23"/>
  <c r="AF80" i="23"/>
  <c r="AJ80" i="23"/>
  <c r="AJ56" i="23"/>
  <c r="AF56" i="23"/>
  <c r="AJ44" i="23"/>
  <c r="AF44" i="23"/>
  <c r="AF101" i="23"/>
  <c r="AJ101" i="23"/>
  <c r="AF48" i="23"/>
  <c r="AJ48" i="23"/>
  <c r="AF82" i="23"/>
  <c r="AJ82" i="23"/>
  <c r="AJ45" i="23"/>
  <c r="AF45" i="23"/>
  <c r="AJ34" i="23"/>
  <c r="AF34" i="23"/>
  <c r="AF91" i="23"/>
  <c r="AJ91" i="23"/>
  <c r="AJ26" i="23"/>
  <c r="AF26" i="23"/>
  <c r="AJ108" i="23"/>
  <c r="AF108" i="23"/>
  <c r="AJ102" i="23"/>
  <c r="AF102" i="23"/>
  <c r="AJ20" i="23"/>
  <c r="AF20" i="23"/>
  <c r="AF104" i="23"/>
  <c r="AJ104" i="23"/>
  <c r="AJ18" i="23"/>
  <c r="AF18" i="23"/>
  <c r="AJ105" i="23"/>
  <c r="AF105" i="23"/>
  <c r="AJ29" i="23"/>
  <c r="AF29" i="23"/>
  <c r="AJ41" i="23"/>
  <c r="AF41" i="23"/>
  <c r="AF55" i="23"/>
  <c r="AJ55" i="23"/>
  <c r="AJ43" i="23"/>
  <c r="AF43" i="23"/>
  <c r="AF92" i="23"/>
  <c r="AJ92" i="23"/>
  <c r="AJ12" i="23"/>
  <c r="AF12" i="23"/>
  <c r="AJ62" i="23"/>
  <c r="AF62" i="23"/>
  <c r="AF59" i="23"/>
  <c r="AJ59" i="23"/>
  <c r="AJ67" i="23"/>
  <c r="AF67" i="23"/>
  <c r="AF36" i="23"/>
  <c r="AJ36" i="23"/>
  <c r="AF88" i="23"/>
  <c r="AJ88" i="23"/>
  <c r="N9" i="23"/>
  <c r="AL70" i="21"/>
  <c r="AL54" i="21"/>
  <c r="AL10" i="21"/>
  <c r="AL95" i="21"/>
  <c r="AL79" i="21"/>
  <c r="AL63" i="21"/>
  <c r="AL31" i="21"/>
  <c r="V17" i="23"/>
  <c r="V59" i="23"/>
  <c r="V80" i="23"/>
  <c r="AL84" i="21"/>
  <c r="AL68" i="21"/>
  <c r="AL52" i="21"/>
  <c r="AL20" i="21"/>
  <c r="AL109" i="21"/>
  <c r="AL93" i="21"/>
  <c r="AL77" i="21"/>
  <c r="AL61" i="21"/>
  <c r="AL45" i="21"/>
  <c r="AL21" i="21"/>
  <c r="B69" i="23"/>
  <c r="B68" i="21"/>
  <c r="B69" i="21" s="1"/>
  <c r="V36" i="23"/>
  <c r="V18" i="23"/>
  <c r="V34" i="23"/>
  <c r="V72" i="23"/>
  <c r="V83" i="23"/>
  <c r="V88" i="23"/>
  <c r="V102" i="23"/>
  <c r="AL98" i="21"/>
  <c r="AL90" i="21"/>
  <c r="AL82" i="21"/>
  <c r="AL74" i="21"/>
  <c r="AL66" i="21"/>
  <c r="AL58" i="21"/>
  <c r="AL34" i="21"/>
  <c r="AL18" i="21"/>
  <c r="AL99" i="21"/>
  <c r="AL91" i="21"/>
  <c r="AL83" i="21"/>
  <c r="AL75" i="21"/>
  <c r="AL67" i="21"/>
  <c r="AL59" i="21"/>
  <c r="AL35" i="21"/>
  <c r="AL27" i="21"/>
  <c r="AL38" i="21"/>
  <c r="V29" i="23"/>
  <c r="V64" i="23"/>
  <c r="V91" i="23"/>
  <c r="V107" i="23"/>
  <c r="AL78" i="21"/>
  <c r="AL62" i="21"/>
  <c r="AL46" i="21"/>
  <c r="AL30" i="21"/>
  <c r="AL14" i="21"/>
  <c r="AL103" i="21"/>
  <c r="AL87" i="21"/>
  <c r="AL71" i="21"/>
  <c r="AL55" i="21"/>
  <c r="AL39" i="21"/>
  <c r="AL15" i="21"/>
  <c r="AL108" i="21"/>
  <c r="AL60" i="21"/>
  <c r="AL44" i="21"/>
  <c r="AL85" i="21"/>
  <c r="AL69" i="21"/>
  <c r="AL13" i="21"/>
  <c r="V10" i="23"/>
  <c r="V101" i="23"/>
  <c r="V82" i="23"/>
  <c r="V100" i="23"/>
  <c r="AL88" i="21"/>
  <c r="AL80" i="21"/>
  <c r="AL72" i="21"/>
  <c r="AL56" i="21"/>
  <c r="AL24" i="21"/>
  <c r="AL16" i="21"/>
  <c r="AL97" i="21"/>
  <c r="AL89" i="21"/>
  <c r="AL81" i="21"/>
  <c r="AL73" i="21"/>
  <c r="AL33" i="21"/>
  <c r="AL25" i="21"/>
  <c r="AL17" i="21"/>
  <c r="B80" i="23"/>
  <c r="AL104" i="21"/>
  <c r="AL11" i="21"/>
  <c r="V43" i="23"/>
  <c r="V75" i="23"/>
  <c r="V105" i="23"/>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N9" i="21" s="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O36" i="8"/>
  <c r="C75" i="1" s="1"/>
  <c r="N36" i="8"/>
  <c r="I4" i="8"/>
  <c r="D191" i="2"/>
  <c r="K3" i="17"/>
  <c r="E563" i="17" s="1"/>
  <c r="B9" i="8"/>
  <c r="B8" i="8" s="1"/>
  <c r="B7" i="8" s="1"/>
  <c r="B6" i="8" s="1"/>
  <c r="B4" i="8" s="1"/>
  <c r="D111" i="2"/>
  <c r="D114" i="2" s="1"/>
  <c r="J39" i="1" s="1"/>
  <c r="J34" i="1"/>
  <c r="D125" i="2"/>
  <c r="J36" i="1"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18" i="2"/>
  <c r="B177" i="2"/>
  <c r="B362" i="2" s="1"/>
  <c r="B319" i="2"/>
  <c r="B214" i="2"/>
  <c r="C3" i="17"/>
  <c r="B25" i="2"/>
  <c r="B23" i="2"/>
  <c r="B24"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B380" i="2"/>
  <c r="O11" i="8"/>
  <c r="B240" i="2" s="1"/>
  <c r="C66" i="16"/>
  <c r="D66" i="16" s="1"/>
  <c r="B50" i="2"/>
  <c r="E62" i="1"/>
  <c r="AF16" i="23" l="1"/>
  <c r="AJ16" i="23"/>
  <c r="B113" i="2"/>
  <c r="P66" i="23"/>
  <c r="Q66" i="23" s="1"/>
  <c r="AE66" i="23" s="1"/>
  <c r="O87" i="23"/>
  <c r="P87" i="23"/>
  <c r="Q87" i="23" s="1"/>
  <c r="AE87" i="23" s="1"/>
  <c r="AJ87" i="23"/>
  <c r="V87" i="23"/>
  <c r="W87" i="23" s="1"/>
  <c r="X87" i="23" s="1"/>
  <c r="AF47" i="23"/>
  <c r="AJ89" i="23"/>
  <c r="AJ47" i="23"/>
  <c r="AF86" i="23"/>
  <c r="AJ58" i="23"/>
  <c r="AF58" i="23"/>
  <c r="P80" i="23"/>
  <c r="Q80" i="23" s="1"/>
  <c r="AE80" i="23" s="1"/>
  <c r="O86" i="23"/>
  <c r="O47" i="23"/>
  <c r="P19" i="23"/>
  <c r="Q19" i="23" s="1"/>
  <c r="AE19" i="23" s="1"/>
  <c r="P16" i="23"/>
  <c r="Q16" i="23" s="1"/>
  <c r="AE16" i="23" s="1"/>
  <c r="P60" i="23"/>
  <c r="Q60" i="23" s="1"/>
  <c r="AE60" i="23" s="1"/>
  <c r="AJ86" i="23"/>
  <c r="V89" i="23"/>
  <c r="W89" i="23" s="1"/>
  <c r="X89" i="23" s="1"/>
  <c r="AF89" i="23"/>
  <c r="P97" i="23"/>
  <c r="Q97" i="23" s="1"/>
  <c r="AE97" i="23" s="1"/>
  <c r="P58" i="23"/>
  <c r="Q58" i="23" s="1"/>
  <c r="AE58" i="23" s="1"/>
  <c r="AF97" i="23"/>
  <c r="AJ97" i="23"/>
  <c r="O109" i="23"/>
  <c r="AJ109" i="23"/>
  <c r="AF109" i="23"/>
  <c r="AJ93" i="23"/>
  <c r="V24" i="23"/>
  <c r="W24" i="23" s="1"/>
  <c r="X24" i="23" s="1"/>
  <c r="AF24" i="23"/>
  <c r="O89" i="23"/>
  <c r="O76" i="23"/>
  <c r="AJ24" i="23"/>
  <c r="AF93" i="23"/>
  <c r="AJ30" i="23"/>
  <c r="P93" i="23"/>
  <c r="Q93" i="23" s="1"/>
  <c r="AE93" i="23" s="1"/>
  <c r="P24" i="23"/>
  <c r="Q24" i="23" s="1"/>
  <c r="AE24" i="23" s="1"/>
  <c r="AF30" i="23"/>
  <c r="P30" i="23"/>
  <c r="Q30" i="23" s="1"/>
  <c r="AE30" i="23" s="1"/>
  <c r="O93" i="23"/>
  <c r="AJ76" i="23"/>
  <c r="P76" i="23"/>
  <c r="Q76" i="23" s="1"/>
  <c r="AE76" i="23" s="1"/>
  <c r="B131" i="2"/>
  <c r="B211" i="2"/>
  <c r="B207" i="2"/>
  <c r="F3" i="17" s="1"/>
  <c r="B186" i="2"/>
  <c r="B191" i="2"/>
  <c r="B225" i="2"/>
  <c r="D97" i="2"/>
  <c r="D101" i="2" s="1"/>
  <c r="D105" i="2" s="1"/>
  <c r="J21" i="1" s="1"/>
  <c r="D65" i="2"/>
  <c r="D60" i="2"/>
  <c r="D67" i="2"/>
  <c r="D79" i="2"/>
  <c r="D88" i="2" s="1"/>
  <c r="J18" i="1" s="1"/>
  <c r="P9" i="23"/>
  <c r="Q9" i="23" s="1"/>
  <c r="AE9" i="23" s="1"/>
  <c r="O9" i="23"/>
  <c r="AB9" i="23"/>
  <c r="AC9" i="23" s="1"/>
  <c r="B153" i="2"/>
  <c r="B69" i="2"/>
  <c r="B148" i="2"/>
  <c r="B147"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382" i="2"/>
  <c r="B381" i="2"/>
  <c r="B97" i="2"/>
  <c r="B101" i="2" s="1"/>
  <c r="B60" i="2"/>
  <c r="B67" i="2"/>
  <c r="B79" i="2"/>
  <c r="E623" i="25"/>
  <c r="F623" i="25"/>
  <c r="S9" i="21"/>
  <c r="B111" i="2"/>
  <c r="E110" i="17"/>
  <c r="F329" i="17"/>
  <c r="E203" i="17"/>
  <c r="Y9" i="23"/>
  <c r="Z9" i="23" s="1"/>
  <c r="AA9" i="23" s="1"/>
  <c r="AF72" i="21"/>
  <c r="AF62" i="21"/>
  <c r="AF107" i="21"/>
  <c r="AF100" i="21"/>
  <c r="AH9" i="23"/>
  <c r="AI9" i="23" s="1"/>
  <c r="AF41" i="21"/>
  <c r="AF69" i="21"/>
  <c r="AF101" i="21"/>
  <c r="AF12" i="21"/>
  <c r="AF68" i="21"/>
  <c r="AF86" i="21"/>
  <c r="AF25" i="21"/>
  <c r="AF40" i="21"/>
  <c r="AF104" i="21"/>
  <c r="AF36" i="21"/>
  <c r="AF24" i="21"/>
  <c r="AF94" i="21"/>
  <c r="AF106" i="21"/>
  <c r="AJ9" i="23"/>
  <c r="AF9" i="23"/>
  <c r="V9" i="23"/>
  <c r="W9" i="23" s="1"/>
  <c r="X9" i="23" s="1"/>
  <c r="R9" i="23"/>
  <c r="W82" i="23"/>
  <c r="X82" i="23" s="1"/>
  <c r="W75" i="23"/>
  <c r="X75" i="23" s="1"/>
  <c r="W107" i="23"/>
  <c r="X107" i="23" s="1"/>
  <c r="W59" i="23"/>
  <c r="X59" i="23" s="1"/>
  <c r="W43" i="23"/>
  <c r="X43" i="23" s="1"/>
  <c r="W100" i="23"/>
  <c r="X100" i="23" s="1"/>
  <c r="W10" i="23"/>
  <c r="X10" i="23" s="1"/>
  <c r="W102" i="23"/>
  <c r="X102" i="23" s="1"/>
  <c r="W83" i="23"/>
  <c r="X83" i="23" s="1"/>
  <c r="W36" i="23"/>
  <c r="X36" i="23" s="1"/>
  <c r="W105" i="23"/>
  <c r="X105" i="23" s="1"/>
  <c r="W88" i="23"/>
  <c r="X88" i="23" s="1"/>
  <c r="W34" i="23"/>
  <c r="X34" i="23" s="1"/>
  <c r="W17" i="23"/>
  <c r="X17" i="23" s="1"/>
  <c r="W101" i="23"/>
  <c r="X101" i="23" s="1"/>
  <c r="W91" i="23"/>
  <c r="X91" i="23" s="1"/>
  <c r="W64" i="23"/>
  <c r="X64" i="23" s="1"/>
  <c r="W72" i="23"/>
  <c r="X72" i="23" s="1"/>
  <c r="W80" i="23"/>
  <c r="X80" i="23" s="1"/>
  <c r="W93" i="23"/>
  <c r="X93" i="23" s="1"/>
  <c r="W29" i="23"/>
  <c r="X29" i="23" s="1"/>
  <c r="W18" i="23"/>
  <c r="X18" i="23" s="1"/>
  <c r="V71" i="23"/>
  <c r="V77" i="23"/>
  <c r="V60" i="23"/>
  <c r="V28" i="23"/>
  <c r="V20" i="23"/>
  <c r="V61" i="23"/>
  <c r="R61" i="23"/>
  <c r="V70" i="23"/>
  <c r="V79" i="23"/>
  <c r="V47" i="23"/>
  <c r="V57" i="23"/>
  <c r="V62" i="23"/>
  <c r="R62" i="23"/>
  <c r="V26" i="23"/>
  <c r="V84" i="23"/>
  <c r="V97" i="23"/>
  <c r="R24" i="23"/>
  <c r="AH52" i="23"/>
  <c r="AI52" i="23" s="1"/>
  <c r="AK52" i="23" s="1"/>
  <c r="AH11" i="23"/>
  <c r="AI11" i="23" s="1"/>
  <c r="AK11" i="23" s="1"/>
  <c r="AH99" i="23"/>
  <c r="AI99" i="23" s="1"/>
  <c r="AK99" i="23" s="1"/>
  <c r="AF13" i="21"/>
  <c r="AF71" i="21"/>
  <c r="AH90" i="23"/>
  <c r="AI90" i="23" s="1"/>
  <c r="AK90" i="23" s="1"/>
  <c r="AH39" i="23"/>
  <c r="AI39" i="23" s="1"/>
  <c r="AK39" i="23" s="1"/>
  <c r="AB39" i="23"/>
  <c r="AC39" i="23" s="1"/>
  <c r="Y103" i="23"/>
  <c r="Z103" i="23" s="1"/>
  <c r="AA103" i="23" s="1"/>
  <c r="Y63" i="23"/>
  <c r="Z63" i="23" s="1"/>
  <c r="AA63" i="23" s="1"/>
  <c r="AH105" i="23"/>
  <c r="AI105" i="23" s="1"/>
  <c r="Y105" i="23"/>
  <c r="Z105" i="23" s="1"/>
  <c r="AA105" i="23" s="1"/>
  <c r="AB105" i="23"/>
  <c r="AC105" i="23" s="1"/>
  <c r="R105" i="23"/>
  <c r="R89" i="23"/>
  <c r="AH75" i="23"/>
  <c r="AI75" i="23" s="1"/>
  <c r="AK75" i="23" s="1"/>
  <c r="Y75" i="23"/>
  <c r="Z75" i="23" s="1"/>
  <c r="AA75" i="23" s="1"/>
  <c r="AB75" i="23"/>
  <c r="AC75" i="23" s="1"/>
  <c r="R75" i="23"/>
  <c r="AB86" i="23"/>
  <c r="AC86" i="23" s="1"/>
  <c r="AB68" i="23"/>
  <c r="AC68" i="23" s="1"/>
  <c r="AH68" i="23"/>
  <c r="AI68" i="23" s="1"/>
  <c r="AK68" i="23" s="1"/>
  <c r="AH43" i="23"/>
  <c r="AI43" i="23" s="1"/>
  <c r="AK43" i="23" s="1"/>
  <c r="Y43" i="23"/>
  <c r="Z43" i="23" s="1"/>
  <c r="AA43" i="23" s="1"/>
  <c r="AB43" i="23"/>
  <c r="AC43" i="23" s="1"/>
  <c r="R43" i="23"/>
  <c r="AH41" i="23"/>
  <c r="AI41" i="23" s="1"/>
  <c r="AK41" i="23" s="1"/>
  <c r="AB71" i="23"/>
  <c r="AC71" i="23" s="1"/>
  <c r="AH71" i="23"/>
  <c r="AI71" i="23" s="1"/>
  <c r="AK71" i="23" s="1"/>
  <c r="Y71" i="23"/>
  <c r="Z71" i="23" s="1"/>
  <c r="AA71" i="23" s="1"/>
  <c r="R101" i="23"/>
  <c r="AB54" i="23"/>
  <c r="AC54" i="23" s="1"/>
  <c r="AH22" i="23"/>
  <c r="AI22" i="23" s="1"/>
  <c r="AK22" i="23" s="1"/>
  <c r="R10" i="23"/>
  <c r="Y106" i="23"/>
  <c r="Z106" i="23" s="1"/>
  <c r="AA106" i="23" s="1"/>
  <c r="AB107" i="23"/>
  <c r="AC107" i="23" s="1"/>
  <c r="AH107" i="23"/>
  <c r="AI107" i="23" s="1"/>
  <c r="AK107" i="23" s="1"/>
  <c r="Y107" i="23"/>
  <c r="Z107" i="23" s="1"/>
  <c r="AA107" i="23" s="1"/>
  <c r="AB78" i="23"/>
  <c r="AC78" i="23" s="1"/>
  <c r="AH55" i="23"/>
  <c r="AI55" i="23" s="1"/>
  <c r="AK55" i="23" s="1"/>
  <c r="AH64" i="23"/>
  <c r="AI64" i="23" s="1"/>
  <c r="AK64" i="23" s="1"/>
  <c r="Y64" i="23"/>
  <c r="Z64" i="23" s="1"/>
  <c r="AA64" i="23" s="1"/>
  <c r="AB64" i="23"/>
  <c r="AC64" i="23" s="1"/>
  <c r="R64" i="23"/>
  <c r="AH23" i="23"/>
  <c r="AI23" i="23" s="1"/>
  <c r="AK23" i="23" s="1"/>
  <c r="AB12" i="23"/>
  <c r="AC12" i="23" s="1"/>
  <c r="AH13" i="23"/>
  <c r="AI13" i="23" s="1"/>
  <c r="AK13" i="23" s="1"/>
  <c r="R29" i="23"/>
  <c r="AH102" i="23"/>
  <c r="AI102" i="23" s="1"/>
  <c r="AK102" i="23" s="1"/>
  <c r="Y102" i="23"/>
  <c r="Z102" i="23" s="1"/>
  <c r="AA102" i="23" s="1"/>
  <c r="AB102" i="23"/>
  <c r="AC102" i="23" s="1"/>
  <c r="R102" i="23"/>
  <c r="AH88" i="23"/>
  <c r="AI88" i="23" s="1"/>
  <c r="AK88" i="23" s="1"/>
  <c r="Y88" i="23"/>
  <c r="Z88" i="23" s="1"/>
  <c r="AA88" i="23" s="1"/>
  <c r="AB88" i="23"/>
  <c r="AC88" i="23" s="1"/>
  <c r="R88" i="23"/>
  <c r="R83" i="23"/>
  <c r="AF45" i="21"/>
  <c r="AH63" i="23"/>
  <c r="AI63" i="23" s="1"/>
  <c r="AK63" i="23" s="1"/>
  <c r="Y73" i="23"/>
  <c r="Z73" i="23" s="1"/>
  <c r="AA73" i="23" s="1"/>
  <c r="AH21" i="23"/>
  <c r="AI21" i="23" s="1"/>
  <c r="AK21" i="23" s="1"/>
  <c r="AB98" i="23"/>
  <c r="AC98" i="23" s="1"/>
  <c r="Y86" i="23"/>
  <c r="Z86" i="23" s="1"/>
  <c r="AA86" i="23" s="1"/>
  <c r="Y56" i="23"/>
  <c r="Z56" i="23" s="1"/>
  <c r="AA56" i="23" s="1"/>
  <c r="AH48" i="23"/>
  <c r="AI48" i="23" s="1"/>
  <c r="AK48" i="23" s="1"/>
  <c r="AH58" i="23"/>
  <c r="AI58" i="23" s="1"/>
  <c r="AH16" i="23"/>
  <c r="AI16" i="23" s="1"/>
  <c r="AK16" i="23" s="1"/>
  <c r="R26" i="23"/>
  <c r="R71" i="23"/>
  <c r="AF81" i="21"/>
  <c r="AF32" i="21"/>
  <c r="AF11" i="21"/>
  <c r="AB82" i="23"/>
  <c r="AC82" i="23" s="1"/>
  <c r="Y82" i="23"/>
  <c r="Z82" i="23" s="1"/>
  <c r="AA82" i="23" s="1"/>
  <c r="AH82" i="23"/>
  <c r="AI82" i="23" s="1"/>
  <c r="AK82" i="23" s="1"/>
  <c r="AH47" i="23"/>
  <c r="AI47" i="23" s="1"/>
  <c r="AK47" i="23" s="1"/>
  <c r="Y47" i="23"/>
  <c r="Z47" i="23" s="1"/>
  <c r="AA47" i="23" s="1"/>
  <c r="AB47" i="23"/>
  <c r="AC47" i="23" s="1"/>
  <c r="R47" i="23"/>
  <c r="AH10" i="23"/>
  <c r="AI10" i="23" s="1"/>
  <c r="AK10" i="23" s="1"/>
  <c r="Y10" i="23"/>
  <c r="Z10" i="23" s="1"/>
  <c r="AA10" i="23" s="1"/>
  <c r="AB10" i="23"/>
  <c r="AC10" i="23" s="1"/>
  <c r="AF29" i="21"/>
  <c r="AF78" i="21"/>
  <c r="Y65" i="23"/>
  <c r="Z65" i="23" s="1"/>
  <c r="AA65" i="23" s="1"/>
  <c r="AH57" i="23"/>
  <c r="AI57" i="23" s="1"/>
  <c r="AK57" i="23" s="1"/>
  <c r="Y57" i="23"/>
  <c r="Z57" i="23" s="1"/>
  <c r="AA57" i="23" s="1"/>
  <c r="AB57" i="23"/>
  <c r="AC57" i="23" s="1"/>
  <c r="R57" i="23"/>
  <c r="AH66" i="23"/>
  <c r="AI66" i="23" s="1"/>
  <c r="AK66" i="23" s="1"/>
  <c r="AB66" i="23"/>
  <c r="AC66" i="23" s="1"/>
  <c r="Y66" i="23"/>
  <c r="Z66" i="23" s="1"/>
  <c r="AA66" i="23" s="1"/>
  <c r="AB29" i="23"/>
  <c r="AC29" i="23" s="1"/>
  <c r="Y29" i="23"/>
  <c r="Z29" i="23" s="1"/>
  <c r="AA29" i="23" s="1"/>
  <c r="AH29" i="23"/>
  <c r="AI29" i="23" s="1"/>
  <c r="AK29" i="23" s="1"/>
  <c r="AH83" i="23"/>
  <c r="AI83" i="23" s="1"/>
  <c r="AK83" i="23" s="1"/>
  <c r="Y83" i="23"/>
  <c r="Z83" i="23" s="1"/>
  <c r="AA83" i="23" s="1"/>
  <c r="AB83" i="23"/>
  <c r="AC83" i="23" s="1"/>
  <c r="AB72" i="23"/>
  <c r="AC72" i="23" s="1"/>
  <c r="AH72" i="23"/>
  <c r="AI72" i="23" s="1"/>
  <c r="AK72" i="23" s="1"/>
  <c r="Y72" i="23"/>
  <c r="Z72" i="23" s="1"/>
  <c r="AA72" i="23" s="1"/>
  <c r="R72" i="23"/>
  <c r="AH34" i="23"/>
  <c r="AI34" i="23" s="1"/>
  <c r="AK34" i="23" s="1"/>
  <c r="AB34" i="23"/>
  <c r="AC34" i="23" s="1"/>
  <c r="Y34" i="23"/>
  <c r="Z34" i="23" s="1"/>
  <c r="AA34" i="23" s="1"/>
  <c r="Y32" i="23"/>
  <c r="Z32" i="23" s="1"/>
  <c r="AA32" i="23" s="1"/>
  <c r="R36" i="23"/>
  <c r="AH94" i="23"/>
  <c r="AI94" i="23" s="1"/>
  <c r="AK94" i="23" s="1"/>
  <c r="AB94" i="23"/>
  <c r="AC94" i="23" s="1"/>
  <c r="AH84" i="23"/>
  <c r="AI84" i="23" s="1"/>
  <c r="AK84" i="23" s="1"/>
  <c r="Y84" i="23"/>
  <c r="Z84" i="23" s="1"/>
  <c r="AA84" i="23" s="1"/>
  <c r="AB84" i="23"/>
  <c r="AC84" i="23" s="1"/>
  <c r="R84" i="23"/>
  <c r="AB80" i="23"/>
  <c r="AC80" i="23" s="1"/>
  <c r="Y80" i="23"/>
  <c r="Z80" i="23" s="1"/>
  <c r="AA80" i="23" s="1"/>
  <c r="AH80" i="23"/>
  <c r="AI80" i="23" s="1"/>
  <c r="AK80" i="23" s="1"/>
  <c r="R80" i="23"/>
  <c r="AH87" i="23"/>
  <c r="Y87" i="23"/>
  <c r="Z87" i="23" s="1"/>
  <c r="AA87" i="23" s="1"/>
  <c r="AB87" i="23"/>
  <c r="AC87" i="23" s="1"/>
  <c r="AB59" i="23"/>
  <c r="AC59" i="23" s="1"/>
  <c r="Y59" i="23"/>
  <c r="Z59" i="23" s="1"/>
  <c r="AA59" i="23" s="1"/>
  <c r="AH59" i="23"/>
  <c r="AI59" i="23" s="1"/>
  <c r="AK59" i="23" s="1"/>
  <c r="R59" i="23"/>
  <c r="AB67" i="23"/>
  <c r="AC67" i="23" s="1"/>
  <c r="AH25" i="23"/>
  <c r="AI25" i="23" s="1"/>
  <c r="AK25" i="23" s="1"/>
  <c r="Y27" i="23"/>
  <c r="Z27" i="23" s="1"/>
  <c r="AA27" i="23" s="1"/>
  <c r="AH17" i="23"/>
  <c r="Y17" i="23"/>
  <c r="Z17" i="23" s="1"/>
  <c r="AA17" i="23" s="1"/>
  <c r="AB17" i="23"/>
  <c r="AC17" i="23" s="1"/>
  <c r="R17" i="23"/>
  <c r="AF79" i="21"/>
  <c r="AF10" i="21"/>
  <c r="AF70" i="21"/>
  <c r="F64" i="17"/>
  <c r="AH93" i="23"/>
  <c r="Y93" i="23"/>
  <c r="Z93" i="23" s="1"/>
  <c r="AA93" i="23" s="1"/>
  <c r="AB93" i="23"/>
  <c r="AC93" i="23" s="1"/>
  <c r="R93" i="23"/>
  <c r="AB89" i="23"/>
  <c r="AC89" i="23" s="1"/>
  <c r="AH89" i="23"/>
  <c r="AI89" i="23" s="1"/>
  <c r="AK89" i="23" s="1"/>
  <c r="Y89" i="23"/>
  <c r="Z89" i="23" s="1"/>
  <c r="AA89" i="23" s="1"/>
  <c r="AH95" i="23"/>
  <c r="AI95" i="23" s="1"/>
  <c r="AK95" i="23" s="1"/>
  <c r="AB96" i="23"/>
  <c r="AC96" i="23" s="1"/>
  <c r="AH79" i="23"/>
  <c r="AI79" i="23" s="1"/>
  <c r="AK79" i="23" s="1"/>
  <c r="Y79" i="23"/>
  <c r="Z79" i="23" s="1"/>
  <c r="AA79" i="23" s="1"/>
  <c r="AB79" i="23"/>
  <c r="R79" i="23"/>
  <c r="AH62" i="23"/>
  <c r="AI62" i="23" s="1"/>
  <c r="AK62" i="23" s="1"/>
  <c r="Y62" i="23"/>
  <c r="Z62" i="23" s="1"/>
  <c r="AA62" i="23" s="1"/>
  <c r="AB62" i="23"/>
  <c r="AC62" i="23" s="1"/>
  <c r="Y24" i="23"/>
  <c r="Z24" i="23" s="1"/>
  <c r="AA24" i="23" s="1"/>
  <c r="AB24" i="23"/>
  <c r="AC24" i="23" s="1"/>
  <c r="AH24" i="23"/>
  <c r="AI24" i="23" s="1"/>
  <c r="AH20" i="23"/>
  <c r="Y20" i="23"/>
  <c r="Z20" i="23" s="1"/>
  <c r="AA20" i="23" s="1"/>
  <c r="AB20" i="23"/>
  <c r="AC20" i="23" s="1"/>
  <c r="R20" i="23"/>
  <c r="AH26" i="23"/>
  <c r="AI26" i="23" s="1"/>
  <c r="AK26" i="23" s="1"/>
  <c r="AB26" i="23"/>
  <c r="AC26" i="23" s="1"/>
  <c r="Y26" i="23"/>
  <c r="Z26" i="23" s="1"/>
  <c r="AA26" i="23" s="1"/>
  <c r="AB99" i="23"/>
  <c r="AC99" i="23" s="1"/>
  <c r="AB100" i="23"/>
  <c r="AC100" i="23" s="1"/>
  <c r="AH100" i="23"/>
  <c r="AI100" i="23" s="1"/>
  <c r="AK100" i="23" s="1"/>
  <c r="Y100" i="23"/>
  <c r="Z100" i="23" s="1"/>
  <c r="AA100" i="23" s="1"/>
  <c r="R100" i="23"/>
  <c r="R82" i="23"/>
  <c r="AH101" i="23"/>
  <c r="AI101" i="23" s="1"/>
  <c r="AK101" i="23" s="1"/>
  <c r="Y101" i="23"/>
  <c r="Z101" i="23" s="1"/>
  <c r="AA101" i="23" s="1"/>
  <c r="AB101" i="23"/>
  <c r="AC101" i="23" s="1"/>
  <c r="AB50" i="23"/>
  <c r="AC50" i="23" s="1"/>
  <c r="AH50" i="23"/>
  <c r="AI50" i="23" s="1"/>
  <c r="AK50" i="23" s="1"/>
  <c r="AH104" i="23"/>
  <c r="AI104" i="23" s="1"/>
  <c r="AK104" i="23" s="1"/>
  <c r="AB61" i="23"/>
  <c r="AC61" i="23" s="1"/>
  <c r="AH61" i="23"/>
  <c r="Y61" i="23"/>
  <c r="Z61" i="23" s="1"/>
  <c r="AA61" i="23" s="1"/>
  <c r="AB46" i="23"/>
  <c r="AC46" i="23" s="1"/>
  <c r="AH44" i="23"/>
  <c r="AI44" i="23" s="1"/>
  <c r="AK44" i="23" s="1"/>
  <c r="R107" i="23"/>
  <c r="Y92" i="23"/>
  <c r="Z92" i="23" s="1"/>
  <c r="AA92" i="23" s="1"/>
  <c r="Y85" i="23"/>
  <c r="Z85" i="23" s="1"/>
  <c r="AA85" i="23" s="1"/>
  <c r="AH91" i="23"/>
  <c r="Y91" i="23"/>
  <c r="Z91" i="23" s="1"/>
  <c r="AA91" i="23" s="1"/>
  <c r="AB91" i="23"/>
  <c r="AC91" i="23" s="1"/>
  <c r="R91" i="23"/>
  <c r="AB74" i="23"/>
  <c r="AC74" i="23" s="1"/>
  <c r="Y51" i="23"/>
  <c r="Z51" i="23" s="1"/>
  <c r="AA51" i="23" s="1"/>
  <c r="AB33" i="23"/>
  <c r="AC33" i="23" s="1"/>
  <c r="AB70" i="23"/>
  <c r="AC70" i="23" s="1"/>
  <c r="AH70" i="23"/>
  <c r="AI70" i="23" s="1"/>
  <c r="AK70" i="23" s="1"/>
  <c r="Y70" i="23"/>
  <c r="Z70" i="23" s="1"/>
  <c r="AA70" i="23" s="1"/>
  <c r="R70" i="23"/>
  <c r="AB14" i="23"/>
  <c r="AC14" i="23" s="1"/>
  <c r="AB31" i="23"/>
  <c r="AC31" i="23" s="1"/>
  <c r="AF35" i="21"/>
  <c r="AF51" i="21"/>
  <c r="AF83" i="21"/>
  <c r="AF34" i="21"/>
  <c r="AF50" i="21"/>
  <c r="AF66" i="21"/>
  <c r="AF98" i="21"/>
  <c r="AH77" i="23"/>
  <c r="AI77" i="23" s="1"/>
  <c r="AK77" i="23" s="1"/>
  <c r="Y77" i="23"/>
  <c r="Z77" i="23" s="1"/>
  <c r="AA77" i="23" s="1"/>
  <c r="AB77" i="23"/>
  <c r="AC77" i="23" s="1"/>
  <c r="R77" i="23"/>
  <c r="Y60" i="23"/>
  <c r="Z60" i="23" s="1"/>
  <c r="AA60" i="23" s="1"/>
  <c r="AH60" i="23"/>
  <c r="AI60" i="23" s="1"/>
  <c r="AK60" i="23" s="1"/>
  <c r="AB60" i="23"/>
  <c r="AC60" i="23" s="1"/>
  <c r="R60" i="23"/>
  <c r="R34" i="23"/>
  <c r="AH18" i="23"/>
  <c r="AI18" i="23" s="1"/>
  <c r="AK18" i="23" s="1"/>
  <c r="Y18" i="23"/>
  <c r="Z18" i="23" s="1"/>
  <c r="AA18" i="23" s="1"/>
  <c r="AB18" i="23"/>
  <c r="R18" i="23"/>
  <c r="AB37" i="23"/>
  <c r="AC37" i="23" s="1"/>
  <c r="AB36" i="23"/>
  <c r="AC36" i="23" s="1"/>
  <c r="AH36" i="23"/>
  <c r="AI36" i="23" s="1"/>
  <c r="AK36" i="23" s="1"/>
  <c r="Y36" i="23"/>
  <c r="Z36" i="23" s="1"/>
  <c r="AA36" i="23" s="1"/>
  <c r="AB30" i="23"/>
  <c r="AC30" i="23" s="1"/>
  <c r="AF84" i="21"/>
  <c r="Y109" i="23"/>
  <c r="Z109" i="23" s="1"/>
  <c r="AA109" i="23" s="1"/>
  <c r="Y108" i="23"/>
  <c r="Z108" i="23" s="1"/>
  <c r="AA108" i="23" s="1"/>
  <c r="AH97" i="23"/>
  <c r="AI97" i="23" s="1"/>
  <c r="Y97" i="23"/>
  <c r="Z97" i="23" s="1"/>
  <c r="AA97" i="23" s="1"/>
  <c r="AB97" i="23"/>
  <c r="AC97" i="23" s="1"/>
  <c r="R97" i="23"/>
  <c r="AB76" i="23"/>
  <c r="AC76" i="23" s="1"/>
  <c r="R87" i="23"/>
  <c r="AH45" i="23"/>
  <c r="AI45" i="23" s="1"/>
  <c r="AK45" i="23" s="1"/>
  <c r="Y15" i="23"/>
  <c r="Z15" i="23" s="1"/>
  <c r="AA15" i="23" s="1"/>
  <c r="Y40" i="23"/>
  <c r="Z40" i="23" s="1"/>
  <c r="AA40" i="23" s="1"/>
  <c r="AH28" i="23"/>
  <c r="AI28" i="23" s="1"/>
  <c r="AK28" i="23" s="1"/>
  <c r="AB28" i="23"/>
  <c r="Y28" i="23"/>
  <c r="Z28" i="23" s="1"/>
  <c r="AA28" i="23" s="1"/>
  <c r="R28" i="23"/>
  <c r="AH38" i="23"/>
  <c r="AI38" i="23" s="1"/>
  <c r="AK38" i="23" s="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AN96" i="21" s="1"/>
  <c r="V52" i="21"/>
  <c r="AJ52" i="21"/>
  <c r="V20" i="21"/>
  <c r="AJ20" i="21"/>
  <c r="V56" i="21"/>
  <c r="AJ56" i="21"/>
  <c r="V88" i="21"/>
  <c r="R88" i="21"/>
  <c r="AN88" i="21" s="1"/>
  <c r="AJ88" i="21"/>
  <c r="V61" i="21"/>
  <c r="R61" i="21"/>
  <c r="AN61" i="21" s="1"/>
  <c r="V64" i="21"/>
  <c r="R64" i="21"/>
  <c r="AN64" i="21" s="1"/>
  <c r="V89" i="21"/>
  <c r="R89" i="21"/>
  <c r="AN89" i="21" s="1"/>
  <c r="V67" i="21"/>
  <c r="R67" i="21"/>
  <c r="AN67" i="21" s="1"/>
  <c r="AJ67" i="21"/>
  <c r="V99" i="21"/>
  <c r="R99" i="21"/>
  <c r="AN99" i="21" s="1"/>
  <c r="V30" i="21"/>
  <c r="AJ30" i="21"/>
  <c r="R30" i="21"/>
  <c r="AN30" i="21" s="1"/>
  <c r="AJ35" i="21"/>
  <c r="R35" i="21"/>
  <c r="AN35" i="21" s="1"/>
  <c r="AJ84" i="21"/>
  <c r="AJ25" i="21"/>
  <c r="AJ24" i="21"/>
  <c r="R32" i="21"/>
  <c r="AN32" i="21" s="1"/>
  <c r="R29" i="21"/>
  <c r="AN29" i="21" s="1"/>
  <c r="V19" i="21"/>
  <c r="AJ19" i="21"/>
  <c r="V91" i="21"/>
  <c r="R91" i="21"/>
  <c r="AN91" i="21" s="1"/>
  <c r="AJ91" i="21"/>
  <c r="V21" i="21"/>
  <c r="AJ21" i="21"/>
  <c r="R21" i="21"/>
  <c r="AN21" i="21" s="1"/>
  <c r="V44" i="21"/>
  <c r="R44" i="21"/>
  <c r="AN44" i="21" s="1"/>
  <c r="AJ44" i="21"/>
  <c r="V23" i="21"/>
  <c r="AJ23" i="21"/>
  <c r="R23" i="21"/>
  <c r="AN23" i="21" s="1"/>
  <c r="V97" i="21"/>
  <c r="AJ97" i="21"/>
  <c r="R97" i="21"/>
  <c r="AN97" i="21" s="1"/>
  <c r="V51" i="21"/>
  <c r="AJ51" i="21"/>
  <c r="V42" i="21"/>
  <c r="AJ42" i="21"/>
  <c r="R42" i="21"/>
  <c r="AN42" i="21" s="1"/>
  <c r="V92" i="21"/>
  <c r="R92" i="21"/>
  <c r="AN92" i="21" s="1"/>
  <c r="AJ92" i="21"/>
  <c r="V95" i="21"/>
  <c r="AJ95" i="21"/>
  <c r="R95" i="21"/>
  <c r="AN95" i="21" s="1"/>
  <c r="V33" i="21"/>
  <c r="R33" i="21"/>
  <c r="AN33" i="21" s="1"/>
  <c r="AJ33" i="21"/>
  <c r="V48" i="21"/>
  <c r="R48" i="21"/>
  <c r="AN48" i="21" s="1"/>
  <c r="AJ48" i="21"/>
  <c r="V27" i="21"/>
  <c r="R27" i="21"/>
  <c r="AN27" i="21" s="1"/>
  <c r="AJ27" i="21"/>
  <c r="N43" i="21"/>
  <c r="V83" i="21"/>
  <c r="AJ83" i="21"/>
  <c r="V58" i="21"/>
  <c r="R58" i="21"/>
  <c r="AN58" i="21" s="1"/>
  <c r="AJ58" i="21"/>
  <c r="V54" i="21"/>
  <c r="AJ54" i="21"/>
  <c r="R54" i="21"/>
  <c r="AN54" i="21" s="1"/>
  <c r="V85" i="21"/>
  <c r="AJ85" i="21"/>
  <c r="R85" i="21"/>
  <c r="AN85" i="21" s="1"/>
  <c r="V60" i="21"/>
  <c r="R60" i="21"/>
  <c r="AN60" i="21" s="1"/>
  <c r="AJ60" i="21"/>
  <c r="V73" i="21"/>
  <c r="AJ73" i="21"/>
  <c r="R73" i="21"/>
  <c r="AN73" i="21" s="1"/>
  <c r="V15" i="21"/>
  <c r="AJ15" i="21"/>
  <c r="R15" i="21"/>
  <c r="AN15" i="21" s="1"/>
  <c r="V93" i="21"/>
  <c r="AJ93" i="21"/>
  <c r="R93" i="21"/>
  <c r="AN93" i="21" s="1"/>
  <c r="V55" i="21"/>
  <c r="AJ55" i="21"/>
  <c r="R55" i="21"/>
  <c r="AN55" i="21" s="1"/>
  <c r="V65" i="21"/>
  <c r="AJ65" i="21"/>
  <c r="R65" i="21"/>
  <c r="AN65" i="21" s="1"/>
  <c r="R19" i="21"/>
  <c r="AN19" i="21" s="1"/>
  <c r="V59" i="21"/>
  <c r="R59" i="21"/>
  <c r="AN59" i="21" s="1"/>
  <c r="AJ59" i="21"/>
  <c r="N75" i="21"/>
  <c r="V74" i="21"/>
  <c r="AJ74" i="21"/>
  <c r="R74" i="21"/>
  <c r="AN74" i="21" s="1"/>
  <c r="V90" i="21"/>
  <c r="AJ90" i="21"/>
  <c r="R90" i="21"/>
  <c r="AN90" i="21" s="1"/>
  <c r="V63" i="21"/>
  <c r="AJ63" i="21"/>
  <c r="R63" i="21"/>
  <c r="AN63" i="21" s="1"/>
  <c r="V53" i="21"/>
  <c r="AJ53" i="21"/>
  <c r="R53" i="21"/>
  <c r="AN53" i="21" s="1"/>
  <c r="V28" i="21"/>
  <c r="AJ28" i="21"/>
  <c r="R28" i="21"/>
  <c r="AN28" i="21" s="1"/>
  <c r="V87" i="21"/>
  <c r="R87" i="21"/>
  <c r="AN87" i="21" s="1"/>
  <c r="AJ87" i="21"/>
  <c r="AB35" i="21"/>
  <c r="AH35" i="21"/>
  <c r="Y35" i="21"/>
  <c r="AH67" i="21"/>
  <c r="AB67" i="21"/>
  <c r="Y67" i="21"/>
  <c r="AH99" i="21"/>
  <c r="AB99" i="21"/>
  <c r="Y99" i="21"/>
  <c r="R107" i="21"/>
  <c r="AN107" i="21" s="1"/>
  <c r="R34" i="21"/>
  <c r="AN34" i="21" s="1"/>
  <c r="AH50" i="21"/>
  <c r="AB50" i="21"/>
  <c r="Y50" i="21"/>
  <c r="AJ50" i="21"/>
  <c r="R66" i="21"/>
  <c r="AN66" i="21" s="1"/>
  <c r="R98" i="21"/>
  <c r="AN98" i="21" s="1"/>
  <c r="R106" i="21"/>
  <c r="AN106" i="21" s="1"/>
  <c r="R78" i="21"/>
  <c r="AN78" i="21" s="1"/>
  <c r="AJ13" i="21"/>
  <c r="AH29" i="21"/>
  <c r="Y29" i="21"/>
  <c r="AB29" i="21"/>
  <c r="N37" i="21"/>
  <c r="AJ45" i="21"/>
  <c r="AH61" i="21"/>
  <c r="Y61" i="21"/>
  <c r="AB61" i="21"/>
  <c r="AH69" i="21"/>
  <c r="Y69" i="21"/>
  <c r="AB69" i="21"/>
  <c r="AH101" i="21"/>
  <c r="Y101" i="21"/>
  <c r="AB101" i="21"/>
  <c r="AJ101" i="21"/>
  <c r="R20" i="21"/>
  <c r="AN20" i="21" s="1"/>
  <c r="AH36" i="21"/>
  <c r="AB36" i="21"/>
  <c r="Y36" i="21"/>
  <c r="R52" i="21"/>
  <c r="AN52" i="21" s="1"/>
  <c r="AH68" i="21"/>
  <c r="Y68" i="21"/>
  <c r="AB68" i="21"/>
  <c r="R84" i="21"/>
  <c r="AN84" i="21" s="1"/>
  <c r="AH100" i="21"/>
  <c r="Y100" i="21"/>
  <c r="AB100" i="21"/>
  <c r="AJ79" i="21"/>
  <c r="R10" i="21"/>
  <c r="AN10" i="21" s="1"/>
  <c r="AH86" i="21"/>
  <c r="AB86" i="21"/>
  <c r="Y86" i="21"/>
  <c r="AH12" i="21"/>
  <c r="Y12" i="21"/>
  <c r="AB12" i="21"/>
  <c r="R25" i="21"/>
  <c r="AN25" i="21" s="1"/>
  <c r="AH41" i="21"/>
  <c r="AB41" i="21"/>
  <c r="Y41" i="21"/>
  <c r="R57" i="21"/>
  <c r="AN57" i="21" s="1"/>
  <c r="N105" i="21"/>
  <c r="R24" i="21"/>
  <c r="AN24" i="21" s="1"/>
  <c r="AH40" i="21"/>
  <c r="AB40" i="21"/>
  <c r="Y40" i="21"/>
  <c r="R56" i="21"/>
  <c r="AN56" i="21" s="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N50" i="21" s="1"/>
  <c r="AH66" i="21"/>
  <c r="AB66" i="21"/>
  <c r="Y66" i="21"/>
  <c r="AJ66" i="21"/>
  <c r="N82" i="21"/>
  <c r="AH98" i="21"/>
  <c r="AB98" i="21"/>
  <c r="Y98" i="21"/>
  <c r="AJ98" i="21"/>
  <c r="AH30" i="21"/>
  <c r="AB30" i="21"/>
  <c r="Y30" i="21"/>
  <c r="N102" i="21"/>
  <c r="AH13" i="21"/>
  <c r="Y13" i="21"/>
  <c r="AB13" i="21"/>
  <c r="AJ29" i="21"/>
  <c r="AH45" i="21"/>
  <c r="Y45" i="21"/>
  <c r="AB45" i="21"/>
  <c r="AJ61" i="21"/>
  <c r="R69" i="21"/>
  <c r="AN69" i="21" s="1"/>
  <c r="N77" i="21"/>
  <c r="R101" i="21"/>
  <c r="AN101" i="21" s="1"/>
  <c r="N109" i="21"/>
  <c r="AH20" i="21"/>
  <c r="AB20" i="21"/>
  <c r="Y20" i="21"/>
  <c r="R36" i="21"/>
  <c r="AN36" i="21" s="1"/>
  <c r="AH52" i="21"/>
  <c r="Y52" i="21"/>
  <c r="AB52" i="21"/>
  <c r="R68" i="21"/>
  <c r="AN68" i="21" s="1"/>
  <c r="N76" i="21"/>
  <c r="AH84" i="21"/>
  <c r="Y84" i="21"/>
  <c r="AB84" i="21"/>
  <c r="R100" i="21"/>
  <c r="AN100" i="21" s="1"/>
  <c r="N108" i="21"/>
  <c r="AH79" i="21"/>
  <c r="AB79" i="21"/>
  <c r="Y79" i="21"/>
  <c r="N22" i="21"/>
  <c r="AH70" i="21"/>
  <c r="AB70" i="21"/>
  <c r="Y70" i="21"/>
  <c r="AJ70" i="21"/>
  <c r="R12" i="21"/>
  <c r="AN12" i="21" s="1"/>
  <c r="N17" i="21"/>
  <c r="AH25" i="21"/>
  <c r="AB25" i="21"/>
  <c r="Y25" i="21"/>
  <c r="R41" i="21"/>
  <c r="AN41" i="21" s="1"/>
  <c r="N49" i="21"/>
  <c r="AH57" i="21"/>
  <c r="Y57" i="21"/>
  <c r="AB57" i="21"/>
  <c r="AH81" i="21"/>
  <c r="Y81" i="21"/>
  <c r="AB81" i="21"/>
  <c r="AH89" i="21"/>
  <c r="Y89" i="21"/>
  <c r="AB89" i="21"/>
  <c r="AJ89" i="21"/>
  <c r="N16" i="21"/>
  <c r="AH24" i="21"/>
  <c r="AB24" i="21"/>
  <c r="Y24" i="21"/>
  <c r="AJ32" i="21"/>
  <c r="R40" i="21"/>
  <c r="AN40" i="21" s="1"/>
  <c r="AH56" i="21"/>
  <c r="Y56" i="21"/>
  <c r="AB56" i="21"/>
  <c r="AJ64" i="21"/>
  <c r="R72" i="21"/>
  <c r="AN72" i="21" s="1"/>
  <c r="N80" i="21"/>
  <c r="AH88" i="21"/>
  <c r="Y88" i="21"/>
  <c r="AB88" i="21"/>
  <c r="AJ96" i="21"/>
  <c r="R104" i="21"/>
  <c r="AN104" i="21" s="1"/>
  <c r="R11" i="21"/>
  <c r="AN11" i="21" s="1"/>
  <c r="AH71" i="21"/>
  <c r="AB71" i="21"/>
  <c r="Y71" i="21"/>
  <c r="N14" i="21"/>
  <c r="R62" i="21"/>
  <c r="AN62" i="21" s="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N13" i="21" s="1"/>
  <c r="AH21" i="21"/>
  <c r="Y21" i="21"/>
  <c r="AB21" i="21"/>
  <c r="R45" i="21"/>
  <c r="AN45" i="21" s="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N79" i="21" s="1"/>
  <c r="AH95" i="21"/>
  <c r="AB95" i="21"/>
  <c r="Y95" i="21"/>
  <c r="AH10" i="21"/>
  <c r="AB10" i="21"/>
  <c r="Y10" i="21"/>
  <c r="AJ10" i="21"/>
  <c r="N46" i="21"/>
  <c r="R70" i="21"/>
  <c r="AN70" i="21" s="1"/>
  <c r="R86" i="21"/>
  <c r="AN86" i="21" s="1"/>
  <c r="AJ86" i="21"/>
  <c r="AJ12" i="21"/>
  <c r="AH33" i="21"/>
  <c r="Y33" i="21"/>
  <c r="AB33" i="21"/>
  <c r="AJ41" i="21"/>
  <c r="AH65" i="21"/>
  <c r="Y65" i="21"/>
  <c r="AB65" i="21"/>
  <c r="R81" i="21"/>
  <c r="AN81" i="21" s="1"/>
  <c r="AH32" i="21"/>
  <c r="AB32" i="21"/>
  <c r="Y32" i="21"/>
  <c r="AJ40" i="21"/>
  <c r="AH64" i="21"/>
  <c r="AB64" i="21"/>
  <c r="Y64" i="21"/>
  <c r="AJ72" i="21"/>
  <c r="AH96" i="21"/>
  <c r="AB96" i="21"/>
  <c r="Y96" i="21"/>
  <c r="AJ104" i="21"/>
  <c r="AB11" i="21"/>
  <c r="AH11" i="21"/>
  <c r="Y11" i="21"/>
  <c r="AH15" i="21"/>
  <c r="AB15" i="21"/>
  <c r="Y15" i="21"/>
  <c r="N31" i="21"/>
  <c r="R71" i="21"/>
  <c r="AN71" i="21" s="1"/>
  <c r="AH87" i="21"/>
  <c r="AB87" i="21"/>
  <c r="Y87" i="21"/>
  <c r="N103" i="21"/>
  <c r="N38" i="21"/>
  <c r="AH62" i="21"/>
  <c r="AB62" i="21"/>
  <c r="Y62" i="21"/>
  <c r="R94" i="21"/>
  <c r="AN94" i="21" s="1"/>
  <c r="AJ94" i="21"/>
  <c r="D232" i="2"/>
  <c r="O35" i="8"/>
  <c r="C74" i="1" s="1"/>
  <c r="N35" i="8"/>
  <c r="D195" i="2"/>
  <c r="D198" i="2"/>
  <c r="F7" i="25" s="1"/>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23" i="17" s="1"/>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364" i="2"/>
  <c r="B163"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B371" i="2"/>
  <c r="A362" i="2"/>
  <c r="C51" i="16"/>
  <c r="D51" i="16" s="1"/>
  <c r="B157" i="2"/>
  <c r="A371" i="2"/>
  <c r="B246" i="2"/>
  <c r="B245" i="2"/>
  <c r="B247" i="2"/>
  <c r="B15" i="6"/>
  <c r="B3" i="6"/>
  <c r="B16" i="6"/>
  <c r="E66" i="1"/>
  <c r="AK58" i="23" l="1"/>
  <c r="AK97" i="23"/>
  <c r="AK24" i="23"/>
  <c r="J22" i="1"/>
  <c r="F230" i="2"/>
  <c r="B227" i="2"/>
  <c r="B226" i="2"/>
  <c r="B194" i="2"/>
  <c r="B197" i="2"/>
  <c r="F6" i="17" s="1"/>
  <c r="S70" i="23"/>
  <c r="U70" i="23" s="1"/>
  <c r="AN70" i="23"/>
  <c r="BE70" i="23" s="1"/>
  <c r="S88" i="23"/>
  <c r="U88" i="23" s="1"/>
  <c r="AN88" i="23"/>
  <c r="BE88" i="23" s="1"/>
  <c r="S29" i="23"/>
  <c r="U29" i="23" s="1"/>
  <c r="AN29" i="23"/>
  <c r="BE29" i="23" s="1"/>
  <c r="S24" i="23"/>
  <c r="AN24" i="23"/>
  <c r="BE24" i="23" s="1"/>
  <c r="S83" i="23"/>
  <c r="U83" i="23" s="1"/>
  <c r="AN83" i="23"/>
  <c r="BE83" i="23" s="1"/>
  <c r="S82" i="23"/>
  <c r="U82" i="23" s="1"/>
  <c r="AN82" i="23"/>
  <c r="BE82" i="23" s="1"/>
  <c r="S47" i="23"/>
  <c r="U47" i="23" s="1"/>
  <c r="AN47" i="23"/>
  <c r="BE47" i="23" s="1"/>
  <c r="S101" i="23"/>
  <c r="U101" i="23" s="1"/>
  <c r="AN101" i="23"/>
  <c r="BE101" i="23" s="1"/>
  <c r="S89" i="23"/>
  <c r="U89" i="23" s="1"/>
  <c r="AN89" i="23"/>
  <c r="BE89" i="23" s="1"/>
  <c r="S18" i="23"/>
  <c r="U18" i="23" s="1"/>
  <c r="AN18" i="23"/>
  <c r="BE18" i="23" s="1"/>
  <c r="S100" i="23"/>
  <c r="U100" i="23" s="1"/>
  <c r="AN100" i="23"/>
  <c r="BE100" i="23" s="1"/>
  <c r="S20" i="23"/>
  <c r="U20" i="23" s="1"/>
  <c r="AN20" i="23"/>
  <c r="BE20" i="23" s="1"/>
  <c r="S72" i="23"/>
  <c r="U72" i="23" s="1"/>
  <c r="AN72" i="23"/>
  <c r="BE72" i="23" s="1"/>
  <c r="S105" i="23"/>
  <c r="U105" i="23" s="1"/>
  <c r="AN105" i="23"/>
  <c r="BE105" i="23" s="1"/>
  <c r="S61" i="23"/>
  <c r="AN61" i="23"/>
  <c r="BE61" i="23" s="1"/>
  <c r="S9" i="23"/>
  <c r="AN9" i="23"/>
  <c r="BE9" i="23" s="1"/>
  <c r="S77" i="23"/>
  <c r="U77" i="23" s="1"/>
  <c r="AN77" i="23"/>
  <c r="BE77" i="23" s="1"/>
  <c r="S80" i="23"/>
  <c r="U80" i="23" s="1"/>
  <c r="AN80" i="23"/>
  <c r="BE80" i="23" s="1"/>
  <c r="S71" i="23"/>
  <c r="U71" i="23" s="1"/>
  <c r="AN71" i="23"/>
  <c r="BE71" i="23" s="1"/>
  <c r="S91" i="23"/>
  <c r="U91" i="23" s="1"/>
  <c r="AN91" i="23"/>
  <c r="BE91" i="23" s="1"/>
  <c r="S87" i="23"/>
  <c r="U87" i="23" s="1"/>
  <c r="AN87" i="23"/>
  <c r="BE87" i="23" s="1"/>
  <c r="S79" i="23"/>
  <c r="U79" i="23" s="1"/>
  <c r="AN79" i="23"/>
  <c r="BE79" i="23" s="1"/>
  <c r="S59" i="23"/>
  <c r="U59" i="23" s="1"/>
  <c r="AN59" i="23"/>
  <c r="BE59" i="23" s="1"/>
  <c r="S26" i="23"/>
  <c r="U26" i="23" s="1"/>
  <c r="AN26" i="23"/>
  <c r="BE26" i="23" s="1"/>
  <c r="S102" i="23"/>
  <c r="U102" i="23" s="1"/>
  <c r="AN102" i="23"/>
  <c r="BE102" i="23" s="1"/>
  <c r="S64" i="23"/>
  <c r="U64" i="23" s="1"/>
  <c r="AN64" i="23"/>
  <c r="BE64" i="23" s="1"/>
  <c r="S62" i="23"/>
  <c r="AN62" i="23"/>
  <c r="BE62" i="23" s="1"/>
  <c r="S60" i="23"/>
  <c r="U60" i="23" s="1"/>
  <c r="AN60" i="23"/>
  <c r="BE60" i="23" s="1"/>
  <c r="S57" i="23"/>
  <c r="U57" i="23" s="1"/>
  <c r="AN57" i="23"/>
  <c r="BE57" i="23" s="1"/>
  <c r="S28" i="23"/>
  <c r="U28" i="23" s="1"/>
  <c r="AN28" i="23"/>
  <c r="BE28" i="23" s="1"/>
  <c r="S107" i="23"/>
  <c r="U107" i="23" s="1"/>
  <c r="AN107" i="23"/>
  <c r="BE107" i="23" s="1"/>
  <c r="S93" i="23"/>
  <c r="U93" i="23" s="1"/>
  <c r="AN93" i="23"/>
  <c r="BE93" i="23" s="1"/>
  <c r="S17" i="23"/>
  <c r="U17" i="23" s="1"/>
  <c r="AN17" i="23"/>
  <c r="BE17" i="23" s="1"/>
  <c r="S36" i="23"/>
  <c r="U36" i="23" s="1"/>
  <c r="AN36" i="23"/>
  <c r="BE36" i="23" s="1"/>
  <c r="S75" i="23"/>
  <c r="U75" i="23" s="1"/>
  <c r="AN75" i="23"/>
  <c r="BE75" i="23" s="1"/>
  <c r="S84" i="23"/>
  <c r="U84" i="23" s="1"/>
  <c r="AN84" i="23"/>
  <c r="BE84" i="23" s="1"/>
  <c r="S97" i="23"/>
  <c r="U97" i="23" s="1"/>
  <c r="AN97" i="23"/>
  <c r="BE97" i="23" s="1"/>
  <c r="S34" i="23"/>
  <c r="U34" i="23" s="1"/>
  <c r="AN34" i="23"/>
  <c r="BE34" i="23" s="1"/>
  <c r="S10" i="23"/>
  <c r="U10" i="23" s="1"/>
  <c r="AN10" i="23"/>
  <c r="BE10" i="23" s="1"/>
  <c r="S43" i="23"/>
  <c r="U43" i="23" s="1"/>
  <c r="AN43" i="23"/>
  <c r="BE43" i="23" s="1"/>
  <c r="AN51" i="21"/>
  <c r="BE51" i="21" s="1"/>
  <c r="AN83" i="21"/>
  <c r="BE83" i="21" s="1"/>
  <c r="E355" i="2"/>
  <c r="C49" i="16" s="1"/>
  <c r="D355" i="2"/>
  <c r="E52" i="1"/>
  <c r="C54" i="16" s="1"/>
  <c r="D54" i="16" s="1"/>
  <c r="B134" i="2"/>
  <c r="B138" i="2" s="1"/>
  <c r="E48" i="1" s="1"/>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D209" i="2"/>
  <c r="D208" i="2"/>
  <c r="D199" i="2"/>
  <c r="BE86" i="21"/>
  <c r="S86" i="21"/>
  <c r="BE101" i="21"/>
  <c r="S101" i="21"/>
  <c r="BE50" i="21"/>
  <c r="S50" i="21"/>
  <c r="BE57" i="21"/>
  <c r="S57" i="21"/>
  <c r="BE52" i="21"/>
  <c r="S52" i="21"/>
  <c r="BE66" i="21"/>
  <c r="S66" i="21"/>
  <c r="BE59" i="21"/>
  <c r="S59" i="21"/>
  <c r="BE54" i="21"/>
  <c r="S54" i="21"/>
  <c r="BE58" i="21"/>
  <c r="S58" i="21"/>
  <c r="BE42" i="21"/>
  <c r="S42" i="21"/>
  <c r="BE23" i="21"/>
  <c r="S23" i="21"/>
  <c r="BE44" i="21"/>
  <c r="S44" i="21"/>
  <c r="BE99" i="21"/>
  <c r="S99" i="21"/>
  <c r="BE96" i="21"/>
  <c r="S96" i="21"/>
  <c r="BE94" i="21"/>
  <c r="S94" i="21"/>
  <c r="BE62" i="21"/>
  <c r="S62" i="21"/>
  <c r="BE72" i="21"/>
  <c r="S72" i="21"/>
  <c r="BE87" i="21"/>
  <c r="S87" i="21"/>
  <c r="BE93" i="21"/>
  <c r="S93" i="21"/>
  <c r="BE48" i="21"/>
  <c r="S48" i="21"/>
  <c r="BE97" i="21"/>
  <c r="S97" i="21"/>
  <c r="BE30" i="21"/>
  <c r="S30" i="21"/>
  <c r="BE61" i="21"/>
  <c r="S61" i="21"/>
  <c r="BE71" i="21"/>
  <c r="S71" i="21"/>
  <c r="BE81" i="21"/>
  <c r="S81" i="21"/>
  <c r="BE79" i="21"/>
  <c r="S79" i="21"/>
  <c r="BE11" i="21"/>
  <c r="S11" i="21"/>
  <c r="BE40" i="21"/>
  <c r="S40" i="21"/>
  <c r="BE100" i="21"/>
  <c r="S100" i="21"/>
  <c r="BE69" i="21"/>
  <c r="S69" i="21"/>
  <c r="BE56" i="21"/>
  <c r="S56" i="21"/>
  <c r="BE24" i="21"/>
  <c r="S24" i="21"/>
  <c r="BE106" i="21"/>
  <c r="S106" i="21"/>
  <c r="BE107" i="21"/>
  <c r="S107" i="21"/>
  <c r="BE53" i="21"/>
  <c r="S53" i="21"/>
  <c r="BE19" i="21"/>
  <c r="S19" i="21"/>
  <c r="BE55" i="21"/>
  <c r="S55" i="21"/>
  <c r="BE27" i="21"/>
  <c r="S27" i="21"/>
  <c r="BE95" i="21"/>
  <c r="S95" i="21"/>
  <c r="BE92" i="21"/>
  <c r="S92" i="21"/>
  <c r="BE21" i="21"/>
  <c r="S21" i="21"/>
  <c r="BE91" i="21"/>
  <c r="S91" i="21"/>
  <c r="BE29" i="21"/>
  <c r="S29" i="21"/>
  <c r="BE12" i="21"/>
  <c r="S12" i="21"/>
  <c r="BE25" i="21"/>
  <c r="S25" i="21"/>
  <c r="BE84" i="21"/>
  <c r="S84" i="21"/>
  <c r="BE20" i="21"/>
  <c r="S20" i="21"/>
  <c r="BE90" i="21"/>
  <c r="S90" i="21"/>
  <c r="BE15" i="21"/>
  <c r="S15" i="21"/>
  <c r="BE33" i="21"/>
  <c r="S33" i="21"/>
  <c r="BE88" i="21"/>
  <c r="S88" i="21"/>
  <c r="BE70" i="21"/>
  <c r="S70" i="21"/>
  <c r="BE45" i="21"/>
  <c r="S45" i="21"/>
  <c r="BE13" i="21"/>
  <c r="S13" i="21"/>
  <c r="BE78" i="21"/>
  <c r="S78" i="21"/>
  <c r="BE34" i="21"/>
  <c r="S34" i="21"/>
  <c r="BE63" i="21"/>
  <c r="S63" i="21"/>
  <c r="BE85" i="21"/>
  <c r="S85" i="21"/>
  <c r="BE89" i="21"/>
  <c r="S89" i="21"/>
  <c r="BE104" i="21"/>
  <c r="S104" i="21"/>
  <c r="BE41" i="21"/>
  <c r="S41" i="21"/>
  <c r="BE68" i="21"/>
  <c r="S68" i="21"/>
  <c r="BE36" i="21"/>
  <c r="S36" i="21"/>
  <c r="BE10" i="21"/>
  <c r="S10" i="21"/>
  <c r="BE98" i="21"/>
  <c r="S98" i="21"/>
  <c r="BE28" i="21"/>
  <c r="S28" i="21"/>
  <c r="BE74" i="21"/>
  <c r="S74" i="21"/>
  <c r="BE65" i="21"/>
  <c r="S65" i="21"/>
  <c r="BE73" i="21"/>
  <c r="S73" i="21"/>
  <c r="BE60" i="21"/>
  <c r="S60" i="21"/>
  <c r="BE32" i="21"/>
  <c r="S32" i="21"/>
  <c r="BE35" i="21"/>
  <c r="S35" i="21"/>
  <c r="BE67" i="21"/>
  <c r="S67" i="21"/>
  <c r="BE64" i="21"/>
  <c r="S64" i="21"/>
  <c r="AK9" i="23"/>
  <c r="BD9" i="23" s="1"/>
  <c r="AX9" i="23" s="1"/>
  <c r="BD72" i="23"/>
  <c r="AX72" i="23" s="1"/>
  <c r="AK105" i="23"/>
  <c r="BD105" i="23" s="1"/>
  <c r="AX105" i="23" s="1"/>
  <c r="D220" i="2"/>
  <c r="AI61" i="23"/>
  <c r="AI93" i="23"/>
  <c r="AI17" i="23"/>
  <c r="W79" i="23"/>
  <c r="X79" i="23" s="1"/>
  <c r="W20" i="23"/>
  <c r="X20" i="23" s="1"/>
  <c r="W71" i="23"/>
  <c r="X71" i="23" s="1"/>
  <c r="AC18" i="23"/>
  <c r="AI91" i="23"/>
  <c r="AI20" i="23"/>
  <c r="AC79" i="23"/>
  <c r="W97" i="23"/>
  <c r="X97" i="23" s="1"/>
  <c r="W62" i="23"/>
  <c r="X62" i="23" s="1"/>
  <c r="W70" i="23"/>
  <c r="X70" i="23" s="1"/>
  <c r="W28" i="23"/>
  <c r="X28" i="23" s="1"/>
  <c r="AI87" i="23"/>
  <c r="W84" i="23"/>
  <c r="X84" i="23" s="1"/>
  <c r="W57" i="23"/>
  <c r="X57" i="23" s="1"/>
  <c r="W60" i="23"/>
  <c r="X60" i="23" s="1"/>
  <c r="AC28" i="23"/>
  <c r="W26" i="23"/>
  <c r="X26" i="23" s="1"/>
  <c r="W47" i="23"/>
  <c r="X47" i="23" s="1"/>
  <c r="W61" i="23"/>
  <c r="X61" i="23" s="1"/>
  <c r="W77" i="23"/>
  <c r="X77" i="23" s="1"/>
  <c r="BD97" i="23"/>
  <c r="AX97" i="23" s="1"/>
  <c r="B73" i="23"/>
  <c r="B45" i="23"/>
  <c r="B72" i="23"/>
  <c r="BD71" i="23"/>
  <c r="AX71" i="23" s="1"/>
  <c r="BD101" i="23"/>
  <c r="AX101" i="23" s="1"/>
  <c r="BD62" i="23"/>
  <c r="AX62" i="23" s="1"/>
  <c r="BD28" i="23"/>
  <c r="AX28" i="23" s="1"/>
  <c r="AH27" i="23"/>
  <c r="AI27" i="23" s="1"/>
  <c r="AK27" i="23" s="1"/>
  <c r="Y50" i="23"/>
  <c r="Z50" i="23" s="1"/>
  <c r="AA50" i="23" s="1"/>
  <c r="Y96" i="23"/>
  <c r="Z96" i="23" s="1"/>
  <c r="AA96" i="23" s="1"/>
  <c r="Y44" i="23"/>
  <c r="Z44" i="23" s="1"/>
  <c r="AA44" i="23" s="1"/>
  <c r="Y48" i="23"/>
  <c r="Z48" i="23" s="1"/>
  <c r="AA48" i="23" s="1"/>
  <c r="Y39" i="23"/>
  <c r="Z39" i="23" s="1"/>
  <c r="AA39" i="23" s="1"/>
  <c r="AB16" i="23"/>
  <c r="AC16" i="23" s="1"/>
  <c r="AH56" i="23"/>
  <c r="AI56" i="23" s="1"/>
  <c r="AH67" i="23"/>
  <c r="AI67" i="23" s="1"/>
  <c r="AK67" i="23" s="1"/>
  <c r="Y95" i="23"/>
  <c r="Z95" i="23" s="1"/>
  <c r="AA95" i="23" s="1"/>
  <c r="BD84" i="23"/>
  <c r="AX84" i="23" s="1"/>
  <c r="BD82" i="23"/>
  <c r="AX82" i="23" s="1"/>
  <c r="BD26" i="23"/>
  <c r="AX26" i="23" s="1"/>
  <c r="Y45" i="23"/>
  <c r="Z45" i="23" s="1"/>
  <c r="AA45" i="23" s="1"/>
  <c r="AH32" i="23"/>
  <c r="AI32" i="23" s="1"/>
  <c r="AK32" i="23" s="1"/>
  <c r="AB95" i="23"/>
  <c r="AC95" i="23" s="1"/>
  <c r="AH31" i="23"/>
  <c r="AI31" i="23" s="1"/>
  <c r="AH85" i="23"/>
  <c r="AI85" i="23" s="1"/>
  <c r="AK85" i="23" s="1"/>
  <c r="Y12" i="23"/>
  <c r="Z12" i="23" s="1"/>
  <c r="AA12" i="23" s="1"/>
  <c r="Y37" i="23"/>
  <c r="Z37" i="23" s="1"/>
  <c r="AA37" i="23" s="1"/>
  <c r="Y25" i="23"/>
  <c r="Z25" i="23" s="1"/>
  <c r="AA25" i="23" s="1"/>
  <c r="Y52" i="23"/>
  <c r="Z52" i="23" s="1"/>
  <c r="AA52" i="23" s="1"/>
  <c r="AH30" i="23"/>
  <c r="AI30" i="23" s="1"/>
  <c r="BD18" i="23"/>
  <c r="AX18" i="23" s="1"/>
  <c r="BD64" i="23"/>
  <c r="AX64" i="23" s="1"/>
  <c r="BD107" i="23"/>
  <c r="AX107" i="23" s="1"/>
  <c r="BD24" i="23"/>
  <c r="AX24" i="23" s="1"/>
  <c r="AB25" i="23"/>
  <c r="AC25" i="23" s="1"/>
  <c r="Y94" i="23"/>
  <c r="Z94" i="23" s="1"/>
  <c r="AA94" i="23" s="1"/>
  <c r="AH108" i="23"/>
  <c r="AI108" i="23" s="1"/>
  <c r="AH98" i="23"/>
  <c r="AI98" i="23" s="1"/>
  <c r="AK98" i="23" s="1"/>
  <c r="AB38" i="23"/>
  <c r="AC38" i="23" s="1"/>
  <c r="AH33" i="23"/>
  <c r="AI33" i="23" s="1"/>
  <c r="Y41" i="23"/>
  <c r="Z41" i="23" s="1"/>
  <c r="AA41" i="23" s="1"/>
  <c r="AB21" i="23"/>
  <c r="AC21" i="23" s="1"/>
  <c r="Y67" i="23"/>
  <c r="Z67" i="23" s="1"/>
  <c r="AA67" i="23" s="1"/>
  <c r="AB103" i="23"/>
  <c r="AC103" i="23" s="1"/>
  <c r="AB22" i="23"/>
  <c r="AC22" i="23" s="1"/>
  <c r="Y11" i="23"/>
  <c r="Z11" i="23" s="1"/>
  <c r="AA11" i="23" s="1"/>
  <c r="Y58" i="23"/>
  <c r="Z58" i="23" s="1"/>
  <c r="AA58" i="23" s="1"/>
  <c r="BD47" i="23"/>
  <c r="AX47" i="23" s="1"/>
  <c r="AB27" i="23"/>
  <c r="AC27" i="23" s="1"/>
  <c r="AH12" i="23"/>
  <c r="AI12" i="23" s="1"/>
  <c r="AK12" i="23" s="1"/>
  <c r="BD70" i="23"/>
  <c r="AX70" i="23" s="1"/>
  <c r="Y31" i="23"/>
  <c r="Z31" i="23" s="1"/>
  <c r="AA31" i="23" s="1"/>
  <c r="AB44" i="23"/>
  <c r="AC44" i="23" s="1"/>
  <c r="Y21" i="23"/>
  <c r="Z21" i="23" s="1"/>
  <c r="AA21" i="23" s="1"/>
  <c r="AB63" i="23"/>
  <c r="AC63" i="23" s="1"/>
  <c r="Y13" i="23"/>
  <c r="Z13" i="23" s="1"/>
  <c r="AA13" i="23" s="1"/>
  <c r="AH65" i="23"/>
  <c r="AI65" i="23" s="1"/>
  <c r="AH106" i="23"/>
  <c r="AI106" i="23" s="1"/>
  <c r="AK106" i="23" s="1"/>
  <c r="Y22" i="23"/>
  <c r="Z22" i="23" s="1"/>
  <c r="AA22" i="23" s="1"/>
  <c r="BD10" i="23"/>
  <c r="AX10" i="23" s="1"/>
  <c r="AH76" i="21"/>
  <c r="AF76" i="21"/>
  <c r="AB18" i="21"/>
  <c r="AF18" i="21"/>
  <c r="AB75" i="21"/>
  <c r="AF75" i="21"/>
  <c r="V53" i="23"/>
  <c r="R53" i="23"/>
  <c r="V35" i="23"/>
  <c r="R35" i="23"/>
  <c r="Y35" i="23"/>
  <c r="Z35" i="23" s="1"/>
  <c r="AA35" i="23" s="1"/>
  <c r="V81" i="23"/>
  <c r="R81" i="23"/>
  <c r="V49" i="23"/>
  <c r="R49" i="23"/>
  <c r="V19" i="23"/>
  <c r="R19" i="23"/>
  <c r="V69" i="23"/>
  <c r="R69" i="23"/>
  <c r="AH81" i="23"/>
  <c r="AI81" i="23" s="1"/>
  <c r="AK81" i="23" s="1"/>
  <c r="Y69" i="23"/>
  <c r="Z69" i="23" s="1"/>
  <c r="AA69" i="23" s="1"/>
  <c r="Y39" i="21"/>
  <c r="AF39" i="21"/>
  <c r="Y105" i="21"/>
  <c r="AF105" i="21"/>
  <c r="V15" i="23"/>
  <c r="R15" i="23"/>
  <c r="AB109" i="23"/>
  <c r="AC109" i="23" s="1"/>
  <c r="BD83" i="23"/>
  <c r="AX83" i="23" s="1"/>
  <c r="V14" i="23"/>
  <c r="R14" i="23"/>
  <c r="AB51" i="23"/>
  <c r="AC51" i="23" s="1"/>
  <c r="AH35" i="23"/>
  <c r="AI35" i="23" s="1"/>
  <c r="AK35" i="23" s="1"/>
  <c r="Y14" i="23"/>
  <c r="Z14" i="23" s="1"/>
  <c r="AA14" i="23" s="1"/>
  <c r="V23" i="23"/>
  <c r="BD23" i="23"/>
  <c r="AX23" i="23" s="1"/>
  <c r="R23" i="23"/>
  <c r="V55" i="23"/>
  <c r="R55" i="23"/>
  <c r="BD55" i="23"/>
  <c r="AX55" i="23" s="1"/>
  <c r="Y90" i="23"/>
  <c r="Z90" i="23" s="1"/>
  <c r="AA90" i="23" s="1"/>
  <c r="AB69" i="23"/>
  <c r="AC69" i="23" s="1"/>
  <c r="AB37" i="21"/>
  <c r="AF37" i="21"/>
  <c r="AB43" i="21"/>
  <c r="AF43" i="21"/>
  <c r="V38" i="23"/>
  <c r="BD38" i="23"/>
  <c r="AX38" i="23" s="1"/>
  <c r="R38" i="23"/>
  <c r="V40" i="23"/>
  <c r="R40" i="23"/>
  <c r="V108" i="23"/>
  <c r="R108" i="23"/>
  <c r="V30" i="23"/>
  <c r="R30" i="23"/>
  <c r="V37" i="23"/>
  <c r="R37" i="23"/>
  <c r="BD29" i="23"/>
  <c r="AX29" i="23" s="1"/>
  <c r="V46" i="23"/>
  <c r="R46" i="23"/>
  <c r="V104" i="23"/>
  <c r="BD104" i="23"/>
  <c r="AX104" i="23" s="1"/>
  <c r="R104" i="23"/>
  <c r="V99" i="23"/>
  <c r="BD99" i="23"/>
  <c r="AX99" i="23" s="1"/>
  <c r="R99" i="23"/>
  <c r="Y53" i="23"/>
  <c r="Z53" i="23" s="1"/>
  <c r="AA53" i="23" s="1"/>
  <c r="V32" i="23"/>
  <c r="R32" i="23"/>
  <c r="BD88" i="23"/>
  <c r="AX88" i="23" s="1"/>
  <c r="V58" i="23"/>
  <c r="R58" i="23"/>
  <c r="BD58" i="23"/>
  <c r="AX58" i="23" s="1"/>
  <c r="V56" i="23"/>
  <c r="R56" i="23"/>
  <c r="BD79" i="23"/>
  <c r="AX79" i="23" s="1"/>
  <c r="V73" i="23"/>
  <c r="R73" i="23"/>
  <c r="AH14" i="23"/>
  <c r="AI14" i="23" s="1"/>
  <c r="AK14" i="23" s="1"/>
  <c r="Y19" i="23"/>
  <c r="Z19" i="23" s="1"/>
  <c r="AA19" i="23" s="1"/>
  <c r="AB55" i="23"/>
  <c r="AC55" i="23" s="1"/>
  <c r="V78" i="23"/>
  <c r="R78" i="23"/>
  <c r="Y46" i="23"/>
  <c r="Z46" i="23" s="1"/>
  <c r="AA46" i="23" s="1"/>
  <c r="AB104" i="23"/>
  <c r="AC104" i="23" s="1"/>
  <c r="V54" i="23"/>
  <c r="R54" i="23"/>
  <c r="BD100" i="23"/>
  <c r="AX100" i="23" s="1"/>
  <c r="V41" i="23"/>
  <c r="BD41" i="23"/>
  <c r="AX41" i="23" s="1"/>
  <c r="R41" i="23"/>
  <c r="Y81" i="23"/>
  <c r="Z81" i="23" s="1"/>
  <c r="AA81" i="23" s="1"/>
  <c r="AH40" i="23"/>
  <c r="AI40" i="23" s="1"/>
  <c r="AK40" i="23" s="1"/>
  <c r="AH73" i="23"/>
  <c r="AI73" i="23" s="1"/>
  <c r="AK73" i="23" s="1"/>
  <c r="AH49" i="23"/>
  <c r="AI49" i="23" s="1"/>
  <c r="AK49" i="23" s="1"/>
  <c r="BD102" i="23"/>
  <c r="AX102" i="23" s="1"/>
  <c r="Y23" i="23"/>
  <c r="Z23" i="23" s="1"/>
  <c r="AA23" i="23" s="1"/>
  <c r="Y78" i="23"/>
  <c r="Z78" i="23" s="1"/>
  <c r="AA78" i="23" s="1"/>
  <c r="Y54" i="23"/>
  <c r="Z54" i="23" s="1"/>
  <c r="AA54" i="23" s="1"/>
  <c r="V11" i="23"/>
  <c r="BD11" i="23"/>
  <c r="AX11" i="23" s="1"/>
  <c r="R11" i="23"/>
  <c r="V52" i="23"/>
  <c r="BD52" i="23"/>
  <c r="AX52" i="23" s="1"/>
  <c r="R52" i="23"/>
  <c r="BD75" i="23"/>
  <c r="AX75" i="23" s="1"/>
  <c r="Y14" i="21"/>
  <c r="AF14" i="21"/>
  <c r="AH49" i="21"/>
  <c r="AF49" i="21"/>
  <c r="AH47" i="21"/>
  <c r="AF47" i="21"/>
  <c r="V42" i="23"/>
  <c r="R42" i="23"/>
  <c r="V76" i="23"/>
  <c r="R76" i="23"/>
  <c r="V109" i="23"/>
  <c r="R109" i="23"/>
  <c r="V51" i="23"/>
  <c r="R51" i="23"/>
  <c r="V92" i="23"/>
  <c r="R92" i="23"/>
  <c r="BD77" i="23"/>
  <c r="AX77" i="23" s="1"/>
  <c r="Y42" i="23"/>
  <c r="Z42" i="23" s="1"/>
  <c r="AA42" i="23" s="1"/>
  <c r="AB49" i="23"/>
  <c r="AC49" i="23" s="1"/>
  <c r="AH76" i="23"/>
  <c r="AI76" i="23" s="1"/>
  <c r="AK76" i="23" s="1"/>
  <c r="V90" i="23"/>
  <c r="BD90" i="23"/>
  <c r="AX90" i="23" s="1"/>
  <c r="R90" i="23"/>
  <c r="AH31" i="21"/>
  <c r="AF31" i="21"/>
  <c r="V33" i="23"/>
  <c r="R33" i="23"/>
  <c r="V74" i="23"/>
  <c r="R74" i="23"/>
  <c r="AB92" i="23"/>
  <c r="AC92" i="23" s="1"/>
  <c r="BD43" i="23"/>
  <c r="AX43" i="23" s="1"/>
  <c r="V96" i="23"/>
  <c r="R96" i="23"/>
  <c r="AH15" i="23"/>
  <c r="AI15" i="23" s="1"/>
  <c r="AK15" i="23" s="1"/>
  <c r="AB53" i="23"/>
  <c r="AC53" i="23" s="1"/>
  <c r="V65" i="23"/>
  <c r="R65" i="23"/>
  <c r="V98" i="23"/>
  <c r="R98" i="23"/>
  <c r="AH42" i="23"/>
  <c r="AI42" i="23" s="1"/>
  <c r="AK42" i="23" s="1"/>
  <c r="AB19" i="23"/>
  <c r="AC19" i="23" s="1"/>
  <c r="AH74" i="23"/>
  <c r="AI74" i="23" s="1"/>
  <c r="AK74" i="23" s="1"/>
  <c r="V68" i="23"/>
  <c r="R68" i="23"/>
  <c r="BD68" i="23"/>
  <c r="AX68" i="23" s="1"/>
  <c r="Y49" i="23"/>
  <c r="Z49" i="23" s="1"/>
  <c r="AA49" i="23" s="1"/>
  <c r="Y76" i="23"/>
  <c r="Z76" i="23" s="1"/>
  <c r="AA76" i="23" s="1"/>
  <c r="V103" i="23"/>
  <c r="R103" i="23"/>
  <c r="AB23" i="23"/>
  <c r="AC23" i="23" s="1"/>
  <c r="AH38" i="21"/>
  <c r="AF38" i="21"/>
  <c r="AH22" i="21"/>
  <c r="AF22" i="21"/>
  <c r="AH108" i="21"/>
  <c r="AF108" i="21"/>
  <c r="AH77" i="21"/>
  <c r="AF77" i="21"/>
  <c r="AB26" i="21"/>
  <c r="AF26" i="21"/>
  <c r="V45" i="23"/>
  <c r="BD45" i="23"/>
  <c r="AX45" i="23" s="1"/>
  <c r="R45" i="23"/>
  <c r="AH109" i="23"/>
  <c r="AI109" i="23" s="1"/>
  <c r="AK109" i="23" s="1"/>
  <c r="Y30" i="23"/>
  <c r="Z30" i="23" s="1"/>
  <c r="AA30" i="23" s="1"/>
  <c r="AH37" i="23"/>
  <c r="AI37" i="23" s="1"/>
  <c r="AK37" i="23" s="1"/>
  <c r="V31" i="23"/>
  <c r="R31" i="23"/>
  <c r="AH51" i="23"/>
  <c r="AI51" i="23" s="1"/>
  <c r="AK51" i="23" s="1"/>
  <c r="V85" i="23"/>
  <c r="R85" i="23"/>
  <c r="AH92" i="23"/>
  <c r="AI92" i="23" s="1"/>
  <c r="AK92" i="23" s="1"/>
  <c r="V44" i="23"/>
  <c r="BD44" i="23"/>
  <c r="AX44" i="23" s="1"/>
  <c r="R44" i="23"/>
  <c r="V50" i="23"/>
  <c r="BD50" i="23"/>
  <c r="AX50" i="23" s="1"/>
  <c r="R50" i="23"/>
  <c r="V95" i="23"/>
  <c r="BD95" i="23"/>
  <c r="AX95" i="23" s="1"/>
  <c r="R95" i="23"/>
  <c r="V27" i="23"/>
  <c r="R27" i="23"/>
  <c r="AB15" i="23"/>
  <c r="AC15" i="23" s="1"/>
  <c r="V25" i="23"/>
  <c r="BD25" i="23"/>
  <c r="AX25" i="23" s="1"/>
  <c r="R25" i="23"/>
  <c r="AB45" i="23"/>
  <c r="AC45" i="23" s="1"/>
  <c r="V67" i="23"/>
  <c r="R67" i="23"/>
  <c r="AH53" i="23"/>
  <c r="AI53" i="23" s="1"/>
  <c r="AK53" i="23" s="1"/>
  <c r="V94" i="23"/>
  <c r="BD94" i="23"/>
  <c r="AX94" i="23" s="1"/>
  <c r="R94" i="23"/>
  <c r="AB108" i="23"/>
  <c r="AC108" i="23" s="1"/>
  <c r="BD34" i="23"/>
  <c r="AX34" i="23" s="1"/>
  <c r="BD60" i="23"/>
  <c r="AX60" i="23" s="1"/>
  <c r="V66" i="23"/>
  <c r="R66" i="23"/>
  <c r="BD66" i="23"/>
  <c r="AX66" i="23" s="1"/>
  <c r="AB35" i="23"/>
  <c r="AC35" i="23" s="1"/>
  <c r="V16" i="23"/>
  <c r="R16" i="23"/>
  <c r="BD16" i="23"/>
  <c r="AX16" i="23" s="1"/>
  <c r="V48" i="23"/>
  <c r="R48" i="23"/>
  <c r="BD48" i="23"/>
  <c r="AX48" i="23" s="1"/>
  <c r="V86" i="23"/>
  <c r="R86" i="23"/>
  <c r="AH96" i="23"/>
  <c r="AI96" i="23" s="1"/>
  <c r="AK96" i="23" s="1"/>
  <c r="Y98" i="23"/>
  <c r="Z98" i="23" s="1"/>
  <c r="AA98" i="23" s="1"/>
  <c r="Y38" i="23"/>
  <c r="Z38" i="23" s="1"/>
  <c r="AA38" i="23" s="1"/>
  <c r="AB42" i="23"/>
  <c r="AC42" i="23" s="1"/>
  <c r="V21" i="23"/>
  <c r="BD21" i="23"/>
  <c r="AX21" i="23" s="1"/>
  <c r="R21" i="23"/>
  <c r="BD59" i="23"/>
  <c r="AX59" i="23" s="1"/>
  <c r="V63" i="23"/>
  <c r="BD63" i="23"/>
  <c r="AX63" i="23" s="1"/>
  <c r="R63" i="23"/>
  <c r="BD80" i="23"/>
  <c r="AX80" i="23" s="1"/>
  <c r="AB32" i="23"/>
  <c r="AC32" i="23" s="1"/>
  <c r="V13" i="23"/>
  <c r="R13" i="23"/>
  <c r="BD13" i="23"/>
  <c r="AX13" i="23" s="1"/>
  <c r="V12" i="23"/>
  <c r="R12" i="23"/>
  <c r="AH19" i="23"/>
  <c r="AI19" i="23" s="1"/>
  <c r="AK19" i="23" s="1"/>
  <c r="Y33" i="23"/>
  <c r="Z33" i="23" s="1"/>
  <c r="AA33" i="23" s="1"/>
  <c r="BD57" i="23"/>
  <c r="AX57" i="23" s="1"/>
  <c r="Y55" i="23"/>
  <c r="Z55" i="23" s="1"/>
  <c r="AA55" i="23" s="1"/>
  <c r="Y74" i="23"/>
  <c r="Z74" i="23" s="1"/>
  <c r="AA74" i="23" s="1"/>
  <c r="AB85" i="23"/>
  <c r="AC85" i="23" s="1"/>
  <c r="V106" i="23"/>
  <c r="R106" i="23"/>
  <c r="AH46" i="23"/>
  <c r="AI46" i="23" s="1"/>
  <c r="AK46" i="23" s="1"/>
  <c r="V22" i="23"/>
  <c r="BD22" i="23"/>
  <c r="AX22" i="23" s="1"/>
  <c r="R22" i="23"/>
  <c r="Y104" i="23"/>
  <c r="Z104" i="23" s="1"/>
  <c r="AA104" i="23" s="1"/>
  <c r="AB41" i="23"/>
  <c r="AC41" i="23" s="1"/>
  <c r="Y68" i="23"/>
  <c r="Z68" i="23" s="1"/>
  <c r="AA68" i="23" s="1"/>
  <c r="AB48" i="23"/>
  <c r="AC48" i="23" s="1"/>
  <c r="AB56" i="23"/>
  <c r="AC56" i="23" s="1"/>
  <c r="AH86" i="23"/>
  <c r="AI86" i="23" s="1"/>
  <c r="AK86" i="23" s="1"/>
  <c r="AB81" i="23"/>
  <c r="AC81" i="23" s="1"/>
  <c r="AB40" i="23"/>
  <c r="AC40" i="23" s="1"/>
  <c r="AB73" i="23"/>
  <c r="AC73" i="23" s="1"/>
  <c r="AH103" i="23"/>
  <c r="AI103" i="23" s="1"/>
  <c r="AK103" i="23" s="1"/>
  <c r="BD36" i="23"/>
  <c r="AX36" i="23" s="1"/>
  <c r="AB13" i="23"/>
  <c r="AC13" i="23" s="1"/>
  <c r="V39" i="23"/>
  <c r="BD39" i="23"/>
  <c r="AX39" i="23" s="1"/>
  <c r="R39" i="23"/>
  <c r="AB65" i="23"/>
  <c r="AC65" i="23" s="1"/>
  <c r="AH78" i="23"/>
  <c r="AI78" i="23" s="1"/>
  <c r="AK78" i="23" s="1"/>
  <c r="AB90" i="23"/>
  <c r="AC90" i="23" s="1"/>
  <c r="AB106" i="23"/>
  <c r="AC106" i="23" s="1"/>
  <c r="AH54" i="23"/>
  <c r="AI54" i="23" s="1"/>
  <c r="AK54" i="23" s="1"/>
  <c r="Y99" i="23"/>
  <c r="Z99" i="23" s="1"/>
  <c r="AA99" i="23" s="1"/>
  <c r="AH69" i="23"/>
  <c r="AI69" i="23" s="1"/>
  <c r="AK69" i="23" s="1"/>
  <c r="Y16" i="23"/>
  <c r="Z16" i="23" s="1"/>
  <c r="AA16" i="23" s="1"/>
  <c r="AB11" i="23"/>
  <c r="AC11" i="23" s="1"/>
  <c r="AB58" i="23"/>
  <c r="AC58" i="23" s="1"/>
  <c r="AB52" i="23"/>
  <c r="AC52" i="23" s="1"/>
  <c r="BD89" i="23"/>
  <c r="AX89" i="23" s="1"/>
  <c r="D319" i="2"/>
  <c r="D318" i="2"/>
  <c r="AH75" i="21"/>
  <c r="Y75" i="21"/>
  <c r="V103" i="21"/>
  <c r="AJ103" i="21"/>
  <c r="R103" i="21"/>
  <c r="AN103" i="21" s="1"/>
  <c r="V46" i="21"/>
  <c r="AJ46" i="21"/>
  <c r="R46" i="21"/>
  <c r="AN46" i="21" s="1"/>
  <c r="V16" i="21"/>
  <c r="R16" i="21"/>
  <c r="AN16" i="21" s="1"/>
  <c r="AJ16" i="21"/>
  <c r="V17" i="21"/>
  <c r="R17" i="21"/>
  <c r="AN17" i="21" s="1"/>
  <c r="AJ17" i="21"/>
  <c r="V109" i="21"/>
  <c r="AJ109" i="21"/>
  <c r="R109" i="21"/>
  <c r="AN109" i="21" s="1"/>
  <c r="V102" i="21"/>
  <c r="R102" i="21"/>
  <c r="AN102" i="21" s="1"/>
  <c r="AJ102" i="21"/>
  <c r="V82" i="21"/>
  <c r="R82" i="21"/>
  <c r="AN82" i="21" s="1"/>
  <c r="AJ82" i="21"/>
  <c r="Y16" i="21"/>
  <c r="Y49" i="21"/>
  <c r="AH17" i="21"/>
  <c r="AB76" i="21"/>
  <c r="Y109" i="21"/>
  <c r="Y26" i="21"/>
  <c r="AH14" i="21"/>
  <c r="AB102" i="21"/>
  <c r="AH18" i="21"/>
  <c r="Y38" i="21"/>
  <c r="AB105" i="21"/>
  <c r="Y22" i="21"/>
  <c r="Y43" i="21"/>
  <c r="V31" i="21"/>
  <c r="R31" i="21"/>
  <c r="AN31" i="21" s="1"/>
  <c r="AJ31" i="21"/>
  <c r="V39" i="21"/>
  <c r="R39" i="21"/>
  <c r="AN39" i="21" s="1"/>
  <c r="AJ39" i="21"/>
  <c r="Y46" i="21"/>
  <c r="V80" i="21"/>
  <c r="R80" i="21"/>
  <c r="AN80" i="21" s="1"/>
  <c r="AJ80" i="21"/>
  <c r="Y103" i="21"/>
  <c r="AB16" i="21"/>
  <c r="Y76" i="21"/>
  <c r="AH109" i="21"/>
  <c r="AB31" i="21"/>
  <c r="AH39" i="21"/>
  <c r="AH102" i="21"/>
  <c r="Y82" i="21"/>
  <c r="Y80" i="21"/>
  <c r="AH43" i="21"/>
  <c r="AB46" i="21"/>
  <c r="V22" i="21"/>
  <c r="AJ22" i="21"/>
  <c r="R22" i="21"/>
  <c r="AN22" i="21" s="1"/>
  <c r="V108" i="21"/>
  <c r="R108" i="21"/>
  <c r="AN108" i="21" s="1"/>
  <c r="AJ108" i="21"/>
  <c r="V77" i="21"/>
  <c r="R77" i="21"/>
  <c r="AN77" i="21" s="1"/>
  <c r="AJ77" i="21"/>
  <c r="V26" i="21"/>
  <c r="R26" i="21"/>
  <c r="AN26" i="21" s="1"/>
  <c r="AJ26" i="21"/>
  <c r="AB103" i="21"/>
  <c r="AH16" i="21"/>
  <c r="AB17" i="21"/>
  <c r="AB77" i="21"/>
  <c r="AH26" i="21"/>
  <c r="V47" i="21"/>
  <c r="AJ47" i="21"/>
  <c r="R47" i="21"/>
  <c r="AN47" i="21" s="1"/>
  <c r="V105" i="21"/>
  <c r="R105" i="21"/>
  <c r="AN105" i="21" s="1"/>
  <c r="AJ105" i="21"/>
  <c r="AB39" i="21"/>
  <c r="V37" i="21"/>
  <c r="AJ37" i="21"/>
  <c r="R37" i="21"/>
  <c r="AN37" i="21" s="1"/>
  <c r="AB82" i="21"/>
  <c r="Y47" i="21"/>
  <c r="AB80" i="21"/>
  <c r="AH105" i="21"/>
  <c r="AB108" i="21"/>
  <c r="Y37" i="21"/>
  <c r="V75" i="21"/>
  <c r="AJ75" i="21"/>
  <c r="R75" i="21"/>
  <c r="AN75" i="21" s="1"/>
  <c r="V38" i="21"/>
  <c r="AJ38" i="21"/>
  <c r="R38" i="21"/>
  <c r="AN38" i="21" s="1"/>
  <c r="AH46" i="21"/>
  <c r="V14" i="21"/>
  <c r="R14" i="21"/>
  <c r="AN14" i="21" s="1"/>
  <c r="AJ14" i="21"/>
  <c r="V49" i="21"/>
  <c r="R49" i="21"/>
  <c r="AN49" i="21" s="1"/>
  <c r="AJ49" i="21"/>
  <c r="V76" i="21"/>
  <c r="R76" i="21"/>
  <c r="AN76" i="21" s="1"/>
  <c r="AJ76" i="21"/>
  <c r="V18" i="21"/>
  <c r="AJ18" i="21"/>
  <c r="R18" i="21"/>
  <c r="AN18" i="21" s="1"/>
  <c r="AH103" i="21"/>
  <c r="AB49" i="21"/>
  <c r="Y17" i="21"/>
  <c r="AB109" i="21"/>
  <c r="Y77" i="21"/>
  <c r="AB14" i="21"/>
  <c r="Y31" i="21"/>
  <c r="Y102" i="21"/>
  <c r="AH82" i="21"/>
  <c r="Y18" i="21"/>
  <c r="AB38" i="21"/>
  <c r="AB47" i="21"/>
  <c r="AH80" i="21"/>
  <c r="AB22" i="21"/>
  <c r="Y108" i="21"/>
  <c r="AH37" i="21"/>
  <c r="V43" i="21"/>
  <c r="AJ43" i="21"/>
  <c r="R43" i="21"/>
  <c r="AN43" i="21" s="1"/>
  <c r="D216" i="2"/>
  <c r="D217" i="2" s="1"/>
  <c r="F623" i="17"/>
  <c r="B90" i="2"/>
  <c r="B107" i="2"/>
  <c r="B105" i="2"/>
  <c r="E21" i="1" s="1"/>
  <c r="A364" i="2"/>
  <c r="C68" i="16"/>
  <c r="D68" i="16" s="1"/>
  <c r="B328" i="2"/>
  <c r="B329" i="2" s="1"/>
  <c r="B198" i="2" l="1"/>
  <c r="B195" i="2"/>
  <c r="S48" i="23"/>
  <c r="AN48" i="23"/>
  <c r="BE48" i="23" s="1"/>
  <c r="S96" i="23"/>
  <c r="U96" i="23" s="1"/>
  <c r="AN96" i="23"/>
  <c r="BE96" i="23" s="1"/>
  <c r="S78" i="23"/>
  <c r="U78" i="23" s="1"/>
  <c r="AN78" i="23"/>
  <c r="BE78" i="23" s="1"/>
  <c r="S56" i="23"/>
  <c r="AN56" i="23"/>
  <c r="BE56" i="23" s="1"/>
  <c r="S40" i="23"/>
  <c r="U40" i="23" s="1"/>
  <c r="AN40" i="23"/>
  <c r="BE40" i="23" s="1"/>
  <c r="S15" i="23"/>
  <c r="U15" i="23" s="1"/>
  <c r="AN15" i="23"/>
  <c r="BE15" i="23" s="1"/>
  <c r="S69" i="23"/>
  <c r="U69" i="23" s="1"/>
  <c r="AN69" i="23"/>
  <c r="BE69" i="23" s="1"/>
  <c r="S39" i="23"/>
  <c r="AN39" i="23"/>
  <c r="BE39" i="23" s="1"/>
  <c r="S67" i="23"/>
  <c r="U67" i="23" s="1"/>
  <c r="AN67" i="23"/>
  <c r="BE67" i="23" s="1"/>
  <c r="S103" i="23"/>
  <c r="U103" i="23" s="1"/>
  <c r="AN103" i="23"/>
  <c r="BE103" i="23" s="1"/>
  <c r="S63" i="23"/>
  <c r="U63" i="23" s="1"/>
  <c r="AN63" i="23"/>
  <c r="BE63" i="23" s="1"/>
  <c r="S92" i="23"/>
  <c r="U92" i="23" s="1"/>
  <c r="AN92" i="23"/>
  <c r="BE92" i="23" s="1"/>
  <c r="S42" i="23"/>
  <c r="U42" i="23" s="1"/>
  <c r="AN42" i="23"/>
  <c r="BE42" i="23" s="1"/>
  <c r="S99" i="23"/>
  <c r="U99" i="23" s="1"/>
  <c r="AN99" i="23"/>
  <c r="BE99" i="23" s="1"/>
  <c r="S35" i="23"/>
  <c r="U35" i="23" s="1"/>
  <c r="AN35" i="23"/>
  <c r="BE35" i="23" s="1"/>
  <c r="S95" i="23"/>
  <c r="U95" i="23" s="1"/>
  <c r="AN95" i="23"/>
  <c r="BE95" i="23" s="1"/>
  <c r="S41" i="23"/>
  <c r="U41" i="23" s="1"/>
  <c r="AN41" i="23"/>
  <c r="S106" i="23"/>
  <c r="U106" i="23" s="1"/>
  <c r="AN106" i="23"/>
  <c r="BE106" i="23" s="1"/>
  <c r="S12" i="23"/>
  <c r="U12" i="23" s="1"/>
  <c r="AN12" i="23"/>
  <c r="BE12" i="23" s="1"/>
  <c r="S16" i="23"/>
  <c r="U16" i="23" s="1"/>
  <c r="AN16" i="23"/>
  <c r="BE16" i="23" s="1"/>
  <c r="S25" i="23"/>
  <c r="U25" i="23" s="1"/>
  <c r="AN25" i="23"/>
  <c r="BE25" i="23" s="1"/>
  <c r="S85" i="23"/>
  <c r="U85" i="23" s="1"/>
  <c r="AN85" i="23"/>
  <c r="BE85" i="23" s="1"/>
  <c r="S45" i="23"/>
  <c r="U45" i="23" s="1"/>
  <c r="AN45" i="23"/>
  <c r="BE45" i="23" s="1"/>
  <c r="S98" i="23"/>
  <c r="AN98" i="23"/>
  <c r="BE98" i="23" s="1"/>
  <c r="S90" i="23"/>
  <c r="AN90" i="23"/>
  <c r="S52" i="23"/>
  <c r="U52" i="23" s="1"/>
  <c r="AN52" i="23"/>
  <c r="BE52" i="23" s="1"/>
  <c r="S37" i="23"/>
  <c r="U37" i="23" s="1"/>
  <c r="AN37" i="23"/>
  <c r="BE37" i="23" s="1"/>
  <c r="S38" i="23"/>
  <c r="U38" i="23" s="1"/>
  <c r="AN38" i="23"/>
  <c r="BE38" i="23" s="1"/>
  <c r="S19" i="23"/>
  <c r="U19" i="23" s="1"/>
  <c r="AN19" i="23"/>
  <c r="BE19" i="23" s="1"/>
  <c r="S76" i="23"/>
  <c r="U76" i="23" s="1"/>
  <c r="AN76" i="23"/>
  <c r="BE76" i="23" s="1"/>
  <c r="S46" i="23"/>
  <c r="U46" i="23" s="1"/>
  <c r="AN46" i="23"/>
  <c r="BE46" i="23" s="1"/>
  <c r="S94" i="23"/>
  <c r="U94" i="23" s="1"/>
  <c r="AN94" i="23"/>
  <c r="BE94" i="23" s="1"/>
  <c r="S50" i="23"/>
  <c r="U50" i="23" s="1"/>
  <c r="AN50" i="23"/>
  <c r="BE50" i="23" s="1"/>
  <c r="S51" i="23"/>
  <c r="U51" i="23" s="1"/>
  <c r="AN51" i="23"/>
  <c r="BE51" i="23" s="1"/>
  <c r="S58" i="23"/>
  <c r="U58" i="23" s="1"/>
  <c r="AN58" i="23"/>
  <c r="BE58" i="23" s="1"/>
  <c r="S53" i="23"/>
  <c r="U53" i="23" s="1"/>
  <c r="AN53" i="23"/>
  <c r="BE53" i="23" s="1"/>
  <c r="S86" i="23"/>
  <c r="U86" i="23" s="1"/>
  <c r="AN86" i="23"/>
  <c r="BE86" i="23" s="1"/>
  <c r="S65" i="23"/>
  <c r="U65" i="23" s="1"/>
  <c r="AN65" i="23"/>
  <c r="BE65" i="23" s="1"/>
  <c r="S74" i="23"/>
  <c r="U74" i="23" s="1"/>
  <c r="AN74" i="23"/>
  <c r="BE74" i="23" s="1"/>
  <c r="S54" i="23"/>
  <c r="U54" i="23" s="1"/>
  <c r="AN54" i="23"/>
  <c r="BE54" i="23" s="1"/>
  <c r="S104" i="23"/>
  <c r="AN104" i="23"/>
  <c r="S30" i="23"/>
  <c r="U30" i="23" s="1"/>
  <c r="AN30" i="23"/>
  <c r="BE30" i="23" s="1"/>
  <c r="S55" i="23"/>
  <c r="U55" i="23" s="1"/>
  <c r="AN55" i="23"/>
  <c r="BE55" i="23" s="1"/>
  <c r="S14" i="23"/>
  <c r="U14" i="23" s="1"/>
  <c r="AN14" i="23"/>
  <c r="BE14" i="23" s="1"/>
  <c r="S49" i="23"/>
  <c r="U49" i="23" s="1"/>
  <c r="AN49" i="23"/>
  <c r="BE49" i="23" s="1"/>
  <c r="S13" i="23"/>
  <c r="U13" i="23" s="1"/>
  <c r="AN13" i="23"/>
  <c r="BE13" i="23" s="1"/>
  <c r="S21" i="23"/>
  <c r="U21" i="23" s="1"/>
  <c r="AN21" i="23"/>
  <c r="BE21" i="23" s="1"/>
  <c r="S31" i="23"/>
  <c r="U31" i="23" s="1"/>
  <c r="AN31" i="23"/>
  <c r="BE31" i="23" s="1"/>
  <c r="S68" i="23"/>
  <c r="U68" i="23" s="1"/>
  <c r="AN68" i="23"/>
  <c r="S109" i="23"/>
  <c r="U109" i="23" s="1"/>
  <c r="AN109" i="23"/>
  <c r="BE109" i="23" s="1"/>
  <c r="S11" i="23"/>
  <c r="U11" i="23" s="1"/>
  <c r="AN11" i="23"/>
  <c r="BE11" i="23" s="1"/>
  <c r="S73" i="23"/>
  <c r="U73" i="23" s="1"/>
  <c r="AN73" i="23"/>
  <c r="BE73" i="23" s="1"/>
  <c r="S22" i="23"/>
  <c r="U22" i="23" s="1"/>
  <c r="AN22" i="23"/>
  <c r="BE22" i="23" s="1"/>
  <c r="S66" i="23"/>
  <c r="U66" i="23" s="1"/>
  <c r="AN66" i="23"/>
  <c r="BE66" i="23" s="1"/>
  <c r="S27" i="23"/>
  <c r="U27" i="23" s="1"/>
  <c r="AN27" i="23"/>
  <c r="BE27" i="23" s="1"/>
  <c r="S44" i="23"/>
  <c r="U44" i="23" s="1"/>
  <c r="AN44" i="23"/>
  <c r="BE44" i="23" s="1"/>
  <c r="S33" i="23"/>
  <c r="U33" i="23" s="1"/>
  <c r="AN33" i="23"/>
  <c r="BE33" i="23" s="1"/>
  <c r="S32" i="23"/>
  <c r="U32" i="23" s="1"/>
  <c r="AN32" i="23"/>
  <c r="BE32" i="23" s="1"/>
  <c r="S108" i="23"/>
  <c r="U108" i="23" s="1"/>
  <c r="AN108" i="23"/>
  <c r="BE108" i="23" s="1"/>
  <c r="S23" i="23"/>
  <c r="U23" i="23" s="1"/>
  <c r="AN23" i="23"/>
  <c r="BE23" i="23" s="1"/>
  <c r="S81" i="23"/>
  <c r="U81" i="23" s="1"/>
  <c r="AN81" i="23"/>
  <c r="BE81" i="23" s="1"/>
  <c r="N4" i="25"/>
  <c r="P628" i="25"/>
  <c r="F5" i="25"/>
  <c r="O628" i="25"/>
  <c r="P626" i="25"/>
  <c r="O626" i="25"/>
  <c r="P623" i="25"/>
  <c r="O623" i="25"/>
  <c r="Q3" i="25"/>
  <c r="F4" i="25"/>
  <c r="J61" i="1"/>
  <c r="K4" i="25"/>
  <c r="F75" i="1"/>
  <c r="C7" i="25"/>
  <c r="BE49" i="21"/>
  <c r="S49" i="21"/>
  <c r="BE18" i="21"/>
  <c r="S18" i="21"/>
  <c r="BE80" i="21"/>
  <c r="S80" i="21"/>
  <c r="BE17" i="21"/>
  <c r="S17" i="21"/>
  <c r="BE43" i="21"/>
  <c r="S43" i="21"/>
  <c r="BE38" i="21"/>
  <c r="S38" i="21"/>
  <c r="BE37" i="21"/>
  <c r="S37" i="21"/>
  <c r="BE26" i="21"/>
  <c r="S26" i="21"/>
  <c r="BE22" i="21"/>
  <c r="S22" i="21"/>
  <c r="BE46" i="21"/>
  <c r="S46" i="21"/>
  <c r="BE108" i="21"/>
  <c r="S108" i="21"/>
  <c r="BE31" i="21"/>
  <c r="S31" i="21"/>
  <c r="BE82" i="21"/>
  <c r="S82" i="21"/>
  <c r="BE16" i="21"/>
  <c r="S16" i="21"/>
  <c r="BE76" i="21"/>
  <c r="S76" i="21"/>
  <c r="BE75" i="21"/>
  <c r="S75" i="21"/>
  <c r="BE47" i="21"/>
  <c r="S47" i="21"/>
  <c r="U47" i="21" s="1"/>
  <c r="BE77" i="21"/>
  <c r="S77" i="21"/>
  <c r="BE39" i="21"/>
  <c r="S39" i="21"/>
  <c r="BE109" i="21"/>
  <c r="S109" i="21"/>
  <c r="U109" i="21" s="1"/>
  <c r="BE103" i="21"/>
  <c r="S103" i="21"/>
  <c r="BE14" i="21"/>
  <c r="S14" i="21"/>
  <c r="BE105" i="21"/>
  <c r="S105" i="21"/>
  <c r="U105" i="21" s="1"/>
  <c r="BE102" i="21"/>
  <c r="S102" i="21"/>
  <c r="U62" i="23"/>
  <c r="BA62" i="23" s="1"/>
  <c r="AK30" i="23"/>
  <c r="BD30" i="23" s="1"/>
  <c r="AX30" i="23" s="1"/>
  <c r="AK91" i="23"/>
  <c r="BD91" i="23" s="1"/>
  <c r="AX91" i="23" s="1"/>
  <c r="AK56" i="23"/>
  <c r="BD56" i="23" s="1"/>
  <c r="AX56" i="23" s="1"/>
  <c r="AK65" i="23"/>
  <c r="BD65" i="23" s="1"/>
  <c r="AX65" i="23" s="1"/>
  <c r="AK108" i="23"/>
  <c r="BD108" i="23" s="1"/>
  <c r="AX108" i="23" s="1"/>
  <c r="U61" i="23"/>
  <c r="BA61" i="23" s="1"/>
  <c r="AK87" i="23"/>
  <c r="BD87" i="23" s="1"/>
  <c r="AX87" i="23" s="1"/>
  <c r="AK20" i="23"/>
  <c r="BD20" i="23" s="1"/>
  <c r="AX20" i="23" s="1"/>
  <c r="U24" i="23"/>
  <c r="BA24" i="23" s="1"/>
  <c r="AK17" i="23"/>
  <c r="BD17" i="23" s="1"/>
  <c r="AX17" i="23" s="1"/>
  <c r="AK61" i="23"/>
  <c r="BD61" i="23" s="1"/>
  <c r="AX61" i="23" s="1"/>
  <c r="U9" i="23"/>
  <c r="BA9" i="23" s="1"/>
  <c r="AK33" i="23"/>
  <c r="BD33" i="23" s="1"/>
  <c r="AX33" i="23" s="1"/>
  <c r="AK31" i="23"/>
  <c r="BD31" i="23" s="1"/>
  <c r="AX31" i="23" s="1"/>
  <c r="AK93" i="23"/>
  <c r="BD93" i="23" s="1"/>
  <c r="AX93" i="23" s="1"/>
  <c r="D231" i="2"/>
  <c r="AD9" i="23"/>
  <c r="AG9" i="23" s="1"/>
  <c r="AD49" i="23"/>
  <c r="AG49" i="23" s="1"/>
  <c r="AD108" i="23"/>
  <c r="AG108" i="23" s="1"/>
  <c r="AD76" i="23"/>
  <c r="AG76" i="23" s="1"/>
  <c r="AD91" i="23"/>
  <c r="AG91" i="23" s="1"/>
  <c r="AD93" i="23"/>
  <c r="AG93" i="23" s="1"/>
  <c r="AD34" i="23"/>
  <c r="AG34" i="23" s="1"/>
  <c r="AD66" i="23"/>
  <c r="AG66" i="23" s="1"/>
  <c r="AD89" i="23"/>
  <c r="AG89" i="23" s="1"/>
  <c r="AD100" i="23"/>
  <c r="AG100" i="23" s="1"/>
  <c r="AD29" i="23"/>
  <c r="AG29" i="23" s="1"/>
  <c r="AD83" i="23"/>
  <c r="AG83" i="23" s="1"/>
  <c r="AD30" i="23"/>
  <c r="AG30" i="23" s="1"/>
  <c r="AD90" i="23"/>
  <c r="AG90" i="23" s="1"/>
  <c r="AD65" i="23"/>
  <c r="AG65" i="23" s="1"/>
  <c r="AD45" i="23"/>
  <c r="AG45" i="23" s="1"/>
  <c r="AD92" i="23"/>
  <c r="AG92" i="23" s="1"/>
  <c r="AD50" i="23"/>
  <c r="AG50" i="23" s="1"/>
  <c r="AD41" i="23"/>
  <c r="AG41" i="23" s="1"/>
  <c r="AD109" i="23"/>
  <c r="AG109" i="23" s="1"/>
  <c r="AD98" i="23"/>
  <c r="AG98" i="23" s="1"/>
  <c r="AD87" i="23"/>
  <c r="AG87" i="23" s="1"/>
  <c r="AD14" i="23"/>
  <c r="AG14" i="23" s="1"/>
  <c r="AD105" i="23"/>
  <c r="AG105" i="23" s="1"/>
  <c r="AD38" i="23"/>
  <c r="AG38" i="23" s="1"/>
  <c r="AD54" i="23"/>
  <c r="AG54" i="23" s="1"/>
  <c r="AD53" i="23"/>
  <c r="AG53" i="23" s="1"/>
  <c r="AD11" i="23"/>
  <c r="AG11" i="23" s="1"/>
  <c r="AD47" i="23"/>
  <c r="AG47" i="23" s="1"/>
  <c r="AD26" i="23"/>
  <c r="AG26" i="23" s="1"/>
  <c r="AD25" i="23"/>
  <c r="AG25" i="23" s="1"/>
  <c r="AD44" i="23"/>
  <c r="AG44" i="23" s="1"/>
  <c r="AD52" i="23"/>
  <c r="AG52" i="23" s="1"/>
  <c r="AD51" i="23"/>
  <c r="AG51" i="23" s="1"/>
  <c r="AD16" i="23"/>
  <c r="AG16" i="23" s="1"/>
  <c r="AD73" i="23"/>
  <c r="AG73" i="23" s="1"/>
  <c r="AD85" i="23"/>
  <c r="AG85" i="23" s="1"/>
  <c r="AD64" i="23"/>
  <c r="AG64" i="23" s="1"/>
  <c r="AD12" i="23"/>
  <c r="AG12" i="23" s="1"/>
  <c r="AD81" i="23"/>
  <c r="AG81" i="23" s="1"/>
  <c r="AD86" i="23"/>
  <c r="AG86" i="23" s="1"/>
  <c r="AD19" i="23"/>
  <c r="AG19" i="23" s="1"/>
  <c r="AD78" i="23"/>
  <c r="AG78" i="23" s="1"/>
  <c r="AD70" i="23"/>
  <c r="AG70" i="23" s="1"/>
  <c r="AD97" i="23"/>
  <c r="AG97" i="23" s="1"/>
  <c r="AD21" i="23"/>
  <c r="AG21" i="23" s="1"/>
  <c r="AD56" i="23"/>
  <c r="AG56" i="23" s="1"/>
  <c r="AD39" i="23"/>
  <c r="AG39" i="23" s="1"/>
  <c r="AD84" i="23"/>
  <c r="AG84" i="23" s="1"/>
  <c r="AD106" i="23"/>
  <c r="AG106" i="23" s="1"/>
  <c r="AD33" i="23"/>
  <c r="AG33" i="23" s="1"/>
  <c r="AD96" i="23"/>
  <c r="AG96" i="23" s="1"/>
  <c r="AD63" i="23"/>
  <c r="AD42" i="23"/>
  <c r="AG42" i="23" s="1"/>
  <c r="AD75" i="23"/>
  <c r="AG75" i="23" s="1"/>
  <c r="AD40" i="23"/>
  <c r="AG40" i="23" s="1"/>
  <c r="AD77" i="23"/>
  <c r="AG77" i="23" s="1"/>
  <c r="AD43" i="23"/>
  <c r="AG43" i="23" s="1"/>
  <c r="AD88" i="23"/>
  <c r="AG88" i="23" s="1"/>
  <c r="AD35" i="23"/>
  <c r="AG35" i="23" s="1"/>
  <c r="AD57" i="23"/>
  <c r="AG57" i="23" s="1"/>
  <c r="AD17" i="23"/>
  <c r="AG17" i="23" s="1"/>
  <c r="AD68" i="23"/>
  <c r="AG68" i="23" s="1"/>
  <c r="AD67" i="23"/>
  <c r="AG67" i="23" s="1"/>
  <c r="AD48" i="23"/>
  <c r="AG48" i="23" s="1"/>
  <c r="AD27" i="23"/>
  <c r="AG27" i="23" s="1"/>
  <c r="AD60" i="23"/>
  <c r="AG60" i="23" s="1"/>
  <c r="AD104" i="23"/>
  <c r="AG104" i="23" s="1"/>
  <c r="AD72" i="23"/>
  <c r="AD55" i="23"/>
  <c r="AG55" i="23" s="1"/>
  <c r="AD36" i="23"/>
  <c r="AG36" i="23" s="1"/>
  <c r="AD82" i="23"/>
  <c r="AG82" i="23" s="1"/>
  <c r="AD31" i="23"/>
  <c r="AG31" i="23" s="1"/>
  <c r="AD102" i="23"/>
  <c r="AG102" i="23" s="1"/>
  <c r="AD99" i="23"/>
  <c r="AG99" i="23" s="1"/>
  <c r="AD101" i="23"/>
  <c r="AG101" i="23" s="1"/>
  <c r="AD80" i="23"/>
  <c r="AG80" i="23" s="1"/>
  <c r="AD94" i="23"/>
  <c r="AG94" i="23" s="1"/>
  <c r="AD95" i="23"/>
  <c r="AG95" i="23" s="1"/>
  <c r="AD28" i="23"/>
  <c r="AG28" i="23" s="1"/>
  <c r="AD10" i="23"/>
  <c r="AG10" i="23" s="1"/>
  <c r="AD107" i="23"/>
  <c r="AG107" i="23" s="1"/>
  <c r="AD59" i="23"/>
  <c r="AG59" i="23" s="1"/>
  <c r="AD24" i="23"/>
  <c r="AG24" i="23" s="1"/>
  <c r="AD37" i="23"/>
  <c r="AG37" i="23" s="1"/>
  <c r="AD74" i="23"/>
  <c r="AG74" i="23" s="1"/>
  <c r="AD103" i="23"/>
  <c r="AG103" i="23" s="1"/>
  <c r="AD20" i="23"/>
  <c r="AG20" i="23" s="1"/>
  <c r="AD32" i="23"/>
  <c r="AG32" i="23" s="1"/>
  <c r="AD15" i="23"/>
  <c r="AG15" i="23" s="1"/>
  <c r="AD13" i="23"/>
  <c r="AG13" i="23" s="1"/>
  <c r="AD58" i="23"/>
  <c r="AG58" i="23" s="1"/>
  <c r="AD79" i="23"/>
  <c r="AG79" i="23" s="1"/>
  <c r="AD23" i="23"/>
  <c r="AG23" i="23" s="1"/>
  <c r="AD22" i="23"/>
  <c r="AG22" i="23" s="1"/>
  <c r="AD71" i="23"/>
  <c r="AG71" i="23" s="1"/>
  <c r="AD61" i="23"/>
  <c r="AG61" i="23" s="1"/>
  <c r="AD69" i="23"/>
  <c r="AG69" i="23" s="1"/>
  <c r="AD62" i="23"/>
  <c r="AG62" i="23" s="1"/>
  <c r="AD18" i="23"/>
  <c r="AG18" i="23" s="1"/>
  <c r="AD46" i="23"/>
  <c r="AG46" i="23" s="1"/>
  <c r="W106" i="23"/>
  <c r="X106" i="23" s="1"/>
  <c r="W13" i="23"/>
  <c r="X13" i="23" s="1"/>
  <c r="W86" i="23"/>
  <c r="X86" i="23" s="1"/>
  <c r="W94" i="23"/>
  <c r="X94" i="23" s="1"/>
  <c r="W45" i="23"/>
  <c r="X45" i="23" s="1"/>
  <c r="W68" i="23"/>
  <c r="X68" i="23" s="1"/>
  <c r="W98" i="23"/>
  <c r="X98" i="23" s="1"/>
  <c r="W74" i="23"/>
  <c r="X74" i="23" s="1"/>
  <c r="W33" i="23"/>
  <c r="X33" i="23" s="1"/>
  <c r="W76" i="23"/>
  <c r="X76" i="23" s="1"/>
  <c r="W52" i="23"/>
  <c r="X52" i="23" s="1"/>
  <c r="BE41" i="23"/>
  <c r="W99" i="23"/>
  <c r="X99" i="23" s="1"/>
  <c r="W46" i="23"/>
  <c r="X46" i="23" s="1"/>
  <c r="W37" i="23"/>
  <c r="X37" i="23" s="1"/>
  <c r="W108" i="23"/>
  <c r="X108" i="23" s="1"/>
  <c r="W40" i="23"/>
  <c r="X40" i="23" s="1"/>
  <c r="W38" i="23"/>
  <c r="X38" i="23" s="1"/>
  <c r="W55" i="23"/>
  <c r="X55" i="23" s="1"/>
  <c r="W15" i="23"/>
  <c r="X15" i="23" s="1"/>
  <c r="W81" i="23"/>
  <c r="X81" i="23" s="1"/>
  <c r="W39" i="23"/>
  <c r="X39" i="23" s="1"/>
  <c r="W22" i="23"/>
  <c r="X22" i="23" s="1"/>
  <c r="W12" i="23"/>
  <c r="X12" i="23" s="1"/>
  <c r="W63" i="23"/>
  <c r="X63" i="23" s="1"/>
  <c r="W21" i="23"/>
  <c r="X21" i="23" s="1"/>
  <c r="W66" i="23"/>
  <c r="X66" i="23" s="1"/>
  <c r="W27" i="23"/>
  <c r="X27" i="23" s="1"/>
  <c r="W95" i="23"/>
  <c r="X95" i="23" s="1"/>
  <c r="W85" i="23"/>
  <c r="X85" i="23" s="1"/>
  <c r="W31" i="23"/>
  <c r="X31" i="23" s="1"/>
  <c r="W65" i="23"/>
  <c r="X65" i="23" s="1"/>
  <c r="W96" i="23"/>
  <c r="X96" i="23" s="1"/>
  <c r="W90" i="23"/>
  <c r="X90" i="23" s="1"/>
  <c r="W51" i="23"/>
  <c r="X51" i="23" s="1"/>
  <c r="W109" i="23"/>
  <c r="X109" i="23" s="1"/>
  <c r="W104" i="23"/>
  <c r="X104" i="23" s="1"/>
  <c r="W30" i="23"/>
  <c r="X30" i="23" s="1"/>
  <c r="W35" i="23"/>
  <c r="X35" i="23" s="1"/>
  <c r="U48" i="23"/>
  <c r="W16" i="23"/>
  <c r="X16" i="23" s="1"/>
  <c r="W67" i="23"/>
  <c r="X67" i="23" s="1"/>
  <c r="W25" i="23"/>
  <c r="X25" i="23" s="1"/>
  <c r="W50" i="23"/>
  <c r="X50" i="23" s="1"/>
  <c r="W44" i="23"/>
  <c r="X44" i="23" s="1"/>
  <c r="BE68" i="23"/>
  <c r="W42" i="23"/>
  <c r="X42" i="23" s="1"/>
  <c r="W41" i="23"/>
  <c r="X41" i="23" s="1"/>
  <c r="W54" i="23"/>
  <c r="X54" i="23" s="1"/>
  <c r="U56" i="23"/>
  <c r="W58" i="23"/>
  <c r="X58" i="23" s="1"/>
  <c r="W14" i="23"/>
  <c r="X14" i="23" s="1"/>
  <c r="W69" i="23"/>
  <c r="X69" i="23" s="1"/>
  <c r="W19" i="23"/>
  <c r="X19" i="23" s="1"/>
  <c r="W49" i="23"/>
  <c r="X49" i="23" s="1"/>
  <c r="U39" i="23"/>
  <c r="W48" i="23"/>
  <c r="X48" i="23" s="1"/>
  <c r="W103" i="23"/>
  <c r="X103" i="23" s="1"/>
  <c r="U98" i="23"/>
  <c r="BE90" i="23"/>
  <c r="U90" i="23"/>
  <c r="W92" i="23"/>
  <c r="X92" i="23" s="1"/>
  <c r="W11" i="23"/>
  <c r="X11" i="23" s="1"/>
  <c r="W78" i="23"/>
  <c r="X78" i="23" s="1"/>
  <c r="W73" i="23"/>
  <c r="X73" i="23" s="1"/>
  <c r="W56" i="23"/>
  <c r="X56" i="23" s="1"/>
  <c r="W32" i="23"/>
  <c r="X32" i="23" s="1"/>
  <c r="BE104" i="23"/>
  <c r="U104" i="23"/>
  <c r="W23" i="23"/>
  <c r="X23" i="23" s="1"/>
  <c r="W53" i="23"/>
  <c r="X53" i="23" s="1"/>
  <c r="BD67" i="23"/>
  <c r="AX67" i="23" s="1"/>
  <c r="BD27" i="23"/>
  <c r="AX27" i="23" s="1"/>
  <c r="BD98" i="23"/>
  <c r="AX98" i="23" s="1"/>
  <c r="BD32" i="23"/>
  <c r="AX32" i="23" s="1"/>
  <c r="BD85" i="23"/>
  <c r="AX85" i="23" s="1"/>
  <c r="BD103" i="23"/>
  <c r="AX103" i="23" s="1"/>
  <c r="BD78" i="23"/>
  <c r="AX78" i="23" s="1"/>
  <c r="BD86" i="23"/>
  <c r="AX86" i="23" s="1"/>
  <c r="BD12" i="23"/>
  <c r="AX12" i="23" s="1"/>
  <c r="BD106" i="23"/>
  <c r="AX106" i="23" s="1"/>
  <c r="BD51" i="23"/>
  <c r="AX51" i="23" s="1"/>
  <c r="BD54" i="23"/>
  <c r="AX54" i="23" s="1"/>
  <c r="BA89" i="23"/>
  <c r="BA97" i="23"/>
  <c r="BA75" i="23"/>
  <c r="BA80" i="23"/>
  <c r="BA36" i="23"/>
  <c r="BD92" i="23"/>
  <c r="AX92" i="23" s="1"/>
  <c r="BD76" i="23"/>
  <c r="AX76" i="23" s="1"/>
  <c r="BA72" i="23"/>
  <c r="BD53" i="23"/>
  <c r="AX53" i="23" s="1"/>
  <c r="BA105" i="23"/>
  <c r="BA91" i="23"/>
  <c r="BA60" i="23"/>
  <c r="BD96" i="23"/>
  <c r="AX96" i="23" s="1"/>
  <c r="BA20" i="23"/>
  <c r="BD74" i="23"/>
  <c r="AX74" i="23" s="1"/>
  <c r="BA70" i="23"/>
  <c r="BD109" i="23"/>
  <c r="AX109" i="23" s="1"/>
  <c r="BA34" i="23"/>
  <c r="BA102" i="23"/>
  <c r="BA79" i="23"/>
  <c r="BA107" i="23"/>
  <c r="BA77" i="23"/>
  <c r="BD15" i="23"/>
  <c r="AX15" i="23" s="1"/>
  <c r="BA10" i="23"/>
  <c r="BA71" i="23"/>
  <c r="BD42" i="23"/>
  <c r="AX42" i="23" s="1"/>
  <c r="BA29" i="23"/>
  <c r="BA47" i="23"/>
  <c r="BA17" i="23"/>
  <c r="BA18" i="23"/>
  <c r="BD37" i="23"/>
  <c r="AX37" i="23" s="1"/>
  <c r="BA43" i="23"/>
  <c r="BA88" i="23"/>
  <c r="BA82" i="23"/>
  <c r="BA83" i="23"/>
  <c r="BA28" i="23"/>
  <c r="BA26" i="23"/>
  <c r="BA101" i="23"/>
  <c r="BD69" i="23"/>
  <c r="AX69" i="23" s="1"/>
  <c r="BD35" i="23"/>
  <c r="AX35" i="23" s="1"/>
  <c r="BA84" i="23"/>
  <c r="BA59" i="23"/>
  <c r="BA93" i="23"/>
  <c r="BA64" i="23"/>
  <c r="BD73" i="23"/>
  <c r="AX73" i="23" s="1"/>
  <c r="BA57" i="23"/>
  <c r="BA100" i="23"/>
  <c r="BD46" i="23"/>
  <c r="AX46" i="23" s="1"/>
  <c r="BA87" i="23"/>
  <c r="BD40" i="23"/>
  <c r="AX40" i="23" s="1"/>
  <c r="BD14" i="23"/>
  <c r="AX14" i="23" s="1"/>
  <c r="BD19" i="23"/>
  <c r="AX19" i="23" s="1"/>
  <c r="BD49" i="23"/>
  <c r="AX49" i="23" s="1"/>
  <c r="BD81" i="23"/>
  <c r="AX81" i="23" s="1"/>
  <c r="B89" i="2"/>
  <c r="B92" i="2" s="1"/>
  <c r="B106" i="2"/>
  <c r="B88" i="2"/>
  <c r="B63" i="2"/>
  <c r="E30" i="1"/>
  <c r="AC77" i="21"/>
  <c r="AG77" i="21" s="1"/>
  <c r="AC11" i="21"/>
  <c r="AG11" i="21" s="1"/>
  <c r="AC86" i="21"/>
  <c r="AG86" i="21" s="1"/>
  <c r="AI56" i="21"/>
  <c r="Z81" i="21"/>
  <c r="AA81" i="21" s="1"/>
  <c r="U90" i="21"/>
  <c r="AC21" i="21"/>
  <c r="AG21" i="21" s="1"/>
  <c r="Z85" i="21"/>
  <c r="AA85" i="21" s="1"/>
  <c r="B155" i="2"/>
  <c r="E47" i="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49" i="2"/>
  <c r="B150" i="2" s="1"/>
  <c r="B144" i="2"/>
  <c r="B145" i="2" s="1"/>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4"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09" i="2" l="1"/>
  <c r="Q3" i="17" s="1"/>
  <c r="B216" i="2"/>
  <c r="B208" i="2"/>
  <c r="D354" i="2"/>
  <c r="E354" i="2"/>
  <c r="C48" i="16" s="1"/>
  <c r="AG72" i="23"/>
  <c r="BB72" i="23" s="1"/>
  <c r="AG63" i="23"/>
  <c r="BC63" i="23" s="1"/>
  <c r="AW63" i="23" s="1"/>
  <c r="E43" i="1"/>
  <c r="D235" i="2"/>
  <c r="BC74" i="23"/>
  <c r="AW74" i="23" s="1"/>
  <c r="AT107" i="23"/>
  <c r="AV107" i="23" s="1"/>
  <c r="AZ107" i="23" s="1"/>
  <c r="BC94" i="23"/>
  <c r="AW94" i="23" s="1"/>
  <c r="BC102" i="23"/>
  <c r="AW102" i="23" s="1"/>
  <c r="AT17" i="23"/>
  <c r="AV17" i="23" s="1"/>
  <c r="AZ17" i="23" s="1"/>
  <c r="BC43" i="23"/>
  <c r="AW43" i="23" s="1"/>
  <c r="BC21" i="23"/>
  <c r="AW21" i="23" s="1"/>
  <c r="BC19" i="23"/>
  <c r="AW19" i="23" s="1"/>
  <c r="BC64" i="23"/>
  <c r="AW64" i="23" s="1"/>
  <c r="BB26" i="23"/>
  <c r="BC54" i="23"/>
  <c r="AW54" i="23" s="1"/>
  <c r="BC50" i="23"/>
  <c r="AW50" i="23" s="1"/>
  <c r="BC90" i="23"/>
  <c r="AW90" i="23" s="1"/>
  <c r="BC100" i="23"/>
  <c r="AW100" i="23" s="1"/>
  <c r="AT93" i="23"/>
  <c r="AV93" i="23" s="1"/>
  <c r="AZ93" i="23" s="1"/>
  <c r="BC46" i="23"/>
  <c r="AW46" i="23" s="1"/>
  <c r="BC61" i="23"/>
  <c r="AW61" i="23" s="1"/>
  <c r="BC79" i="23"/>
  <c r="AW79" i="23" s="1"/>
  <c r="BC32" i="23"/>
  <c r="AW32" i="23" s="1"/>
  <c r="BC37" i="23"/>
  <c r="AW37" i="23" s="1"/>
  <c r="BC10" i="23"/>
  <c r="AW10" i="23" s="1"/>
  <c r="AT80" i="23"/>
  <c r="AV80" i="23" s="1"/>
  <c r="AZ80" i="23" s="1"/>
  <c r="BC31" i="23"/>
  <c r="AW31" i="23" s="1"/>
  <c r="AT57" i="23"/>
  <c r="AV57" i="23" s="1"/>
  <c r="AZ57" i="23" s="1"/>
  <c r="BC77" i="23"/>
  <c r="AW77" i="23" s="1"/>
  <c r="BC84" i="23"/>
  <c r="AW84" i="23" s="1"/>
  <c r="AT97" i="23"/>
  <c r="AV97" i="23" s="1"/>
  <c r="AZ97" i="23" s="1"/>
  <c r="BC86" i="23"/>
  <c r="AW86" i="23" s="1"/>
  <c r="BC47" i="23"/>
  <c r="AW47" i="23" s="1"/>
  <c r="BB38" i="23"/>
  <c r="BC98" i="23"/>
  <c r="AW98" i="23" s="1"/>
  <c r="BC30" i="23"/>
  <c r="AW30" i="23" s="1"/>
  <c r="BC89" i="23"/>
  <c r="AW89" i="23" s="1"/>
  <c r="BC91" i="23"/>
  <c r="AW91" i="23" s="1"/>
  <c r="BC18" i="23"/>
  <c r="AW18" i="23" s="1"/>
  <c r="AT71" i="23"/>
  <c r="AV71" i="23" s="1"/>
  <c r="AZ71" i="23" s="1"/>
  <c r="BB24" i="23"/>
  <c r="AT101" i="23"/>
  <c r="AV101" i="23" s="1"/>
  <c r="AZ101" i="23" s="1"/>
  <c r="BC82" i="23"/>
  <c r="AW82" i="23" s="1"/>
  <c r="BB67" i="23"/>
  <c r="BC35" i="23"/>
  <c r="AW35" i="23" s="1"/>
  <c r="BC96" i="23"/>
  <c r="AW96" i="23" s="1"/>
  <c r="BB39" i="23"/>
  <c r="BC70" i="23"/>
  <c r="AW70" i="23" s="1"/>
  <c r="BC44" i="23"/>
  <c r="AW44" i="23" s="1"/>
  <c r="AT105" i="23"/>
  <c r="AV105" i="23" s="1"/>
  <c r="AZ105" i="23" s="1"/>
  <c r="BC83" i="23"/>
  <c r="AW83" i="23" s="1"/>
  <c r="BB66" i="23"/>
  <c r="BC76" i="23"/>
  <c r="AW76" i="23" s="1"/>
  <c r="BC62" i="23"/>
  <c r="AW62" i="23" s="1"/>
  <c r="BC22" i="23"/>
  <c r="AW22" i="23" s="1"/>
  <c r="BB103" i="23"/>
  <c r="BC59" i="23"/>
  <c r="AW59" i="23" s="1"/>
  <c r="BC95" i="23"/>
  <c r="AW95" i="23" s="1"/>
  <c r="BB99" i="23"/>
  <c r="BB36" i="23"/>
  <c r="BC60" i="23"/>
  <c r="AW60" i="23" s="1"/>
  <c r="BB68" i="23"/>
  <c r="BC88" i="23"/>
  <c r="AW88" i="23" s="1"/>
  <c r="BC75" i="23"/>
  <c r="AW75" i="23" s="1"/>
  <c r="BB33" i="23"/>
  <c r="BC78" i="23"/>
  <c r="AW78" i="23" s="1"/>
  <c r="BC12" i="23"/>
  <c r="AW12" i="23" s="1"/>
  <c r="BB16" i="23"/>
  <c r="BC14" i="23"/>
  <c r="AW14" i="23" s="1"/>
  <c r="AT29" i="23"/>
  <c r="AV29" i="23" s="1"/>
  <c r="AZ29" i="23" s="1"/>
  <c r="BB34" i="23"/>
  <c r="AT108" i="23"/>
  <c r="AV108" i="23" s="1"/>
  <c r="AZ108" i="23" s="1"/>
  <c r="D219" i="2"/>
  <c r="J64" i="1" s="1"/>
  <c r="D236" i="2"/>
  <c r="BB27" i="23"/>
  <c r="BC27" i="23"/>
  <c r="AW27" i="23" s="1"/>
  <c r="BB25" i="23"/>
  <c r="BC25" i="23"/>
  <c r="AW25" i="23" s="1"/>
  <c r="BB65" i="23"/>
  <c r="BC65" i="23"/>
  <c r="AW65" i="23" s="1"/>
  <c r="BC20" i="23"/>
  <c r="AW20" i="23" s="1"/>
  <c r="BB20" i="23"/>
  <c r="BB28" i="23"/>
  <c r="BC28" i="23"/>
  <c r="AW28" i="23" s="1"/>
  <c r="AT28" i="23"/>
  <c r="AV28" i="23" s="1"/>
  <c r="AZ28" i="23" s="1"/>
  <c r="AT20" i="23"/>
  <c r="AV20" i="23" s="1"/>
  <c r="AZ20" i="23" s="1"/>
  <c r="BC87" i="23"/>
  <c r="AW87" i="23" s="1"/>
  <c r="BB87" i="23"/>
  <c r="AT87" i="23"/>
  <c r="AV87" i="23" s="1"/>
  <c r="AZ87" i="23" s="1"/>
  <c r="BB9" i="23"/>
  <c r="AT9" i="23"/>
  <c r="AV9" i="23" s="1"/>
  <c r="AZ9" i="23" s="1"/>
  <c r="BC9" i="23"/>
  <c r="AW9" i="23" s="1"/>
  <c r="BC69" i="23"/>
  <c r="AW69" i="23" s="1"/>
  <c r="BB69" i="23"/>
  <c r="BA30" i="23"/>
  <c r="BB56" i="23"/>
  <c r="BC56" i="23"/>
  <c r="AW56" i="23" s="1"/>
  <c r="BA65" i="23"/>
  <c r="AT65" i="23"/>
  <c r="AV65" i="23" s="1"/>
  <c r="AZ65" i="23" s="1"/>
  <c r="BC49" i="23"/>
  <c r="AW49" i="23" s="1"/>
  <c r="BB49" i="23"/>
  <c r="BA38" i="23"/>
  <c r="BA12" i="23"/>
  <c r="BA74" i="23"/>
  <c r="BC104" i="23"/>
  <c r="AW104" i="23" s="1"/>
  <c r="BB104" i="23"/>
  <c r="BA85" i="23"/>
  <c r="AT85" i="23"/>
  <c r="AV85" i="23" s="1"/>
  <c r="AZ85" i="23" s="1"/>
  <c r="BC23" i="23"/>
  <c r="AW23" i="23" s="1"/>
  <c r="BB23" i="23"/>
  <c r="BB11" i="23"/>
  <c r="BC11" i="23"/>
  <c r="AW11" i="23" s="1"/>
  <c r="BA52" i="23"/>
  <c r="AT52" i="23"/>
  <c r="AV52" i="23" s="1"/>
  <c r="AZ52" i="23" s="1"/>
  <c r="BA109" i="23"/>
  <c r="AT109" i="23"/>
  <c r="AV109" i="23" s="1"/>
  <c r="AT92" i="23"/>
  <c r="AV92" i="23" s="1"/>
  <c r="AZ92" i="23" s="1"/>
  <c r="BA92" i="23"/>
  <c r="BA108" i="23"/>
  <c r="BA99" i="23"/>
  <c r="BB58" i="23"/>
  <c r="BC58" i="23"/>
  <c r="AW58" i="23" s="1"/>
  <c r="BC45" i="23"/>
  <c r="AW45" i="23" s="1"/>
  <c r="BB45" i="23"/>
  <c r="BA21" i="23"/>
  <c r="BA106" i="23"/>
  <c r="AT106" i="23"/>
  <c r="AV106" i="23" s="1"/>
  <c r="AZ106" i="23" s="1"/>
  <c r="BA35" i="23"/>
  <c r="AT69" i="23"/>
  <c r="AV69" i="23" s="1"/>
  <c r="AZ69" i="23" s="1"/>
  <c r="BA69" i="23"/>
  <c r="BB40" i="23"/>
  <c r="BC40" i="23"/>
  <c r="AW40" i="23" s="1"/>
  <c r="BA32" i="23"/>
  <c r="AT42" i="23"/>
  <c r="AV42" i="23" s="1"/>
  <c r="AZ42" i="23" s="1"/>
  <c r="BA42" i="23"/>
  <c r="BA51" i="23"/>
  <c r="AT51" i="23"/>
  <c r="AV51" i="23" s="1"/>
  <c r="AZ51" i="23" s="1"/>
  <c r="BA16" i="23"/>
  <c r="BA86" i="23"/>
  <c r="BA63" i="23"/>
  <c r="AT41" i="23"/>
  <c r="AV41" i="23" s="1"/>
  <c r="AZ41" i="23" s="1"/>
  <c r="BA41" i="23"/>
  <c r="BA39" i="23"/>
  <c r="BC41" i="23"/>
  <c r="AW41" i="23" s="1"/>
  <c r="BB41" i="23"/>
  <c r="BC13" i="23"/>
  <c r="AW13" i="23" s="1"/>
  <c r="BB13" i="23"/>
  <c r="BA46" i="23"/>
  <c r="BA50" i="23"/>
  <c r="BA67" i="23"/>
  <c r="BC109" i="23"/>
  <c r="AW109" i="23" s="1"/>
  <c r="BB109" i="23"/>
  <c r="BC15" i="23"/>
  <c r="AW15" i="23" s="1"/>
  <c r="BB15" i="23"/>
  <c r="BB51" i="23"/>
  <c r="BC51" i="23"/>
  <c r="AW51" i="23" s="1"/>
  <c r="BA14" i="23"/>
  <c r="AT73" i="23"/>
  <c r="AV73" i="23" s="1"/>
  <c r="AZ73" i="23" s="1"/>
  <c r="BA73" i="23"/>
  <c r="BB81" i="23"/>
  <c r="BC81" i="23"/>
  <c r="AW81" i="23" s="1"/>
  <c r="BC73" i="23"/>
  <c r="AW73" i="23" s="1"/>
  <c r="BB73" i="23"/>
  <c r="BA76" i="23"/>
  <c r="BA56" i="23"/>
  <c r="AT56" i="23"/>
  <c r="AV56" i="23" s="1"/>
  <c r="AZ56" i="23" s="1"/>
  <c r="BA90" i="23"/>
  <c r="BA33" i="23"/>
  <c r="AT45" i="23"/>
  <c r="AV45" i="23" s="1"/>
  <c r="AZ45" i="23" s="1"/>
  <c r="BA45" i="23"/>
  <c r="BA53" i="23"/>
  <c r="AT53" i="23"/>
  <c r="AV53" i="23" s="1"/>
  <c r="AZ53" i="23" s="1"/>
  <c r="BA68" i="23"/>
  <c r="BA44" i="23"/>
  <c r="BB55" i="23"/>
  <c r="BC55" i="23"/>
  <c r="AW55" i="23" s="1"/>
  <c r="BA37" i="23"/>
  <c r="BA54" i="23"/>
  <c r="BC42" i="23"/>
  <c r="AW42" i="23" s="1"/>
  <c r="BB42" i="23"/>
  <c r="BC92" i="23"/>
  <c r="AW92" i="23" s="1"/>
  <c r="BB92" i="23"/>
  <c r="BA98" i="23"/>
  <c r="BA95" i="23"/>
  <c r="BA81" i="23"/>
  <c r="AT81" i="23"/>
  <c r="AV81" i="23" s="1"/>
  <c r="AZ81" i="23" s="1"/>
  <c r="BA15" i="23"/>
  <c r="AT15" i="23"/>
  <c r="AV15" i="23" s="1"/>
  <c r="AZ15" i="23" s="1"/>
  <c r="AT40" i="23"/>
  <c r="AV40" i="23" s="1"/>
  <c r="AZ40" i="23" s="1"/>
  <c r="BA40" i="23"/>
  <c r="AT104" i="23"/>
  <c r="AV104" i="23" s="1"/>
  <c r="AZ104" i="23" s="1"/>
  <c r="BA104" i="23"/>
  <c r="BA11" i="23"/>
  <c r="AT11" i="23"/>
  <c r="AV11" i="23" s="1"/>
  <c r="AZ11" i="23" s="1"/>
  <c r="BA31" i="23"/>
  <c r="AT13" i="23"/>
  <c r="AV13" i="23" s="1"/>
  <c r="AZ13" i="23" s="1"/>
  <c r="BA13" i="23"/>
  <c r="BA22" i="23"/>
  <c r="BA27" i="23"/>
  <c r="AT27" i="23"/>
  <c r="AV27" i="23" s="1"/>
  <c r="AZ27" i="23" s="1"/>
  <c r="BC53" i="23"/>
  <c r="AW53" i="23" s="1"/>
  <c r="BB53" i="23"/>
  <c r="BA49" i="23"/>
  <c r="AT49" i="23"/>
  <c r="AV49" i="23" s="1"/>
  <c r="AZ49" i="23" s="1"/>
  <c r="BA55" i="23"/>
  <c r="AT55" i="23"/>
  <c r="AV55" i="23" s="1"/>
  <c r="AZ55" i="23" s="1"/>
  <c r="BA78" i="23"/>
  <c r="BB52" i="23"/>
  <c r="BC52" i="23"/>
  <c r="AW52" i="23" s="1"/>
  <c r="BA103" i="23"/>
  <c r="BB85" i="23"/>
  <c r="BC85" i="23"/>
  <c r="AW85" i="23" s="1"/>
  <c r="BA25" i="23"/>
  <c r="AT25" i="23"/>
  <c r="AV25" i="23" s="1"/>
  <c r="AZ25" i="23" s="1"/>
  <c r="BA94" i="23"/>
  <c r="BB48" i="23"/>
  <c r="BC48" i="23"/>
  <c r="AW48" i="23" s="1"/>
  <c r="BA23" i="23"/>
  <c r="AT23" i="23"/>
  <c r="AV23" i="23" s="1"/>
  <c r="AZ23" i="23" s="1"/>
  <c r="BA58" i="23"/>
  <c r="AT58" i="23"/>
  <c r="AV58" i="23" s="1"/>
  <c r="AZ58" i="23" s="1"/>
  <c r="BA66" i="23"/>
  <c r="BB106" i="23"/>
  <c r="BC106" i="23"/>
  <c r="AW106" i="23" s="1"/>
  <c r="BA19" i="23"/>
  <c r="BA96" i="23"/>
  <c r="BA48" i="23"/>
  <c r="AT48" i="23"/>
  <c r="AV48" i="23" s="1"/>
  <c r="AZ48" i="23" s="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2" i="1"/>
  <c r="E18" i="1"/>
  <c r="F4" i="17"/>
  <c r="E23" i="1"/>
  <c r="B72" i="1"/>
  <c r="E34" i="1"/>
  <c r="B125" i="2"/>
  <c r="L126" i="2" s="1"/>
  <c r="L127" i="2"/>
  <c r="K126" i="2"/>
  <c r="E45" i="1"/>
  <c r="B199" i="2"/>
  <c r="N4" i="17" s="1"/>
  <c r="F7" i="17"/>
  <c r="B217" i="2"/>
  <c r="H120" i="2"/>
  <c r="D48" i="16" l="1"/>
  <c r="BC72" i="23"/>
  <c r="AW72" i="23" s="1"/>
  <c r="AT63" i="23"/>
  <c r="AV63" i="23" s="1"/>
  <c r="AZ63" i="23" s="1"/>
  <c r="AT72" i="23"/>
  <c r="AV72" i="23" s="1"/>
  <c r="AZ72" i="23" s="1"/>
  <c r="BB63" i="23"/>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AT35" i="23"/>
  <c r="AV35" i="23" s="1"/>
  <c r="AZ35" i="23" s="1"/>
  <c r="AT44" i="23"/>
  <c r="AV44" i="23" s="1"/>
  <c r="AZ44" i="23" s="1"/>
  <c r="BB76" i="23"/>
  <c r="F73" i="1"/>
  <c r="C5" i="25"/>
  <c r="F74" i="1"/>
  <c r="C4" i="25"/>
  <c r="F5" i="17"/>
  <c r="C632" i="25"/>
  <c r="D612" i="25"/>
  <c r="D610" i="25"/>
  <c r="A622" i="25"/>
  <c r="C612" i="25"/>
  <c r="C610" i="25"/>
  <c r="C613" i="25"/>
  <c r="C611" i="25"/>
  <c r="C609" i="25"/>
  <c r="C607" i="25"/>
  <c r="D613" i="25"/>
  <c r="C606" i="25"/>
  <c r="C604" i="25"/>
  <c r="C602" i="25"/>
  <c r="C600" i="25"/>
  <c r="C598" i="25"/>
  <c r="D605" i="25"/>
  <c r="D603" i="25"/>
  <c r="D601" i="25"/>
  <c r="D599" i="25"/>
  <c r="D597" i="25"/>
  <c r="D611" i="25"/>
  <c r="D609" i="25"/>
  <c r="C608" i="25"/>
  <c r="D607" i="25"/>
  <c r="D606" i="25"/>
  <c r="D604" i="25"/>
  <c r="D602" i="25"/>
  <c r="D600" i="25"/>
  <c r="D598" i="25"/>
  <c r="D596" i="25"/>
  <c r="D594" i="25"/>
  <c r="C599" i="25"/>
  <c r="C596" i="25"/>
  <c r="C595" i="25"/>
  <c r="D593" i="25"/>
  <c r="D591" i="25"/>
  <c r="D589" i="25"/>
  <c r="D587" i="25"/>
  <c r="D585" i="25"/>
  <c r="C601" i="25"/>
  <c r="C594" i="25"/>
  <c r="C593" i="25"/>
  <c r="C591" i="25"/>
  <c r="C589" i="25"/>
  <c r="C587" i="25"/>
  <c r="C585" i="25"/>
  <c r="D608" i="25"/>
  <c r="C605" i="25"/>
  <c r="C597" i="25"/>
  <c r="D595" i="25"/>
  <c r="C592" i="25"/>
  <c r="C590" i="25"/>
  <c r="C588" i="25"/>
  <c r="C586" i="25"/>
  <c r="C584" i="25"/>
  <c r="C582" i="25"/>
  <c r="C580" i="25"/>
  <c r="C578" i="25"/>
  <c r="D588" i="25"/>
  <c r="D584" i="25"/>
  <c r="D583" i="25"/>
  <c r="C576" i="25"/>
  <c r="C574" i="25"/>
  <c r="C572" i="25"/>
  <c r="C570" i="25"/>
  <c r="C568" i="25"/>
  <c r="C566" i="25"/>
  <c r="C564" i="25"/>
  <c r="C562" i="25"/>
  <c r="C560" i="25"/>
  <c r="C558" i="25"/>
  <c r="D590" i="25"/>
  <c r="C583" i="25"/>
  <c r="D582" i="25"/>
  <c r="D581" i="25"/>
  <c r="D577" i="25"/>
  <c r="D575" i="25"/>
  <c r="D573" i="25"/>
  <c r="D571" i="25"/>
  <c r="D569" i="25"/>
  <c r="D567" i="25"/>
  <c r="D565" i="25"/>
  <c r="C603" i="25"/>
  <c r="D586" i="25"/>
  <c r="C579" i="25"/>
  <c r="D578" i="25"/>
  <c r="D576" i="25"/>
  <c r="D574" i="25"/>
  <c r="D572" i="25"/>
  <c r="D570" i="25"/>
  <c r="D568" i="25"/>
  <c r="D566" i="25"/>
  <c r="D592" i="25"/>
  <c r="C571" i="25"/>
  <c r="C563" i="25"/>
  <c r="D562" i="25"/>
  <c r="D561" i="25"/>
  <c r="C555" i="25"/>
  <c r="C553" i="25"/>
  <c r="C551" i="25"/>
  <c r="C549" i="25"/>
  <c r="C547" i="25"/>
  <c r="C545" i="25"/>
  <c r="C543" i="25"/>
  <c r="C541" i="25"/>
  <c r="C539" i="25"/>
  <c r="C537" i="25"/>
  <c r="C535" i="25"/>
  <c r="C533" i="25"/>
  <c r="C531" i="25"/>
  <c r="C529" i="25"/>
  <c r="C527" i="25"/>
  <c r="C581" i="25"/>
  <c r="D580" i="25"/>
  <c r="C573" i="25"/>
  <c r="C565" i="25"/>
  <c r="C561" i="25"/>
  <c r="D560" i="25"/>
  <c r="D559" i="25"/>
  <c r="D556" i="25"/>
  <c r="D554" i="25"/>
  <c r="D552" i="25"/>
  <c r="D550" i="25"/>
  <c r="D548" i="25"/>
  <c r="D546" i="25"/>
  <c r="D544" i="25"/>
  <c r="D542" i="25"/>
  <c r="D540" i="25"/>
  <c r="C577" i="25"/>
  <c r="C569" i="25"/>
  <c r="D564" i="25"/>
  <c r="D563" i="25"/>
  <c r="C557" i="25"/>
  <c r="D555" i="25"/>
  <c r="D553" i="25"/>
  <c r="D551" i="25"/>
  <c r="D549" i="25"/>
  <c r="D547" i="25"/>
  <c r="D545" i="25"/>
  <c r="D543" i="25"/>
  <c r="D541" i="25"/>
  <c r="C559" i="25"/>
  <c r="D558" i="25"/>
  <c r="C552" i="25"/>
  <c r="C544" i="25"/>
  <c r="D539" i="25"/>
  <c r="C534" i="25"/>
  <c r="D533" i="25"/>
  <c r="D532" i="25"/>
  <c r="C526" i="25"/>
  <c r="D525" i="25"/>
  <c r="D557" i="25"/>
  <c r="C554" i="25"/>
  <c r="C546" i="25"/>
  <c r="D538" i="25"/>
  <c r="C532" i="25"/>
  <c r="D531" i="25"/>
  <c r="D530" i="25"/>
  <c r="C525" i="25"/>
  <c r="D579" i="25"/>
  <c r="C575" i="25"/>
  <c r="C550" i="25"/>
  <c r="C542" i="25"/>
  <c r="C536" i="25"/>
  <c r="D535" i="25"/>
  <c r="D534" i="25"/>
  <c r="C528" i="25"/>
  <c r="D527" i="25"/>
  <c r="D526" i="25"/>
  <c r="C524" i="25"/>
  <c r="C522" i="25"/>
  <c r="C520" i="25"/>
  <c r="C518" i="25"/>
  <c r="C516" i="25"/>
  <c r="C514" i="25"/>
  <c r="C512" i="25"/>
  <c r="C567" i="25"/>
  <c r="C521" i="25"/>
  <c r="D520" i="25"/>
  <c r="D519" i="25"/>
  <c r="C513" i="25"/>
  <c r="D512" i="25"/>
  <c r="C511" i="25"/>
  <c r="C509" i="25"/>
  <c r="C507" i="25"/>
  <c r="C505" i="25"/>
  <c r="C503" i="25"/>
  <c r="C501" i="25"/>
  <c r="C499" i="25"/>
  <c r="C497" i="25"/>
  <c r="C495" i="25"/>
  <c r="C493" i="25"/>
  <c r="C491" i="25"/>
  <c r="C489" i="25"/>
  <c r="C487" i="25"/>
  <c r="C485" i="25"/>
  <c r="C483" i="25"/>
  <c r="C481" i="25"/>
  <c r="C479" i="25"/>
  <c r="C477" i="25"/>
  <c r="C475" i="25"/>
  <c r="C473" i="25"/>
  <c r="C471" i="25"/>
  <c r="C469" i="25"/>
  <c r="C467" i="25"/>
  <c r="C465" i="25"/>
  <c r="C540" i="25"/>
  <c r="C538" i="25"/>
  <c r="D537" i="25"/>
  <c r="C519" i="25"/>
  <c r="D518" i="25"/>
  <c r="D517" i="25"/>
  <c r="D510" i="25"/>
  <c r="D508" i="25"/>
  <c r="D506" i="25"/>
  <c r="D504" i="25"/>
  <c r="D502" i="25"/>
  <c r="D500" i="25"/>
  <c r="D498" i="25"/>
  <c r="D496" i="25"/>
  <c r="D494" i="25"/>
  <c r="D492" i="25"/>
  <c r="D490" i="25"/>
  <c r="D488" i="25"/>
  <c r="D486" i="25"/>
  <c r="D484" i="25"/>
  <c r="C556" i="25"/>
  <c r="D528" i="25"/>
  <c r="C523" i="25"/>
  <c r="D522" i="25"/>
  <c r="D521" i="25"/>
  <c r="C515" i="25"/>
  <c r="D514" i="25"/>
  <c r="D513" i="25"/>
  <c r="D511" i="25"/>
  <c r="D509" i="25"/>
  <c r="D507" i="25"/>
  <c r="D505" i="25"/>
  <c r="D503" i="25"/>
  <c r="D501" i="25"/>
  <c r="D499" i="25"/>
  <c r="D497" i="25"/>
  <c r="D495" i="25"/>
  <c r="D493" i="25"/>
  <c r="D491" i="25"/>
  <c r="D489" i="25"/>
  <c r="D487" i="25"/>
  <c r="D485" i="25"/>
  <c r="C548" i="25"/>
  <c r="C504" i="25"/>
  <c r="C496" i="25"/>
  <c r="C488" i="25"/>
  <c r="D483" i="25"/>
  <c r="C478" i="25"/>
  <c r="D477" i="25"/>
  <c r="D476" i="25"/>
  <c r="C470" i="25"/>
  <c r="D469" i="25"/>
  <c r="D468" i="25"/>
  <c r="D464" i="25"/>
  <c r="D462" i="25"/>
  <c r="D460" i="25"/>
  <c r="D458" i="25"/>
  <c r="D456" i="25"/>
  <c r="D454" i="25"/>
  <c r="D452" i="25"/>
  <c r="D450" i="25"/>
  <c r="D448" i="25"/>
  <c r="D446" i="25"/>
  <c r="D444" i="25"/>
  <c r="D442" i="25"/>
  <c r="D440" i="25"/>
  <c r="D438" i="25"/>
  <c r="D436" i="25"/>
  <c r="D434" i="25"/>
  <c r="D432" i="25"/>
  <c r="D430" i="25"/>
  <c r="D428" i="25"/>
  <c r="D426" i="25"/>
  <c r="D424" i="25"/>
  <c r="D422" i="25"/>
  <c r="D420" i="25"/>
  <c r="D418" i="25"/>
  <c r="D416" i="25"/>
  <c r="D414" i="25"/>
  <c r="D412" i="25"/>
  <c r="D410" i="25"/>
  <c r="D408" i="25"/>
  <c r="D406" i="25"/>
  <c r="D404" i="25"/>
  <c r="D402" i="25"/>
  <c r="D536" i="25"/>
  <c r="C530" i="25"/>
  <c r="D524" i="25"/>
  <c r="D523" i="25"/>
  <c r="C517" i="25"/>
  <c r="D516" i="25"/>
  <c r="C506" i="25"/>
  <c r="C498" i="25"/>
  <c r="C490" i="25"/>
  <c r="D482" i="25"/>
  <c r="C476" i="25"/>
  <c r="D475" i="25"/>
  <c r="D474" i="25"/>
  <c r="C468" i="25"/>
  <c r="D467" i="25"/>
  <c r="D466" i="25"/>
  <c r="C464" i="25"/>
  <c r="C462" i="25"/>
  <c r="C460" i="25"/>
  <c r="C458" i="25"/>
  <c r="C456" i="25"/>
  <c r="C454" i="25"/>
  <c r="C452" i="25"/>
  <c r="C450" i="25"/>
  <c r="C448" i="25"/>
  <c r="C446" i="25"/>
  <c r="C444" i="25"/>
  <c r="C442" i="25"/>
  <c r="C440" i="25"/>
  <c r="C438" i="25"/>
  <c r="C436" i="25"/>
  <c r="C434" i="25"/>
  <c r="C432" i="25"/>
  <c r="C430" i="25"/>
  <c r="C428" i="25"/>
  <c r="D529" i="25"/>
  <c r="C510" i="25"/>
  <c r="C502" i="25"/>
  <c r="C494" i="25"/>
  <c r="C486" i="25"/>
  <c r="C480" i="25"/>
  <c r="D479" i="25"/>
  <c r="D478" i="25"/>
  <c r="C472" i="25"/>
  <c r="D471" i="25"/>
  <c r="D470" i="25"/>
  <c r="C463" i="25"/>
  <c r="C461" i="25"/>
  <c r="C459" i="25"/>
  <c r="C457" i="25"/>
  <c r="C455" i="25"/>
  <c r="C453" i="25"/>
  <c r="C451" i="25"/>
  <c r="C449" i="25"/>
  <c r="C447" i="25"/>
  <c r="C445" i="25"/>
  <c r="C443" i="25"/>
  <c r="C441" i="25"/>
  <c r="C439" i="25"/>
  <c r="C437" i="25"/>
  <c r="C435" i="25"/>
  <c r="C433" i="25"/>
  <c r="C431" i="25"/>
  <c r="C429" i="25"/>
  <c r="C508" i="25"/>
  <c r="D472" i="25"/>
  <c r="C466" i="25"/>
  <c r="D465" i="25"/>
  <c r="D459" i="25"/>
  <c r="D451" i="25"/>
  <c r="D443" i="25"/>
  <c r="D435" i="25"/>
  <c r="C426" i="25"/>
  <c r="C425" i="25"/>
  <c r="D423" i="25"/>
  <c r="C418" i="25"/>
  <c r="C417" i="25"/>
  <c r="D415" i="25"/>
  <c r="C410" i="25"/>
  <c r="C409" i="25"/>
  <c r="D407" i="25"/>
  <c r="C402" i="25"/>
  <c r="C401" i="25"/>
  <c r="D515" i="25"/>
  <c r="D461" i="25"/>
  <c r="D453" i="25"/>
  <c r="D445" i="25"/>
  <c r="D437" i="25"/>
  <c r="D429" i="25"/>
  <c r="C424" i="25"/>
  <c r="C423" i="25"/>
  <c r="D421" i="25"/>
  <c r="C416" i="25"/>
  <c r="C415" i="25"/>
  <c r="D413" i="25"/>
  <c r="C408" i="25"/>
  <c r="C407" i="25"/>
  <c r="D405" i="25"/>
  <c r="C500" i="25"/>
  <c r="D480" i="25"/>
  <c r="C474" i="25"/>
  <c r="D473" i="25"/>
  <c r="D457" i="25"/>
  <c r="D449" i="25"/>
  <c r="D441" i="25"/>
  <c r="D433" i="25"/>
  <c r="C427" i="25"/>
  <c r="D425" i="25"/>
  <c r="C420" i="25"/>
  <c r="C419" i="25"/>
  <c r="D417" i="25"/>
  <c r="C412" i="25"/>
  <c r="C411" i="25"/>
  <c r="D409" i="25"/>
  <c r="C404" i="25"/>
  <c r="C403" i="25"/>
  <c r="D401" i="25"/>
  <c r="D399" i="25"/>
  <c r="D397" i="25"/>
  <c r="D395" i="25"/>
  <c r="D393" i="25"/>
  <c r="D391" i="25"/>
  <c r="D389" i="25"/>
  <c r="D387" i="25"/>
  <c r="D385" i="25"/>
  <c r="D383" i="25"/>
  <c r="D381" i="25"/>
  <c r="D379" i="25"/>
  <c r="D377" i="25"/>
  <c r="C484" i="25"/>
  <c r="D455" i="25"/>
  <c r="D419" i="25"/>
  <c r="C406" i="25"/>
  <c r="C405" i="25"/>
  <c r="C399" i="25"/>
  <c r="C398" i="25"/>
  <c r="D396" i="25"/>
  <c r="C391" i="25"/>
  <c r="C390" i="25"/>
  <c r="D388" i="25"/>
  <c r="C383" i="25"/>
  <c r="C382" i="25"/>
  <c r="D380" i="25"/>
  <c r="D375" i="25"/>
  <c r="D373" i="25"/>
  <c r="D371" i="25"/>
  <c r="D369" i="25"/>
  <c r="D367" i="25"/>
  <c r="D365" i="25"/>
  <c r="D363" i="25"/>
  <c r="D361" i="25"/>
  <c r="D359" i="25"/>
  <c r="D357" i="25"/>
  <c r="D355" i="25"/>
  <c r="D353" i="25"/>
  <c r="D351" i="25"/>
  <c r="D349" i="25"/>
  <c r="D347" i="25"/>
  <c r="D345" i="25"/>
  <c r="D343" i="25"/>
  <c r="D341" i="25"/>
  <c r="D339" i="25"/>
  <c r="D337" i="25"/>
  <c r="D335" i="25"/>
  <c r="D333" i="25"/>
  <c r="D331" i="25"/>
  <c r="D329" i="25"/>
  <c r="D327" i="25"/>
  <c r="D325" i="25"/>
  <c r="D323" i="25"/>
  <c r="D321" i="25"/>
  <c r="D319" i="25"/>
  <c r="D317" i="25"/>
  <c r="D315" i="25"/>
  <c r="D313" i="25"/>
  <c r="D311" i="25"/>
  <c r="D309" i="25"/>
  <c r="D307" i="25"/>
  <c r="D305" i="25"/>
  <c r="D303" i="25"/>
  <c r="D301" i="25"/>
  <c r="D299" i="25"/>
  <c r="D297" i="25"/>
  <c r="D295" i="25"/>
  <c r="D293" i="25"/>
  <c r="D291" i="25"/>
  <c r="D289" i="25"/>
  <c r="D287" i="25"/>
  <c r="D285" i="25"/>
  <c r="D283" i="25"/>
  <c r="D281" i="25"/>
  <c r="D279" i="25"/>
  <c r="C482" i="25"/>
  <c r="D463" i="25"/>
  <c r="D431" i="25"/>
  <c r="D411" i="25"/>
  <c r="C397" i="25"/>
  <c r="C396" i="25"/>
  <c r="D394" i="25"/>
  <c r="C389" i="25"/>
  <c r="C388" i="25"/>
  <c r="D386" i="25"/>
  <c r="C381" i="25"/>
  <c r="C380" i="25"/>
  <c r="D378" i="25"/>
  <c r="C375" i="25"/>
  <c r="C373" i="25"/>
  <c r="C371" i="25"/>
  <c r="C369" i="25"/>
  <c r="C367" i="25"/>
  <c r="C365" i="25"/>
  <c r="D481" i="25"/>
  <c r="D447" i="25"/>
  <c r="D427" i="25"/>
  <c r="C414" i="25"/>
  <c r="C413" i="25"/>
  <c r="C400" i="25"/>
  <c r="D398" i="25"/>
  <c r="C393" i="25"/>
  <c r="C392" i="25"/>
  <c r="D390" i="25"/>
  <c r="C385" i="25"/>
  <c r="C384" i="25"/>
  <c r="D382" i="25"/>
  <c r="C377" i="25"/>
  <c r="C376" i="25"/>
  <c r="C374" i="25"/>
  <c r="C372" i="25"/>
  <c r="C370" i="25"/>
  <c r="C368" i="25"/>
  <c r="C366" i="25"/>
  <c r="C364" i="25"/>
  <c r="C362" i="25"/>
  <c r="C360" i="25"/>
  <c r="C358" i="25"/>
  <c r="C356" i="25"/>
  <c r="C354" i="25"/>
  <c r="C352" i="25"/>
  <c r="C350" i="25"/>
  <c r="C348" i="25"/>
  <c r="C346" i="25"/>
  <c r="D392" i="25"/>
  <c r="C379" i="25"/>
  <c r="C378" i="25"/>
  <c r="D368" i="25"/>
  <c r="C341" i="25"/>
  <c r="C340" i="25"/>
  <c r="D338" i="25"/>
  <c r="C333" i="25"/>
  <c r="C332" i="25"/>
  <c r="D330" i="25"/>
  <c r="C325" i="25"/>
  <c r="C324" i="25"/>
  <c r="D322" i="25"/>
  <c r="C317" i="25"/>
  <c r="C316" i="25"/>
  <c r="D314" i="25"/>
  <c r="C309" i="25"/>
  <c r="C308" i="25"/>
  <c r="D306" i="25"/>
  <c r="C301" i="25"/>
  <c r="C300" i="25"/>
  <c r="D298" i="25"/>
  <c r="C293" i="25"/>
  <c r="C292" i="25"/>
  <c r="D290" i="25"/>
  <c r="C285" i="25"/>
  <c r="C284" i="25"/>
  <c r="D282" i="25"/>
  <c r="D278" i="25"/>
  <c r="D276" i="25"/>
  <c r="D274" i="25"/>
  <c r="D272" i="25"/>
  <c r="D270" i="25"/>
  <c r="D268" i="25"/>
  <c r="D266" i="25"/>
  <c r="C421" i="25"/>
  <c r="D384" i="25"/>
  <c r="D370" i="25"/>
  <c r="D364" i="25"/>
  <c r="C363" i="25"/>
  <c r="D360" i="25"/>
  <c r="C359" i="25"/>
  <c r="D356" i="25"/>
  <c r="C355" i="25"/>
  <c r="D352" i="25"/>
  <c r="C351" i="25"/>
  <c r="D348" i="25"/>
  <c r="C347" i="25"/>
  <c r="D344" i="25"/>
  <c r="C339" i="25"/>
  <c r="C338" i="25"/>
  <c r="D336" i="25"/>
  <c r="C331" i="25"/>
  <c r="C330" i="25"/>
  <c r="D328" i="25"/>
  <c r="C323" i="25"/>
  <c r="C322" i="25"/>
  <c r="D320" i="25"/>
  <c r="C315" i="25"/>
  <c r="C314" i="25"/>
  <c r="D312" i="25"/>
  <c r="C307" i="25"/>
  <c r="C306" i="25"/>
  <c r="D304" i="25"/>
  <c r="C299" i="25"/>
  <c r="C298" i="25"/>
  <c r="D296" i="25"/>
  <c r="C291" i="25"/>
  <c r="C290" i="25"/>
  <c r="D288" i="25"/>
  <c r="C283" i="25"/>
  <c r="C282" i="25"/>
  <c r="D280" i="25"/>
  <c r="C278" i="25"/>
  <c r="C276" i="25"/>
  <c r="C274" i="25"/>
  <c r="C272" i="25"/>
  <c r="C270" i="25"/>
  <c r="C268" i="25"/>
  <c r="C266" i="25"/>
  <c r="C492" i="25"/>
  <c r="D439" i="25"/>
  <c r="C422" i="25"/>
  <c r="D403" i="25"/>
  <c r="D400" i="25"/>
  <c r="C387" i="25"/>
  <c r="C386" i="25"/>
  <c r="D374" i="25"/>
  <c r="D366" i="25"/>
  <c r="D362" i="25"/>
  <c r="C361" i="25"/>
  <c r="D358" i="25"/>
  <c r="C357" i="25"/>
  <c r="D354" i="25"/>
  <c r="C353" i="25"/>
  <c r="D350" i="25"/>
  <c r="C349" i="25"/>
  <c r="D346" i="25"/>
  <c r="C345" i="25"/>
  <c r="C343" i="25"/>
  <c r="C342" i="25"/>
  <c r="D340" i="25"/>
  <c r="C335" i="25"/>
  <c r="C334" i="25"/>
  <c r="D332" i="25"/>
  <c r="C327" i="25"/>
  <c r="C326" i="25"/>
  <c r="D324" i="25"/>
  <c r="C319" i="25"/>
  <c r="C318" i="25"/>
  <c r="D316" i="25"/>
  <c r="C311" i="25"/>
  <c r="C310" i="25"/>
  <c r="D308" i="25"/>
  <c r="C303" i="25"/>
  <c r="C302" i="25"/>
  <c r="D300" i="25"/>
  <c r="C295" i="25"/>
  <c r="C294" i="25"/>
  <c r="D292" i="25"/>
  <c r="C287" i="25"/>
  <c r="C286" i="25"/>
  <c r="D284" i="25"/>
  <c r="C279" i="25"/>
  <c r="C277" i="25"/>
  <c r="C275" i="25"/>
  <c r="C273" i="25"/>
  <c r="C271" i="25"/>
  <c r="C269" i="25"/>
  <c r="C267" i="25"/>
  <c r="C265" i="25"/>
  <c r="C263" i="25"/>
  <c r="C261" i="25"/>
  <c r="C259" i="25"/>
  <c r="C257" i="25"/>
  <c r="C255" i="25"/>
  <c r="C253" i="25"/>
  <c r="C251" i="25"/>
  <c r="C249" i="25"/>
  <c r="C247" i="25"/>
  <c r="C245" i="25"/>
  <c r="C243" i="25"/>
  <c r="C241" i="25"/>
  <c r="C239" i="25"/>
  <c r="C237" i="25"/>
  <c r="C235" i="25"/>
  <c r="C233" i="25"/>
  <c r="C231" i="25"/>
  <c r="C229" i="25"/>
  <c r="C227" i="25"/>
  <c r="C394" i="25"/>
  <c r="C337" i="25"/>
  <c r="C336" i="25"/>
  <c r="D318" i="25"/>
  <c r="C305" i="25"/>
  <c r="C304" i="25"/>
  <c r="D286" i="25"/>
  <c r="D271" i="25"/>
  <c r="C260" i="25"/>
  <c r="D259" i="25"/>
  <c r="D258" i="25"/>
  <c r="C252" i="25"/>
  <c r="D251" i="25"/>
  <c r="D250" i="25"/>
  <c r="C244" i="25"/>
  <c r="D243" i="25"/>
  <c r="D242" i="25"/>
  <c r="C236" i="25"/>
  <c r="D235" i="25"/>
  <c r="D234" i="25"/>
  <c r="C228" i="25"/>
  <c r="D227" i="25"/>
  <c r="D226" i="25"/>
  <c r="C225" i="25"/>
  <c r="C223" i="25"/>
  <c r="C221" i="25"/>
  <c r="C219" i="25"/>
  <c r="C217" i="25"/>
  <c r="C215" i="25"/>
  <c r="C213" i="25"/>
  <c r="C211" i="25"/>
  <c r="C209" i="25"/>
  <c r="C207" i="25"/>
  <c r="C205" i="25"/>
  <c r="C203" i="25"/>
  <c r="C201" i="25"/>
  <c r="C199" i="25"/>
  <c r="C197" i="25"/>
  <c r="C195" i="25"/>
  <c r="C193" i="25"/>
  <c r="C191" i="25"/>
  <c r="C189" i="25"/>
  <c r="C187" i="25"/>
  <c r="C185" i="25"/>
  <c r="C183" i="25"/>
  <c r="C181" i="25"/>
  <c r="C179" i="25"/>
  <c r="C177" i="25"/>
  <c r="C175" i="25"/>
  <c r="C173" i="25"/>
  <c r="C171" i="25"/>
  <c r="C169" i="25"/>
  <c r="C167" i="25"/>
  <c r="C165" i="25"/>
  <c r="C163" i="25"/>
  <c r="C161" i="25"/>
  <c r="C159" i="25"/>
  <c r="C157" i="25"/>
  <c r="C155" i="25"/>
  <c r="C153" i="25"/>
  <c r="C151" i="25"/>
  <c r="C149" i="25"/>
  <c r="C147" i="25"/>
  <c r="C145" i="25"/>
  <c r="C143" i="25"/>
  <c r="C141" i="25"/>
  <c r="C139" i="25"/>
  <c r="C137" i="25"/>
  <c r="C135" i="25"/>
  <c r="C133" i="25"/>
  <c r="C131" i="25"/>
  <c r="C129" i="25"/>
  <c r="C127" i="25"/>
  <c r="C125" i="25"/>
  <c r="C123" i="25"/>
  <c r="C121" i="25"/>
  <c r="D372" i="25"/>
  <c r="D342" i="25"/>
  <c r="C329" i="25"/>
  <c r="C328" i="25"/>
  <c r="D310" i="25"/>
  <c r="C297" i="25"/>
  <c r="C296" i="25"/>
  <c r="D273" i="25"/>
  <c r="D265" i="25"/>
  <c r="D264" i="25"/>
  <c r="C258" i="25"/>
  <c r="D257" i="25"/>
  <c r="D256" i="25"/>
  <c r="C250" i="25"/>
  <c r="D249" i="25"/>
  <c r="D248" i="25"/>
  <c r="C242" i="25"/>
  <c r="D241" i="25"/>
  <c r="D240" i="25"/>
  <c r="C234" i="25"/>
  <c r="D233" i="25"/>
  <c r="D232" i="25"/>
  <c r="C226" i="25"/>
  <c r="D224" i="25"/>
  <c r="D222" i="25"/>
  <c r="D220" i="25"/>
  <c r="C344" i="25"/>
  <c r="D326" i="25"/>
  <c r="C313" i="25"/>
  <c r="C312" i="25"/>
  <c r="D294" i="25"/>
  <c r="C281" i="25"/>
  <c r="C280" i="25"/>
  <c r="D277" i="25"/>
  <c r="D269" i="25"/>
  <c r="C262" i="25"/>
  <c r="D261" i="25"/>
  <c r="D260" i="25"/>
  <c r="C254" i="25"/>
  <c r="D253" i="25"/>
  <c r="D252" i="25"/>
  <c r="C246" i="25"/>
  <c r="D245" i="25"/>
  <c r="D244" i="25"/>
  <c r="C238" i="25"/>
  <c r="D237" i="25"/>
  <c r="D236" i="25"/>
  <c r="C230" i="25"/>
  <c r="D229" i="25"/>
  <c r="D228" i="25"/>
  <c r="D225" i="25"/>
  <c r="D223" i="25"/>
  <c r="D221" i="25"/>
  <c r="D219" i="25"/>
  <c r="D217" i="25"/>
  <c r="D215" i="25"/>
  <c r="D213" i="25"/>
  <c r="D211" i="25"/>
  <c r="D209" i="25"/>
  <c r="D207" i="25"/>
  <c r="D205" i="25"/>
  <c r="D203" i="25"/>
  <c r="D201" i="25"/>
  <c r="D199" i="25"/>
  <c r="D197" i="25"/>
  <c r="D195" i="25"/>
  <c r="D193" i="25"/>
  <c r="D191" i="25"/>
  <c r="D189" i="25"/>
  <c r="D187" i="25"/>
  <c r="D185" i="25"/>
  <c r="D183" i="25"/>
  <c r="D181" i="25"/>
  <c r="D179" i="25"/>
  <c r="D177" i="25"/>
  <c r="D175" i="25"/>
  <c r="D173" i="25"/>
  <c r="D171" i="25"/>
  <c r="D169" i="25"/>
  <c r="D167" i="25"/>
  <c r="D165" i="25"/>
  <c r="D163" i="25"/>
  <c r="D161" i="25"/>
  <c r="D159" i="25"/>
  <c r="D157" i="25"/>
  <c r="D155" i="25"/>
  <c r="D153" i="25"/>
  <c r="D151" i="25"/>
  <c r="D149" i="25"/>
  <c r="D147" i="25"/>
  <c r="D145" i="25"/>
  <c r="D143" i="25"/>
  <c r="D141" i="25"/>
  <c r="D139" i="25"/>
  <c r="D137" i="25"/>
  <c r="D135" i="25"/>
  <c r="D133" i="25"/>
  <c r="D131" i="25"/>
  <c r="D129" i="25"/>
  <c r="D127" i="25"/>
  <c r="D125" i="25"/>
  <c r="D123" i="25"/>
  <c r="D121" i="25"/>
  <c r="D119" i="25"/>
  <c r="D117" i="25"/>
  <c r="D115" i="25"/>
  <c r="D113" i="25"/>
  <c r="D111" i="25"/>
  <c r="D109" i="25"/>
  <c r="D107" i="25"/>
  <c r="D105" i="25"/>
  <c r="D103" i="25"/>
  <c r="D101" i="25"/>
  <c r="D99" i="25"/>
  <c r="D97" i="25"/>
  <c r="D95" i="25"/>
  <c r="D93" i="25"/>
  <c r="D91" i="25"/>
  <c r="D89" i="25"/>
  <c r="D87" i="25"/>
  <c r="D85" i="25"/>
  <c r="D83" i="25"/>
  <c r="D81" i="25"/>
  <c r="D79" i="25"/>
  <c r="D77" i="25"/>
  <c r="D75" i="25"/>
  <c r="D73" i="25"/>
  <c r="D71" i="25"/>
  <c r="D69" i="25"/>
  <c r="D67" i="25"/>
  <c r="D65" i="25"/>
  <c r="D63" i="25"/>
  <c r="D61" i="25"/>
  <c r="D59" i="25"/>
  <c r="D57" i="25"/>
  <c r="D55" i="25"/>
  <c r="D53" i="25"/>
  <c r="D51" i="25"/>
  <c r="D49" i="25"/>
  <c r="D47" i="25"/>
  <c r="D45" i="25"/>
  <c r="D43" i="25"/>
  <c r="D41" i="25"/>
  <c r="D39" i="25"/>
  <c r="D37" i="25"/>
  <c r="D35" i="25"/>
  <c r="D33" i="25"/>
  <c r="D31" i="25"/>
  <c r="D29" i="25"/>
  <c r="D376" i="25"/>
  <c r="C289" i="25"/>
  <c r="D275" i="25"/>
  <c r="D262" i="25"/>
  <c r="C256" i="25"/>
  <c r="D255" i="25"/>
  <c r="D230" i="25"/>
  <c r="C224" i="25"/>
  <c r="D218" i="25"/>
  <c r="D214" i="25"/>
  <c r="D210" i="25"/>
  <c r="D206" i="25"/>
  <c r="D202" i="25"/>
  <c r="D198" i="25"/>
  <c r="D194" i="25"/>
  <c r="D190" i="25"/>
  <c r="D186" i="25"/>
  <c r="D182" i="25"/>
  <c r="D178" i="25"/>
  <c r="D174" i="25"/>
  <c r="D170" i="25"/>
  <c r="D166" i="25"/>
  <c r="D162" i="25"/>
  <c r="D158" i="25"/>
  <c r="D154" i="25"/>
  <c r="D150" i="25"/>
  <c r="D146" i="25"/>
  <c r="D142" i="25"/>
  <c r="D138" i="25"/>
  <c r="D134" i="25"/>
  <c r="D130" i="25"/>
  <c r="D126" i="25"/>
  <c r="D122" i="25"/>
  <c r="C115" i="25"/>
  <c r="C114" i="25"/>
  <c r="D112" i="25"/>
  <c r="C107" i="25"/>
  <c r="C106" i="25"/>
  <c r="D104" i="25"/>
  <c r="C99" i="25"/>
  <c r="C98" i="25"/>
  <c r="D96" i="25"/>
  <c r="C91" i="25"/>
  <c r="C90" i="25"/>
  <c r="D88" i="25"/>
  <c r="C83" i="25"/>
  <c r="C82" i="25"/>
  <c r="D80" i="25"/>
  <c r="C75" i="25"/>
  <c r="C74" i="25"/>
  <c r="D72" i="25"/>
  <c r="C67" i="25"/>
  <c r="C66" i="25"/>
  <c r="D64" i="25"/>
  <c r="C59" i="25"/>
  <c r="C50" i="25"/>
  <c r="D48" i="25"/>
  <c r="C27" i="25"/>
  <c r="C320" i="25"/>
  <c r="D254" i="25"/>
  <c r="C248" i="25"/>
  <c r="D247" i="25"/>
  <c r="C218" i="25"/>
  <c r="C214" i="25"/>
  <c r="C210" i="25"/>
  <c r="C206" i="25"/>
  <c r="C202" i="25"/>
  <c r="C198" i="25"/>
  <c r="C194" i="25"/>
  <c r="C190" i="25"/>
  <c r="C186" i="25"/>
  <c r="C182" i="25"/>
  <c r="C178" i="25"/>
  <c r="C174" i="25"/>
  <c r="C170" i="25"/>
  <c r="C166" i="25"/>
  <c r="C162" i="25"/>
  <c r="C158" i="25"/>
  <c r="C154" i="25"/>
  <c r="C150" i="25"/>
  <c r="C146" i="25"/>
  <c r="C142" i="25"/>
  <c r="C138" i="25"/>
  <c r="C134" i="25"/>
  <c r="C130" i="25"/>
  <c r="C126" i="25"/>
  <c r="C122" i="25"/>
  <c r="D118" i="25"/>
  <c r="C113" i="25"/>
  <c r="C112" i="25"/>
  <c r="D110" i="25"/>
  <c r="C105" i="25"/>
  <c r="C104" i="25"/>
  <c r="D102" i="25"/>
  <c r="C97" i="25"/>
  <c r="C96" i="25"/>
  <c r="D94" i="25"/>
  <c r="C89" i="25"/>
  <c r="C88" i="25"/>
  <c r="D86" i="25"/>
  <c r="C81" i="25"/>
  <c r="C80" i="25"/>
  <c r="D78" i="25"/>
  <c r="C73" i="25"/>
  <c r="C72" i="25"/>
  <c r="D70" i="25"/>
  <c r="C65" i="25"/>
  <c r="C64" i="25"/>
  <c r="D62" i="25"/>
  <c r="C57" i="25"/>
  <c r="C56" i="25"/>
  <c r="D54" i="25"/>
  <c r="C49" i="25"/>
  <c r="C48" i="25"/>
  <c r="D46" i="25"/>
  <c r="C41" i="25"/>
  <c r="C40" i="25"/>
  <c r="C395" i="25"/>
  <c r="C321" i="25"/>
  <c r="D302" i="25"/>
  <c r="D267" i="25"/>
  <c r="C264" i="25"/>
  <c r="D263" i="25"/>
  <c r="D238" i="25"/>
  <c r="C232" i="25"/>
  <c r="D231" i="25"/>
  <c r="C222" i="25"/>
  <c r="C216" i="25"/>
  <c r="C212" i="25"/>
  <c r="C208" i="25"/>
  <c r="C204" i="25"/>
  <c r="C200" i="25"/>
  <c r="C196" i="25"/>
  <c r="C192" i="25"/>
  <c r="C188" i="25"/>
  <c r="C184" i="25"/>
  <c r="C180" i="25"/>
  <c r="C176" i="25"/>
  <c r="C172" i="25"/>
  <c r="C168" i="25"/>
  <c r="C164" i="25"/>
  <c r="C160" i="25"/>
  <c r="C156" i="25"/>
  <c r="C152" i="25"/>
  <c r="C148" i="25"/>
  <c r="C144" i="25"/>
  <c r="C140" i="25"/>
  <c r="C136" i="25"/>
  <c r="C132" i="25"/>
  <c r="C128" i="25"/>
  <c r="C124" i="25"/>
  <c r="C120" i="25"/>
  <c r="C117" i="25"/>
  <c r="C116" i="25"/>
  <c r="D114" i="25"/>
  <c r="C109" i="25"/>
  <c r="C108" i="25"/>
  <c r="D106" i="25"/>
  <c r="C101" i="25"/>
  <c r="C100" i="25"/>
  <c r="D98" i="25"/>
  <c r="C93" i="25"/>
  <c r="C92" i="25"/>
  <c r="D90" i="25"/>
  <c r="C85" i="25"/>
  <c r="C84" i="25"/>
  <c r="D82" i="25"/>
  <c r="C77" i="25"/>
  <c r="C76" i="25"/>
  <c r="D74" i="25"/>
  <c r="C69" i="25"/>
  <c r="C68" i="25"/>
  <c r="D66" i="25"/>
  <c r="C61" i="25"/>
  <c r="C60" i="25"/>
  <c r="D58" i="25"/>
  <c r="C53" i="25"/>
  <c r="C52" i="25"/>
  <c r="D50" i="25"/>
  <c r="C45" i="25"/>
  <c r="C44" i="25"/>
  <c r="D42" i="25"/>
  <c r="C37" i="25"/>
  <c r="C36" i="25"/>
  <c r="D34" i="25"/>
  <c r="C29" i="25"/>
  <c r="D27" i="25"/>
  <c r="D25" i="25"/>
  <c r="D23" i="25"/>
  <c r="D21" i="25"/>
  <c r="D19" i="25"/>
  <c r="D17" i="25"/>
  <c r="D15" i="25"/>
  <c r="D13" i="25"/>
  <c r="C58" i="25"/>
  <c r="D56" i="25"/>
  <c r="C51" i="25"/>
  <c r="C43" i="25"/>
  <c r="C42" i="25"/>
  <c r="D40" i="25"/>
  <c r="C35" i="25"/>
  <c r="C34" i="25"/>
  <c r="D32" i="25"/>
  <c r="D334" i="25"/>
  <c r="D216" i="25"/>
  <c r="D200" i="25"/>
  <c r="D184" i="25"/>
  <c r="D168" i="25"/>
  <c r="D152" i="25"/>
  <c r="D136" i="25"/>
  <c r="D120" i="25"/>
  <c r="C119" i="25"/>
  <c r="C118" i="25"/>
  <c r="D100" i="25"/>
  <c r="C87" i="25"/>
  <c r="C86" i="25"/>
  <c r="D68" i="25"/>
  <c r="C55" i="25"/>
  <c r="C54" i="25"/>
  <c r="D36" i="25"/>
  <c r="C30" i="25"/>
  <c r="C26" i="25"/>
  <c r="C25" i="25"/>
  <c r="C24" i="25"/>
  <c r="D22" i="25"/>
  <c r="D14" i="25"/>
  <c r="D128" i="25"/>
  <c r="D116" i="25"/>
  <c r="D84" i="25"/>
  <c r="C70" i="25"/>
  <c r="C38" i="25"/>
  <c r="C13" i="25"/>
  <c r="D246" i="25"/>
  <c r="C240" i="25"/>
  <c r="D204" i="25"/>
  <c r="D188" i="25"/>
  <c r="D172" i="25"/>
  <c r="D156" i="25"/>
  <c r="D140" i="25"/>
  <c r="D124" i="25"/>
  <c r="C111" i="25"/>
  <c r="C110" i="25"/>
  <c r="D92" i="25"/>
  <c r="C79" i="25"/>
  <c r="C78" i="25"/>
  <c r="D60" i="25"/>
  <c r="C47" i="25"/>
  <c r="C46" i="25"/>
  <c r="C39" i="25"/>
  <c r="D38" i="25"/>
  <c r="D28" i="25"/>
  <c r="C23" i="25"/>
  <c r="C22" i="25"/>
  <c r="D20" i="25"/>
  <c r="C15" i="25"/>
  <c r="C288" i="25"/>
  <c r="C220" i="25"/>
  <c r="D192" i="25"/>
  <c r="D176" i="25"/>
  <c r="D160" i="25"/>
  <c r="D144" i="25"/>
  <c r="C103" i="25"/>
  <c r="C71" i="25"/>
  <c r="C21" i="25"/>
  <c r="C20" i="25"/>
  <c r="D18" i="25"/>
  <c r="D239" i="25"/>
  <c r="D212" i="25"/>
  <c r="D196" i="25"/>
  <c r="D180" i="25"/>
  <c r="D164" i="25"/>
  <c r="D148" i="25"/>
  <c r="D132" i="25"/>
  <c r="D108" i="25"/>
  <c r="C95" i="25"/>
  <c r="C94" i="25"/>
  <c r="D76" i="25"/>
  <c r="C63" i="25"/>
  <c r="C62" i="25"/>
  <c r="D44" i="25"/>
  <c r="C33" i="25"/>
  <c r="C31" i="25"/>
  <c r="D30" i="25"/>
  <c r="D26" i="25"/>
  <c r="D24" i="25"/>
  <c r="C19" i="25"/>
  <c r="C18" i="25"/>
  <c r="D16" i="25"/>
  <c r="C17" i="25"/>
  <c r="C16" i="25"/>
  <c r="C14" i="25"/>
  <c r="D208" i="25"/>
  <c r="C102" i="25"/>
  <c r="D52" i="25"/>
  <c r="C32" i="25"/>
  <c r="C28" i="25"/>
  <c r="C626" i="25"/>
  <c r="AA626" i="25" s="1"/>
  <c r="E636" i="25" s="1"/>
  <c r="D626" i="25"/>
  <c r="AB626" i="25" s="1"/>
  <c r="C628" i="25"/>
  <c r="D628" i="25"/>
  <c r="C623" i="25"/>
  <c r="D623" i="25"/>
  <c r="AT64" i="23"/>
  <c r="AV64" i="23" s="1"/>
  <c r="AZ64" i="23" s="1"/>
  <c r="BB100" i="23"/>
  <c r="BC38" i="23"/>
  <c r="AW38" i="23" s="1"/>
  <c r="AT76" i="23"/>
  <c r="AV76" i="23" s="1"/>
  <c r="AZ76" i="23" s="1"/>
  <c r="BB61" i="23"/>
  <c r="BB64" i="23"/>
  <c r="U10" i="21"/>
  <c r="AT38" i="23"/>
  <c r="AV38" i="23" s="1"/>
  <c r="AZ38" i="23" s="1"/>
  <c r="BB107" i="23"/>
  <c r="BB80" i="23"/>
  <c r="AT78" i="23"/>
  <c r="AV78" i="23" s="1"/>
  <c r="AZ78" i="23" s="1"/>
  <c r="AT68" i="23"/>
  <c r="AV68" i="23" s="1"/>
  <c r="AZ68" i="23" s="1"/>
  <c r="BB43" i="23"/>
  <c r="BB78" i="23"/>
  <c r="BB29" i="23"/>
  <c r="BB95" i="23"/>
  <c r="AT96" i="23"/>
  <c r="AV96" i="23" s="1"/>
  <c r="AZ96" i="23" s="1"/>
  <c r="AT95" i="23"/>
  <c r="AV95" i="23" s="1"/>
  <c r="AZ95" i="23" s="1"/>
  <c r="AT32" i="23"/>
  <c r="AV32" i="23" s="1"/>
  <c r="AZ32" i="23" s="1"/>
  <c r="BB93" i="23"/>
  <c r="BC107" i="23"/>
  <c r="AW107" i="23" s="1"/>
  <c r="BB62" i="23"/>
  <c r="BB79" i="23"/>
  <c r="AT84" i="23"/>
  <c r="AV84" i="23" s="1"/>
  <c r="AZ84" i="23" s="1"/>
  <c r="BC26" i="23"/>
  <c r="AW26" i="23" s="1"/>
  <c r="AT100" i="23"/>
  <c r="AV100" i="23" s="1"/>
  <c r="AZ100" i="23" s="1"/>
  <c r="BC93" i="23"/>
  <c r="AW93" i="23" s="1"/>
  <c r="AT22" i="23"/>
  <c r="AV22" i="23" s="1"/>
  <c r="AZ22" i="23" s="1"/>
  <c r="BB21" i="23"/>
  <c r="AT26" i="23"/>
  <c r="AV26" i="23" s="1"/>
  <c r="AZ26" i="23" s="1"/>
  <c r="BB105" i="23"/>
  <c r="AT79" i="23"/>
  <c r="AV79" i="23" s="1"/>
  <c r="AZ79" i="23" s="1"/>
  <c r="BB91" i="23"/>
  <c r="AT43" i="23"/>
  <c r="AV43" i="23" s="1"/>
  <c r="AZ43" i="23" s="1"/>
  <c r="BC29" i="23"/>
  <c r="AW29" i="23" s="1"/>
  <c r="AT90" i="23"/>
  <c r="AV90" i="23" s="1"/>
  <c r="AZ90" i="23" s="1"/>
  <c r="AT74" i="23"/>
  <c r="AV74" i="23" s="1"/>
  <c r="AZ74" i="23" s="1"/>
  <c r="BB90" i="23"/>
  <c r="BB17" i="23"/>
  <c r="BB59" i="23"/>
  <c r="AT89" i="23"/>
  <c r="AV89" i="23" s="1"/>
  <c r="AZ89" i="23" s="1"/>
  <c r="BC24" i="23"/>
  <c r="AW24" i="23" s="1"/>
  <c r="BC17" i="23"/>
  <c r="AW17" i="23" s="1"/>
  <c r="AT59" i="23"/>
  <c r="AV59" i="23" s="1"/>
  <c r="H3" i="23" s="1"/>
  <c r="AT77" i="23"/>
  <c r="AV77" i="23" s="1"/>
  <c r="AZ77" i="23" s="1"/>
  <c r="AT61" i="23"/>
  <c r="AV61" i="23" s="1"/>
  <c r="AZ61" i="23" s="1"/>
  <c r="AT10" i="23"/>
  <c r="AV10" i="23" s="1"/>
  <c r="AZ10" i="23" s="1"/>
  <c r="BB74" i="23"/>
  <c r="BB35" i="23"/>
  <c r="AT60" i="23"/>
  <c r="AV60" i="23" s="1"/>
  <c r="AZ60" i="23" s="1"/>
  <c r="AT50" i="23"/>
  <c r="AV50" i="23" s="1"/>
  <c r="AZ50" i="23" s="1"/>
  <c r="AT39" i="23"/>
  <c r="AV39" i="23" s="1"/>
  <c r="AZ39" i="23" s="1"/>
  <c r="AT54" i="23"/>
  <c r="AV54" i="23" s="1"/>
  <c r="AZ54" i="23" s="1"/>
  <c r="AT75" i="23"/>
  <c r="AV75" i="23" s="1"/>
  <c r="AZ75" i="23" s="1"/>
  <c r="BB75" i="23"/>
  <c r="AT94" i="23"/>
  <c r="AV94" i="23" s="1"/>
  <c r="AZ94" i="23" s="1"/>
  <c r="AT31" i="23"/>
  <c r="AV31" i="23" s="1"/>
  <c r="AZ31" i="23" s="1"/>
  <c r="AT16" i="23"/>
  <c r="AV16" i="23" s="1"/>
  <c r="AZ16" i="23" s="1"/>
  <c r="BB37" i="23"/>
  <c r="AT30" i="23"/>
  <c r="AV30" i="23" s="1"/>
  <c r="AZ30" i="23" s="1"/>
  <c r="BB19" i="23"/>
  <c r="BB54" i="23"/>
  <c r="BB32" i="23"/>
  <c r="BB30" i="23"/>
  <c r="BB94" i="23"/>
  <c r="BB108" i="23"/>
  <c r="AT102" i="23"/>
  <c r="AV102" i="23" s="1"/>
  <c r="AZ102" i="23" s="1"/>
  <c r="AT98" i="23"/>
  <c r="AV98" i="23" s="1"/>
  <c r="AZ98" i="23" s="1"/>
  <c r="AT21" i="23"/>
  <c r="AV21" i="23" s="1"/>
  <c r="AZ21" i="23" s="1"/>
  <c r="AT12" i="23"/>
  <c r="AV12" i="23" s="1"/>
  <c r="AZ12" i="23" s="1"/>
  <c r="AT103" i="23"/>
  <c r="AV103" i="23" s="1"/>
  <c r="AZ103" i="23" s="1"/>
  <c r="BB50" i="23"/>
  <c r="AT19" i="23"/>
  <c r="AV19" i="23" s="1"/>
  <c r="AZ19" i="23" s="1"/>
  <c r="AT66" i="23"/>
  <c r="AV66" i="23" s="1"/>
  <c r="AZ66" i="23" s="1"/>
  <c r="BB46" i="23"/>
  <c r="AT37" i="23"/>
  <c r="AV37" i="23" s="1"/>
  <c r="AZ37" i="23" s="1"/>
  <c r="BB86" i="23"/>
  <c r="BB71" i="23"/>
  <c r="BB102" i="23"/>
  <c r="AT67" i="23"/>
  <c r="AV67" i="23" s="1"/>
  <c r="AZ67" i="23" s="1"/>
  <c r="AT46" i="23"/>
  <c r="AV46" i="23" s="1"/>
  <c r="AZ46" i="23" s="1"/>
  <c r="AT86" i="23"/>
  <c r="AV86" i="23" s="1"/>
  <c r="AZ86" i="23" s="1"/>
  <c r="AT70" i="23"/>
  <c r="AV70" i="23" s="1"/>
  <c r="AZ70" i="23" s="1"/>
  <c r="BB70" i="23"/>
  <c r="BB88" i="23"/>
  <c r="BC34" i="23"/>
  <c r="AW34" i="23" s="1"/>
  <c r="AT99" i="23"/>
  <c r="AV99" i="23" s="1"/>
  <c r="AZ99" i="23" s="1"/>
  <c r="BB12" i="23"/>
  <c r="AT34" i="23"/>
  <c r="AV34" i="23" s="1"/>
  <c r="AZ34" i="23" s="1"/>
  <c r="BC99" i="23"/>
  <c r="AW99" i="23" s="1"/>
  <c r="AT88" i="23"/>
  <c r="AV88" i="23" s="1"/>
  <c r="AZ88" i="23" s="1"/>
  <c r="AT18" i="23"/>
  <c r="AV18" i="23" s="1"/>
  <c r="AZ18" i="23" s="1"/>
  <c r="BB22" i="23"/>
  <c r="BB96" i="23"/>
  <c r="BB18" i="23"/>
  <c r="BC105" i="23"/>
  <c r="AW105" i="23" s="1"/>
  <c r="BC16" i="23"/>
  <c r="AW16" i="23" s="1"/>
  <c r="BC66" i="23"/>
  <c r="AW66" i="23" s="1"/>
  <c r="BC71" i="23"/>
  <c r="AW71" i="23" s="1"/>
  <c r="BC68" i="23"/>
  <c r="AW68" i="23" s="1"/>
  <c r="AT36" i="23"/>
  <c r="AV36" i="23" s="1"/>
  <c r="AZ36" i="23" s="1"/>
  <c r="AT82" i="23"/>
  <c r="AV82" i="23" s="1"/>
  <c r="AZ82" i="23" s="1"/>
  <c r="BB101" i="23"/>
  <c r="BB98" i="23"/>
  <c r="BB84" i="23"/>
  <c r="BB97" i="23"/>
  <c r="BB47" i="23"/>
  <c r="BB89" i="23"/>
  <c r="BB31" i="23"/>
  <c r="BB10" i="23"/>
  <c r="AT91" i="23"/>
  <c r="AV91" i="23" s="1"/>
  <c r="AZ91" i="23" s="1"/>
  <c r="AT47" i="23"/>
  <c r="AV47" i="23" s="1"/>
  <c r="AZ47" i="23" s="1"/>
  <c r="BC108" i="23"/>
  <c r="AW108" i="23" s="1"/>
  <c r="BC36" i="23"/>
  <c r="AW36" i="23" s="1"/>
  <c r="BC103" i="23"/>
  <c r="AW103" i="23" s="1"/>
  <c r="AT62" i="23"/>
  <c r="AV62" i="23" s="1"/>
  <c r="AZ62" i="23" s="1"/>
  <c r="BC67" i="23"/>
  <c r="AW67" i="23" s="1"/>
  <c r="BC101" i="23"/>
  <c r="AW101" i="23" s="1"/>
  <c r="BC57" i="23"/>
  <c r="AW57" i="23" s="1"/>
  <c r="BC80" i="23"/>
  <c r="AW80" i="23" s="1"/>
  <c r="AT33" i="23"/>
  <c r="AV33" i="23" s="1"/>
  <c r="AZ33" i="23" s="1"/>
  <c r="AT14" i="23"/>
  <c r="AV14" i="23" s="1"/>
  <c r="AZ14" i="23" s="1"/>
  <c r="BB14" i="23"/>
  <c r="BB83" i="23"/>
  <c r="BB60" i="23"/>
  <c r="BC33" i="23"/>
  <c r="AW33" i="23" s="1"/>
  <c r="AT83" i="23"/>
  <c r="AV83" i="23" s="1"/>
  <c r="AZ83" i="23" s="1"/>
  <c r="BC39" i="23"/>
  <c r="AW39" i="23" s="1"/>
  <c r="BB44" i="23"/>
  <c r="BB82" i="23"/>
  <c r="AT24" i="23"/>
  <c r="AV24" i="23" s="1"/>
  <c r="AZ24" i="23" s="1"/>
  <c r="BB57" i="23"/>
  <c r="BC97" i="23"/>
  <c r="AW97" i="23" s="1"/>
  <c r="BB77" i="23"/>
  <c r="AZ109" i="23"/>
  <c r="H4" i="23"/>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N16" i="8"/>
  <c r="E36" i="1"/>
  <c r="K4" i="17"/>
  <c r="H622" i="25" l="1"/>
  <c r="G622" i="25"/>
  <c r="AT10" i="21"/>
  <c r="AV10" i="21" s="1"/>
  <c r="AZ10" i="21" s="1"/>
  <c r="O622" i="25"/>
  <c r="P622" i="25"/>
  <c r="AA623" i="25"/>
  <c r="E633" i="25" s="1"/>
  <c r="AB623" i="25"/>
  <c r="P612" i="25"/>
  <c r="AB612" i="25" s="1"/>
  <c r="P610" i="25"/>
  <c r="AB610" i="25" s="1"/>
  <c r="P613" i="25"/>
  <c r="AB613" i="25" s="1"/>
  <c r="P608" i="25"/>
  <c r="AB608" i="25" s="1"/>
  <c r="P607" i="25"/>
  <c r="AB607" i="25" s="1"/>
  <c r="P605" i="25"/>
  <c r="AB605" i="25" s="1"/>
  <c r="P603" i="25"/>
  <c r="AB603" i="25" s="1"/>
  <c r="P601" i="25"/>
  <c r="AB601" i="25" s="1"/>
  <c r="P599" i="25"/>
  <c r="AB599" i="25" s="1"/>
  <c r="P597" i="25"/>
  <c r="AB597" i="25" s="1"/>
  <c r="P611" i="25"/>
  <c r="AB611" i="25" s="1"/>
  <c r="P606" i="25"/>
  <c r="AB606" i="25" s="1"/>
  <c r="P604" i="25"/>
  <c r="AB604" i="25" s="1"/>
  <c r="P602" i="25"/>
  <c r="AB602" i="25" s="1"/>
  <c r="P600" i="25"/>
  <c r="AB600" i="25" s="1"/>
  <c r="P598" i="25"/>
  <c r="AB598" i="25" s="1"/>
  <c r="P596" i="25"/>
  <c r="AB596" i="25" s="1"/>
  <c r="P594" i="25"/>
  <c r="AB594" i="25" s="1"/>
  <c r="P592" i="25"/>
  <c r="AB592" i="25" s="1"/>
  <c r="P591" i="25"/>
  <c r="AB591" i="25" s="1"/>
  <c r="P589" i="25"/>
  <c r="AB589" i="25" s="1"/>
  <c r="P587" i="25"/>
  <c r="AB587" i="25" s="1"/>
  <c r="P585" i="25"/>
  <c r="AB585" i="25" s="1"/>
  <c r="P609" i="25"/>
  <c r="AB609" i="25" s="1"/>
  <c r="P593" i="25"/>
  <c r="AB593" i="25" s="1"/>
  <c r="P588" i="25"/>
  <c r="AB588" i="25" s="1"/>
  <c r="P581" i="25"/>
  <c r="AB581" i="25" s="1"/>
  <c r="P580" i="25"/>
  <c r="AB580" i="25" s="1"/>
  <c r="P590" i="25"/>
  <c r="AB590" i="25" s="1"/>
  <c r="P584" i="25"/>
  <c r="AB584" i="25" s="1"/>
  <c r="P579" i="25"/>
  <c r="AB579" i="25" s="1"/>
  <c r="P578" i="25"/>
  <c r="AB578" i="25" s="1"/>
  <c r="P575" i="25"/>
  <c r="AB575" i="25" s="1"/>
  <c r="P573" i="25"/>
  <c r="AB573" i="25" s="1"/>
  <c r="P571" i="25"/>
  <c r="AB571" i="25" s="1"/>
  <c r="P569" i="25"/>
  <c r="AB569" i="25" s="1"/>
  <c r="P567" i="25"/>
  <c r="AB567" i="25" s="1"/>
  <c r="P565" i="25"/>
  <c r="AB565" i="25" s="1"/>
  <c r="P595" i="25"/>
  <c r="AB595" i="25" s="1"/>
  <c r="P586" i="25"/>
  <c r="AB586" i="25" s="1"/>
  <c r="P583" i="25"/>
  <c r="AB583" i="25" s="1"/>
  <c r="P582" i="25"/>
  <c r="AB582" i="25" s="1"/>
  <c r="P576" i="25"/>
  <c r="AB576" i="25" s="1"/>
  <c r="P574" i="25"/>
  <c r="AB574" i="25" s="1"/>
  <c r="P572" i="25"/>
  <c r="AB572" i="25" s="1"/>
  <c r="P570" i="25"/>
  <c r="AB570" i="25" s="1"/>
  <c r="P568" i="25"/>
  <c r="AB568" i="25" s="1"/>
  <c r="P566" i="25"/>
  <c r="AB566" i="25" s="1"/>
  <c r="P559" i="25"/>
  <c r="AB559" i="25" s="1"/>
  <c r="P558" i="25"/>
  <c r="AB558" i="25" s="1"/>
  <c r="P564" i="25"/>
  <c r="AB564" i="25" s="1"/>
  <c r="P557" i="25"/>
  <c r="AB557" i="25" s="1"/>
  <c r="P556" i="25"/>
  <c r="AB556" i="25" s="1"/>
  <c r="P554" i="25"/>
  <c r="AB554" i="25" s="1"/>
  <c r="P552" i="25"/>
  <c r="AB552" i="25" s="1"/>
  <c r="P550" i="25"/>
  <c r="AB550" i="25" s="1"/>
  <c r="P548" i="25"/>
  <c r="AB548" i="25" s="1"/>
  <c r="P546" i="25"/>
  <c r="AB546" i="25" s="1"/>
  <c r="P544" i="25"/>
  <c r="AB544" i="25" s="1"/>
  <c r="P542" i="25"/>
  <c r="AB542" i="25" s="1"/>
  <c r="P540" i="25"/>
  <c r="AB540" i="25" s="1"/>
  <c r="P538" i="25"/>
  <c r="AB538" i="25" s="1"/>
  <c r="P577" i="25"/>
  <c r="AB577" i="25" s="1"/>
  <c r="P561" i="25"/>
  <c r="AB561" i="25" s="1"/>
  <c r="P560" i="25"/>
  <c r="AB560" i="25" s="1"/>
  <c r="P555" i="25"/>
  <c r="AB555" i="25" s="1"/>
  <c r="P553" i="25"/>
  <c r="AB553" i="25" s="1"/>
  <c r="P551" i="25"/>
  <c r="AB551" i="25" s="1"/>
  <c r="P549" i="25"/>
  <c r="AB549" i="25" s="1"/>
  <c r="P547" i="25"/>
  <c r="AB547" i="25" s="1"/>
  <c r="P545" i="25"/>
  <c r="AB545" i="25" s="1"/>
  <c r="P543" i="25"/>
  <c r="AB543" i="25" s="1"/>
  <c r="P541" i="25"/>
  <c r="AB541" i="25" s="1"/>
  <c r="P539" i="25"/>
  <c r="AB539" i="25" s="1"/>
  <c r="P537" i="25"/>
  <c r="AB537" i="25" s="1"/>
  <c r="P530" i="25"/>
  <c r="AB530" i="25" s="1"/>
  <c r="P529" i="25"/>
  <c r="AB529" i="25" s="1"/>
  <c r="P563" i="25"/>
  <c r="AB563" i="25" s="1"/>
  <c r="P562" i="25"/>
  <c r="AB562" i="25" s="1"/>
  <c r="P536" i="25"/>
  <c r="AB536" i="25" s="1"/>
  <c r="P535" i="25"/>
  <c r="AB535" i="25" s="1"/>
  <c r="P528" i="25"/>
  <c r="AB528" i="25" s="1"/>
  <c r="P527" i="25"/>
  <c r="AB527" i="25" s="1"/>
  <c r="P532" i="25"/>
  <c r="AB532" i="25" s="1"/>
  <c r="P531" i="25"/>
  <c r="AB531" i="25" s="1"/>
  <c r="P526" i="25"/>
  <c r="AB526" i="25" s="1"/>
  <c r="P525" i="25"/>
  <c r="AB525" i="25" s="1"/>
  <c r="P517" i="25"/>
  <c r="AB517" i="25" s="1"/>
  <c r="P516" i="25"/>
  <c r="AB516" i="25" s="1"/>
  <c r="P524" i="25"/>
  <c r="AB524" i="25" s="1"/>
  <c r="P522" i="25"/>
  <c r="AB522" i="25" s="1"/>
  <c r="P515" i="25"/>
  <c r="AB515" i="25" s="1"/>
  <c r="P514" i="25"/>
  <c r="AB514" i="25" s="1"/>
  <c r="P510" i="25"/>
  <c r="AB510" i="25" s="1"/>
  <c r="P508" i="25"/>
  <c r="AB508" i="25" s="1"/>
  <c r="P506" i="25"/>
  <c r="AB506" i="25" s="1"/>
  <c r="P504" i="25"/>
  <c r="AB504" i="25" s="1"/>
  <c r="P502" i="25"/>
  <c r="AB502" i="25" s="1"/>
  <c r="P500" i="25"/>
  <c r="AB500" i="25" s="1"/>
  <c r="P498" i="25"/>
  <c r="AB498" i="25" s="1"/>
  <c r="P496" i="25"/>
  <c r="AB496" i="25" s="1"/>
  <c r="P494" i="25"/>
  <c r="AB494" i="25" s="1"/>
  <c r="P492" i="25"/>
  <c r="AB492" i="25" s="1"/>
  <c r="P490" i="25"/>
  <c r="AB490" i="25" s="1"/>
  <c r="P488" i="25"/>
  <c r="AB488" i="25" s="1"/>
  <c r="P486" i="25"/>
  <c r="AB486" i="25" s="1"/>
  <c r="P484" i="25"/>
  <c r="AB484" i="25" s="1"/>
  <c r="P482" i="25"/>
  <c r="AB482" i="25" s="1"/>
  <c r="P534" i="25"/>
  <c r="AB534" i="25" s="1"/>
  <c r="P533" i="25"/>
  <c r="AB533" i="25" s="1"/>
  <c r="P519" i="25"/>
  <c r="AB519" i="25" s="1"/>
  <c r="P518" i="25"/>
  <c r="AB518" i="25" s="1"/>
  <c r="P511" i="25"/>
  <c r="AB511" i="25" s="1"/>
  <c r="P509" i="25"/>
  <c r="AB509" i="25" s="1"/>
  <c r="P507" i="25"/>
  <c r="AB507" i="25" s="1"/>
  <c r="P505" i="25"/>
  <c r="AB505" i="25" s="1"/>
  <c r="P503" i="25"/>
  <c r="AB503" i="25" s="1"/>
  <c r="P501" i="25"/>
  <c r="AB501" i="25" s="1"/>
  <c r="P499" i="25"/>
  <c r="AB499" i="25" s="1"/>
  <c r="P497" i="25"/>
  <c r="AB497" i="25" s="1"/>
  <c r="P495" i="25"/>
  <c r="AB495" i="25" s="1"/>
  <c r="P493" i="25"/>
  <c r="AB493" i="25" s="1"/>
  <c r="P491" i="25"/>
  <c r="AB491" i="25" s="1"/>
  <c r="P489" i="25"/>
  <c r="AB489" i="25" s="1"/>
  <c r="P487" i="25"/>
  <c r="AB487" i="25" s="1"/>
  <c r="P485" i="25"/>
  <c r="AB485" i="25" s="1"/>
  <c r="P481" i="25"/>
  <c r="AB481" i="25" s="1"/>
  <c r="P474" i="25"/>
  <c r="AB474" i="25" s="1"/>
  <c r="P473" i="25"/>
  <c r="AB473" i="25" s="1"/>
  <c r="P466" i="25"/>
  <c r="AB466" i="25" s="1"/>
  <c r="P465" i="25"/>
  <c r="AB465" i="25" s="1"/>
  <c r="P462" i="25"/>
  <c r="AB462" i="25" s="1"/>
  <c r="P460" i="25"/>
  <c r="AB460" i="25" s="1"/>
  <c r="P458" i="25"/>
  <c r="AB458" i="25" s="1"/>
  <c r="P456" i="25"/>
  <c r="AB456" i="25" s="1"/>
  <c r="P454" i="25"/>
  <c r="AB454" i="25" s="1"/>
  <c r="P452" i="25"/>
  <c r="AB452" i="25" s="1"/>
  <c r="P450" i="25"/>
  <c r="AB450" i="25" s="1"/>
  <c r="P448" i="25"/>
  <c r="AB448" i="25" s="1"/>
  <c r="P446" i="25"/>
  <c r="AB446" i="25" s="1"/>
  <c r="P444" i="25"/>
  <c r="AB444" i="25" s="1"/>
  <c r="P442" i="25"/>
  <c r="AB442" i="25" s="1"/>
  <c r="P440" i="25"/>
  <c r="AB440" i="25" s="1"/>
  <c r="P438" i="25"/>
  <c r="AB438" i="25" s="1"/>
  <c r="P436" i="25"/>
  <c r="AB436" i="25" s="1"/>
  <c r="P434" i="25"/>
  <c r="AB434" i="25" s="1"/>
  <c r="P432" i="25"/>
  <c r="AB432" i="25" s="1"/>
  <c r="P430" i="25"/>
  <c r="AB430" i="25" s="1"/>
  <c r="P428" i="25"/>
  <c r="AB428" i="25" s="1"/>
  <c r="P426" i="25"/>
  <c r="AB426" i="25" s="1"/>
  <c r="P424" i="25"/>
  <c r="AB424" i="25" s="1"/>
  <c r="P422" i="25"/>
  <c r="AB422" i="25" s="1"/>
  <c r="P420" i="25"/>
  <c r="AB420" i="25" s="1"/>
  <c r="P418" i="25"/>
  <c r="AB418" i="25" s="1"/>
  <c r="P416" i="25"/>
  <c r="AB416" i="25" s="1"/>
  <c r="P414" i="25"/>
  <c r="AB414" i="25" s="1"/>
  <c r="P412" i="25"/>
  <c r="AB412" i="25" s="1"/>
  <c r="P410" i="25"/>
  <c r="AB410" i="25" s="1"/>
  <c r="P408" i="25"/>
  <c r="AB408" i="25" s="1"/>
  <c r="P406" i="25"/>
  <c r="AB406" i="25" s="1"/>
  <c r="P404" i="25"/>
  <c r="AB404" i="25" s="1"/>
  <c r="P402" i="25"/>
  <c r="AB402" i="25" s="1"/>
  <c r="P400" i="25"/>
  <c r="AB400" i="25" s="1"/>
  <c r="P523" i="25"/>
  <c r="AB523" i="25" s="1"/>
  <c r="P483" i="25"/>
  <c r="AB483" i="25" s="1"/>
  <c r="P480" i="25"/>
  <c r="AB480" i="25" s="1"/>
  <c r="P479" i="25"/>
  <c r="AB479" i="25" s="1"/>
  <c r="P472" i="25"/>
  <c r="AB472" i="25" s="1"/>
  <c r="P471" i="25"/>
  <c r="AB471" i="25" s="1"/>
  <c r="P464" i="25"/>
  <c r="AB464" i="25" s="1"/>
  <c r="P513" i="25"/>
  <c r="AB513" i="25" s="1"/>
  <c r="P512" i="25"/>
  <c r="AB512" i="25" s="1"/>
  <c r="P476" i="25"/>
  <c r="AB476" i="25" s="1"/>
  <c r="P475" i="25"/>
  <c r="AB475" i="25" s="1"/>
  <c r="P468" i="25"/>
  <c r="AB468" i="25" s="1"/>
  <c r="P467" i="25"/>
  <c r="AB467" i="25" s="1"/>
  <c r="P478" i="25"/>
  <c r="AB478" i="25" s="1"/>
  <c r="P477" i="25"/>
  <c r="AB477" i="25" s="1"/>
  <c r="P459" i="25"/>
  <c r="AB459" i="25" s="1"/>
  <c r="P451" i="25"/>
  <c r="AB451" i="25" s="1"/>
  <c r="P443" i="25"/>
  <c r="AB443" i="25" s="1"/>
  <c r="P435" i="25"/>
  <c r="AB435" i="25" s="1"/>
  <c r="P421" i="25"/>
  <c r="AB421" i="25" s="1"/>
  <c r="P413" i="25"/>
  <c r="AB413" i="25" s="1"/>
  <c r="P405" i="25"/>
  <c r="AB405" i="25" s="1"/>
  <c r="P520" i="25"/>
  <c r="AB520" i="25" s="1"/>
  <c r="P470" i="25"/>
  <c r="AB470" i="25" s="1"/>
  <c r="P469" i="25"/>
  <c r="AB469" i="25" s="1"/>
  <c r="P461" i="25"/>
  <c r="AB461" i="25" s="1"/>
  <c r="P453" i="25"/>
  <c r="AB453" i="25" s="1"/>
  <c r="P445" i="25"/>
  <c r="AB445" i="25" s="1"/>
  <c r="P437" i="25"/>
  <c r="AB437" i="25" s="1"/>
  <c r="P429" i="25"/>
  <c r="AB429" i="25" s="1"/>
  <c r="P427" i="25"/>
  <c r="AB427" i="25" s="1"/>
  <c r="P419" i="25"/>
  <c r="AB419" i="25" s="1"/>
  <c r="P411" i="25"/>
  <c r="AB411" i="25" s="1"/>
  <c r="P403" i="25"/>
  <c r="AB403" i="25" s="1"/>
  <c r="P521" i="25"/>
  <c r="AB521" i="25" s="1"/>
  <c r="P457" i="25"/>
  <c r="AB457" i="25" s="1"/>
  <c r="P449" i="25"/>
  <c r="AB449" i="25" s="1"/>
  <c r="P441" i="25"/>
  <c r="AB441" i="25" s="1"/>
  <c r="P433" i="25"/>
  <c r="AB433" i="25" s="1"/>
  <c r="P423" i="25"/>
  <c r="AB423" i="25" s="1"/>
  <c r="P415" i="25"/>
  <c r="AB415" i="25" s="1"/>
  <c r="P407" i="25"/>
  <c r="AB407" i="25" s="1"/>
  <c r="P399" i="25"/>
  <c r="AB399" i="25" s="1"/>
  <c r="P397" i="25"/>
  <c r="AB397" i="25" s="1"/>
  <c r="P395" i="25"/>
  <c r="AB395" i="25" s="1"/>
  <c r="P393" i="25"/>
  <c r="AB393" i="25" s="1"/>
  <c r="P391" i="25"/>
  <c r="AB391" i="25" s="1"/>
  <c r="P389" i="25"/>
  <c r="AB389" i="25" s="1"/>
  <c r="P387" i="25"/>
  <c r="AB387" i="25" s="1"/>
  <c r="P385" i="25"/>
  <c r="AB385" i="25" s="1"/>
  <c r="P383" i="25"/>
  <c r="AB383" i="25" s="1"/>
  <c r="P381" i="25"/>
  <c r="AB381" i="25" s="1"/>
  <c r="P379" i="25"/>
  <c r="AB379" i="25" s="1"/>
  <c r="P377" i="25"/>
  <c r="AB377" i="25" s="1"/>
  <c r="P375" i="25"/>
  <c r="AB375" i="25" s="1"/>
  <c r="P447" i="25"/>
  <c r="AB447" i="25" s="1"/>
  <c r="P417" i="25"/>
  <c r="AB417" i="25" s="1"/>
  <c r="P394" i="25"/>
  <c r="AB394" i="25" s="1"/>
  <c r="P386" i="25"/>
  <c r="AB386" i="25" s="1"/>
  <c r="P378" i="25"/>
  <c r="AB378" i="25" s="1"/>
  <c r="P373" i="25"/>
  <c r="AB373" i="25" s="1"/>
  <c r="P371" i="25"/>
  <c r="AB371" i="25" s="1"/>
  <c r="P369" i="25"/>
  <c r="AB369" i="25" s="1"/>
  <c r="P367" i="25"/>
  <c r="AB367" i="25" s="1"/>
  <c r="P365" i="25"/>
  <c r="AB365" i="25" s="1"/>
  <c r="P363" i="25"/>
  <c r="AB363" i="25" s="1"/>
  <c r="P361" i="25"/>
  <c r="AB361" i="25" s="1"/>
  <c r="P359" i="25"/>
  <c r="AB359" i="25" s="1"/>
  <c r="P357" i="25"/>
  <c r="AB357" i="25" s="1"/>
  <c r="P355" i="25"/>
  <c r="AB355" i="25" s="1"/>
  <c r="P353" i="25"/>
  <c r="AB353" i="25" s="1"/>
  <c r="P351" i="25"/>
  <c r="AB351" i="25" s="1"/>
  <c r="P349" i="25"/>
  <c r="AB349" i="25" s="1"/>
  <c r="P347" i="25"/>
  <c r="AB347" i="25" s="1"/>
  <c r="P345" i="25"/>
  <c r="AB345" i="25" s="1"/>
  <c r="P343" i="25"/>
  <c r="AB343" i="25" s="1"/>
  <c r="P341" i="25"/>
  <c r="AB341" i="25" s="1"/>
  <c r="P339" i="25"/>
  <c r="AB339" i="25" s="1"/>
  <c r="P337" i="25"/>
  <c r="AB337" i="25" s="1"/>
  <c r="P335" i="25"/>
  <c r="AB335" i="25" s="1"/>
  <c r="P333" i="25"/>
  <c r="AB333" i="25" s="1"/>
  <c r="P331" i="25"/>
  <c r="AB331" i="25" s="1"/>
  <c r="P329" i="25"/>
  <c r="AB329" i="25" s="1"/>
  <c r="P327" i="25"/>
  <c r="AB327" i="25" s="1"/>
  <c r="P325" i="25"/>
  <c r="AB325" i="25" s="1"/>
  <c r="P323" i="25"/>
  <c r="AB323" i="25" s="1"/>
  <c r="P321" i="25"/>
  <c r="AB321" i="25" s="1"/>
  <c r="P319" i="25"/>
  <c r="AB319" i="25" s="1"/>
  <c r="P317" i="25"/>
  <c r="AB317" i="25" s="1"/>
  <c r="P315" i="25"/>
  <c r="AB315" i="25" s="1"/>
  <c r="P313" i="25"/>
  <c r="AB313" i="25" s="1"/>
  <c r="P311" i="25"/>
  <c r="AB311" i="25" s="1"/>
  <c r="P309" i="25"/>
  <c r="AB309" i="25" s="1"/>
  <c r="P307" i="25"/>
  <c r="AB307" i="25" s="1"/>
  <c r="P305" i="25"/>
  <c r="AB305" i="25" s="1"/>
  <c r="P303" i="25"/>
  <c r="AB303" i="25" s="1"/>
  <c r="P301" i="25"/>
  <c r="AB301" i="25" s="1"/>
  <c r="P299" i="25"/>
  <c r="AB299" i="25" s="1"/>
  <c r="P297" i="25"/>
  <c r="AB297" i="25" s="1"/>
  <c r="P295" i="25"/>
  <c r="AB295" i="25" s="1"/>
  <c r="P293" i="25"/>
  <c r="AB293" i="25" s="1"/>
  <c r="P291" i="25"/>
  <c r="AB291" i="25" s="1"/>
  <c r="P289" i="25"/>
  <c r="AB289" i="25" s="1"/>
  <c r="P287" i="25"/>
  <c r="AB287" i="25" s="1"/>
  <c r="P285" i="25"/>
  <c r="AB285" i="25" s="1"/>
  <c r="P283" i="25"/>
  <c r="AB283" i="25" s="1"/>
  <c r="P281" i="25"/>
  <c r="AB281" i="25" s="1"/>
  <c r="P279" i="25"/>
  <c r="AB279" i="25" s="1"/>
  <c r="P455" i="25"/>
  <c r="AB455" i="25" s="1"/>
  <c r="P409" i="25"/>
  <c r="AB409" i="25" s="1"/>
  <c r="P392" i="25"/>
  <c r="AB392" i="25" s="1"/>
  <c r="P384" i="25"/>
  <c r="AB384" i="25" s="1"/>
  <c r="P376" i="25"/>
  <c r="AB376" i="25" s="1"/>
  <c r="P439" i="25"/>
  <c r="AB439" i="25" s="1"/>
  <c r="P425" i="25"/>
  <c r="AB425" i="25" s="1"/>
  <c r="P396" i="25"/>
  <c r="AB396" i="25" s="1"/>
  <c r="P388" i="25"/>
  <c r="AB388" i="25" s="1"/>
  <c r="P380" i="25"/>
  <c r="AB380" i="25" s="1"/>
  <c r="P463" i="25"/>
  <c r="AB463" i="25" s="1"/>
  <c r="P401" i="25"/>
  <c r="AB401" i="25" s="1"/>
  <c r="P390" i="25"/>
  <c r="AB390" i="25" s="1"/>
  <c r="P368" i="25"/>
  <c r="AB368" i="25" s="1"/>
  <c r="P362" i="25"/>
  <c r="AB362" i="25" s="1"/>
  <c r="P358" i="25"/>
  <c r="AB358" i="25" s="1"/>
  <c r="P354" i="25"/>
  <c r="AB354" i="25" s="1"/>
  <c r="P350" i="25"/>
  <c r="AB350" i="25" s="1"/>
  <c r="P346" i="25"/>
  <c r="AB346" i="25" s="1"/>
  <c r="P336" i="25"/>
  <c r="AB336" i="25" s="1"/>
  <c r="P328" i="25"/>
  <c r="AB328" i="25" s="1"/>
  <c r="P320" i="25"/>
  <c r="AB320" i="25" s="1"/>
  <c r="P312" i="25"/>
  <c r="AB312" i="25" s="1"/>
  <c r="P304" i="25"/>
  <c r="AB304" i="25" s="1"/>
  <c r="P296" i="25"/>
  <c r="AB296" i="25" s="1"/>
  <c r="P288" i="25"/>
  <c r="AB288" i="25" s="1"/>
  <c r="P280" i="25"/>
  <c r="AB280" i="25" s="1"/>
  <c r="P278" i="25"/>
  <c r="AB278" i="25" s="1"/>
  <c r="P276" i="25"/>
  <c r="AB276" i="25" s="1"/>
  <c r="P274" i="25"/>
  <c r="AB274" i="25" s="1"/>
  <c r="P272" i="25"/>
  <c r="AB272" i="25" s="1"/>
  <c r="P270" i="25"/>
  <c r="AB270" i="25" s="1"/>
  <c r="P268" i="25"/>
  <c r="AB268" i="25" s="1"/>
  <c r="P266" i="25"/>
  <c r="AB266" i="25" s="1"/>
  <c r="P264" i="25"/>
  <c r="AB264" i="25" s="1"/>
  <c r="P382" i="25"/>
  <c r="AB382" i="25" s="1"/>
  <c r="P370" i="25"/>
  <c r="AB370" i="25" s="1"/>
  <c r="P342" i="25"/>
  <c r="AB342" i="25" s="1"/>
  <c r="P334" i="25"/>
  <c r="AB334" i="25" s="1"/>
  <c r="P326" i="25"/>
  <c r="AB326" i="25" s="1"/>
  <c r="P318" i="25"/>
  <c r="AB318" i="25" s="1"/>
  <c r="P310" i="25"/>
  <c r="AB310" i="25" s="1"/>
  <c r="P302" i="25"/>
  <c r="AB302" i="25" s="1"/>
  <c r="P294" i="25"/>
  <c r="AB294" i="25" s="1"/>
  <c r="P286" i="25"/>
  <c r="AB286" i="25" s="1"/>
  <c r="P431" i="25"/>
  <c r="AB431" i="25" s="1"/>
  <c r="P398" i="25"/>
  <c r="AB398" i="25" s="1"/>
  <c r="P374" i="25"/>
  <c r="AB374" i="25" s="1"/>
  <c r="P366" i="25"/>
  <c r="AB366" i="25" s="1"/>
  <c r="P338" i="25"/>
  <c r="AB338" i="25" s="1"/>
  <c r="P330" i="25"/>
  <c r="AB330" i="25" s="1"/>
  <c r="P322" i="25"/>
  <c r="AB322" i="25" s="1"/>
  <c r="P314" i="25"/>
  <c r="AB314" i="25" s="1"/>
  <c r="P306" i="25"/>
  <c r="AB306" i="25" s="1"/>
  <c r="P298" i="25"/>
  <c r="AB298" i="25" s="1"/>
  <c r="P290" i="25"/>
  <c r="AB290" i="25" s="1"/>
  <c r="P282" i="25"/>
  <c r="AB282" i="25" s="1"/>
  <c r="P360" i="25"/>
  <c r="AB360" i="25" s="1"/>
  <c r="P344" i="25"/>
  <c r="AB344" i="25" s="1"/>
  <c r="P316" i="25"/>
  <c r="AB316" i="25" s="1"/>
  <c r="P284" i="25"/>
  <c r="AB284" i="25" s="1"/>
  <c r="P271" i="25"/>
  <c r="AB271" i="25" s="1"/>
  <c r="P263" i="25"/>
  <c r="AB263" i="25" s="1"/>
  <c r="P256" i="25"/>
  <c r="AB256" i="25" s="1"/>
  <c r="P255" i="25"/>
  <c r="AB255" i="25" s="1"/>
  <c r="P248" i="25"/>
  <c r="AB248" i="25" s="1"/>
  <c r="P247" i="25"/>
  <c r="AB247" i="25" s="1"/>
  <c r="P240" i="25"/>
  <c r="AB240" i="25" s="1"/>
  <c r="P239" i="25"/>
  <c r="AB239" i="25" s="1"/>
  <c r="P232" i="25"/>
  <c r="AB232" i="25" s="1"/>
  <c r="P231" i="25"/>
  <c r="AB231" i="25" s="1"/>
  <c r="P364" i="25"/>
  <c r="AB364" i="25" s="1"/>
  <c r="P348" i="25"/>
  <c r="AB348" i="25" s="1"/>
  <c r="P340" i="25"/>
  <c r="AB340" i="25" s="1"/>
  <c r="P308" i="25"/>
  <c r="AB308" i="25" s="1"/>
  <c r="P273" i="25"/>
  <c r="AB273" i="25" s="1"/>
  <c r="P265" i="25"/>
  <c r="AB265" i="25" s="1"/>
  <c r="P262" i="25"/>
  <c r="AB262" i="25" s="1"/>
  <c r="P261" i="25"/>
  <c r="AB261" i="25" s="1"/>
  <c r="P254" i="25"/>
  <c r="AB254" i="25" s="1"/>
  <c r="P253" i="25"/>
  <c r="AB253" i="25" s="1"/>
  <c r="P246" i="25"/>
  <c r="AB246" i="25" s="1"/>
  <c r="P245" i="25"/>
  <c r="AB245" i="25" s="1"/>
  <c r="P238" i="25"/>
  <c r="AB238" i="25" s="1"/>
  <c r="P237" i="25"/>
  <c r="AB237" i="25" s="1"/>
  <c r="P230" i="25"/>
  <c r="AB230" i="25" s="1"/>
  <c r="P229" i="25"/>
  <c r="AB229" i="25" s="1"/>
  <c r="P224" i="25"/>
  <c r="AB224" i="25" s="1"/>
  <c r="P222" i="25"/>
  <c r="AB222" i="25" s="1"/>
  <c r="P220" i="25"/>
  <c r="AB220" i="25" s="1"/>
  <c r="P356" i="25"/>
  <c r="AB356" i="25" s="1"/>
  <c r="P324" i="25"/>
  <c r="AB324" i="25" s="1"/>
  <c r="P292" i="25"/>
  <c r="AB292" i="25" s="1"/>
  <c r="P277" i="25"/>
  <c r="AB277" i="25" s="1"/>
  <c r="P269" i="25"/>
  <c r="AB269" i="25" s="1"/>
  <c r="P258" i="25"/>
  <c r="AB258" i="25" s="1"/>
  <c r="P257" i="25"/>
  <c r="AB257" i="25" s="1"/>
  <c r="P250" i="25"/>
  <c r="AB250" i="25" s="1"/>
  <c r="P249" i="25"/>
  <c r="AB249" i="25" s="1"/>
  <c r="P242" i="25"/>
  <c r="AB242" i="25" s="1"/>
  <c r="P241" i="25"/>
  <c r="AB241" i="25" s="1"/>
  <c r="P234" i="25"/>
  <c r="AB234" i="25" s="1"/>
  <c r="P233" i="25"/>
  <c r="AB233" i="25" s="1"/>
  <c r="P226" i="25"/>
  <c r="AB226" i="25" s="1"/>
  <c r="P225" i="25"/>
  <c r="AB225" i="25" s="1"/>
  <c r="P223" i="25"/>
  <c r="AB223" i="25" s="1"/>
  <c r="P221" i="25"/>
  <c r="AB221" i="25" s="1"/>
  <c r="P219" i="25"/>
  <c r="AB219" i="25" s="1"/>
  <c r="P217" i="25"/>
  <c r="AB217" i="25" s="1"/>
  <c r="P215" i="25"/>
  <c r="AB215" i="25" s="1"/>
  <c r="P213" i="25"/>
  <c r="AB213" i="25" s="1"/>
  <c r="P211" i="25"/>
  <c r="AB211" i="25" s="1"/>
  <c r="P209" i="25"/>
  <c r="AB209" i="25" s="1"/>
  <c r="P207" i="25"/>
  <c r="AB207" i="25" s="1"/>
  <c r="P205" i="25"/>
  <c r="AB205" i="25" s="1"/>
  <c r="P203" i="25"/>
  <c r="AB203" i="25" s="1"/>
  <c r="P201" i="25"/>
  <c r="AB201" i="25" s="1"/>
  <c r="P199" i="25"/>
  <c r="AB199" i="25" s="1"/>
  <c r="P197" i="25"/>
  <c r="AB197" i="25" s="1"/>
  <c r="P195" i="25"/>
  <c r="AB195" i="25" s="1"/>
  <c r="P193" i="25"/>
  <c r="AB193" i="25" s="1"/>
  <c r="P191" i="25"/>
  <c r="AB191" i="25" s="1"/>
  <c r="P189" i="25"/>
  <c r="AB189" i="25" s="1"/>
  <c r="P187" i="25"/>
  <c r="AB187" i="25" s="1"/>
  <c r="P185" i="25"/>
  <c r="AB185" i="25" s="1"/>
  <c r="P183" i="25"/>
  <c r="AB183" i="25" s="1"/>
  <c r="P181" i="25"/>
  <c r="AB181" i="25" s="1"/>
  <c r="P179" i="25"/>
  <c r="AB179" i="25" s="1"/>
  <c r="P177" i="25"/>
  <c r="AB177" i="25" s="1"/>
  <c r="P175" i="25"/>
  <c r="AB175" i="25" s="1"/>
  <c r="P173" i="25"/>
  <c r="AB173" i="25" s="1"/>
  <c r="P171" i="25"/>
  <c r="AB171" i="25" s="1"/>
  <c r="P169" i="25"/>
  <c r="AB169" i="25" s="1"/>
  <c r="P167" i="25"/>
  <c r="AB167" i="25" s="1"/>
  <c r="P165" i="25"/>
  <c r="AB165" i="25" s="1"/>
  <c r="P163" i="25"/>
  <c r="AB163" i="25" s="1"/>
  <c r="P161" i="25"/>
  <c r="AB161" i="25" s="1"/>
  <c r="P159" i="25"/>
  <c r="AB159" i="25" s="1"/>
  <c r="P157" i="25"/>
  <c r="AB157" i="25" s="1"/>
  <c r="P155" i="25"/>
  <c r="AB155" i="25" s="1"/>
  <c r="P153" i="25"/>
  <c r="AB153" i="25" s="1"/>
  <c r="P151" i="25"/>
  <c r="AB151" i="25" s="1"/>
  <c r="P149" i="25"/>
  <c r="AB149" i="25" s="1"/>
  <c r="P147" i="25"/>
  <c r="AB147" i="25" s="1"/>
  <c r="P145" i="25"/>
  <c r="AB145" i="25" s="1"/>
  <c r="P143" i="25"/>
  <c r="AB143" i="25" s="1"/>
  <c r="P141" i="25"/>
  <c r="AB141" i="25" s="1"/>
  <c r="P139" i="25"/>
  <c r="AB139" i="25" s="1"/>
  <c r="P137" i="25"/>
  <c r="AB137" i="25" s="1"/>
  <c r="P135" i="25"/>
  <c r="AB135" i="25" s="1"/>
  <c r="P133" i="25"/>
  <c r="AB133" i="25" s="1"/>
  <c r="P131" i="25"/>
  <c r="AB131" i="25" s="1"/>
  <c r="P129" i="25"/>
  <c r="AB129" i="25" s="1"/>
  <c r="P127" i="25"/>
  <c r="AB127" i="25" s="1"/>
  <c r="P125" i="25"/>
  <c r="AB125" i="25" s="1"/>
  <c r="P123" i="25"/>
  <c r="AB123" i="25" s="1"/>
  <c r="P121" i="25"/>
  <c r="AB121" i="25" s="1"/>
  <c r="P119" i="25"/>
  <c r="AB119" i="25" s="1"/>
  <c r="P117" i="25"/>
  <c r="AB117" i="25" s="1"/>
  <c r="P115" i="25"/>
  <c r="AB115" i="25" s="1"/>
  <c r="P113" i="25"/>
  <c r="AB113" i="25" s="1"/>
  <c r="P111" i="25"/>
  <c r="AB111" i="25" s="1"/>
  <c r="P109" i="25"/>
  <c r="AB109" i="25" s="1"/>
  <c r="P107" i="25"/>
  <c r="AB107" i="25" s="1"/>
  <c r="P105" i="25"/>
  <c r="AB105" i="25" s="1"/>
  <c r="P103" i="25"/>
  <c r="AB103" i="25" s="1"/>
  <c r="P101" i="25"/>
  <c r="AB101" i="25" s="1"/>
  <c r="P99" i="25"/>
  <c r="AB99" i="25" s="1"/>
  <c r="P97" i="25"/>
  <c r="AB97" i="25" s="1"/>
  <c r="P95" i="25"/>
  <c r="AB95" i="25" s="1"/>
  <c r="P93" i="25"/>
  <c r="AB93" i="25" s="1"/>
  <c r="P91" i="25"/>
  <c r="AB91" i="25" s="1"/>
  <c r="P89" i="25"/>
  <c r="AB89" i="25" s="1"/>
  <c r="P87" i="25"/>
  <c r="AB87" i="25" s="1"/>
  <c r="P85" i="25"/>
  <c r="AB85" i="25" s="1"/>
  <c r="P83" i="25"/>
  <c r="AB83" i="25" s="1"/>
  <c r="P81" i="25"/>
  <c r="AB81" i="25" s="1"/>
  <c r="P79" i="25"/>
  <c r="AB79" i="25" s="1"/>
  <c r="P77" i="25"/>
  <c r="AB77" i="25" s="1"/>
  <c r="P75" i="25"/>
  <c r="AB75" i="25" s="1"/>
  <c r="P73" i="25"/>
  <c r="AB73" i="25" s="1"/>
  <c r="P71" i="25"/>
  <c r="AB71" i="25" s="1"/>
  <c r="P69" i="25"/>
  <c r="AB69" i="25" s="1"/>
  <c r="P67" i="25"/>
  <c r="AB67" i="25" s="1"/>
  <c r="P65" i="25"/>
  <c r="AB65" i="25" s="1"/>
  <c r="P63" i="25"/>
  <c r="AB63" i="25" s="1"/>
  <c r="P61" i="25"/>
  <c r="AB61" i="25" s="1"/>
  <c r="P59" i="25"/>
  <c r="AB59" i="25" s="1"/>
  <c r="P57" i="25"/>
  <c r="AB57" i="25" s="1"/>
  <c r="P55" i="25"/>
  <c r="AB55" i="25" s="1"/>
  <c r="P53" i="25"/>
  <c r="AB53" i="25" s="1"/>
  <c r="P51" i="25"/>
  <c r="AB51" i="25" s="1"/>
  <c r="P49" i="25"/>
  <c r="AB49" i="25" s="1"/>
  <c r="P47" i="25"/>
  <c r="AB47" i="25" s="1"/>
  <c r="P45" i="25"/>
  <c r="AB45" i="25" s="1"/>
  <c r="P43" i="25"/>
  <c r="AB43" i="25" s="1"/>
  <c r="P41" i="25"/>
  <c r="AB41" i="25" s="1"/>
  <c r="P39" i="25"/>
  <c r="AB39" i="25" s="1"/>
  <c r="P37" i="25"/>
  <c r="AB37" i="25" s="1"/>
  <c r="P35" i="25"/>
  <c r="AB35" i="25" s="1"/>
  <c r="P33" i="25"/>
  <c r="AB33" i="25" s="1"/>
  <c r="P31" i="25"/>
  <c r="AB31" i="25" s="1"/>
  <c r="P29" i="25"/>
  <c r="AB29" i="25" s="1"/>
  <c r="P300" i="25"/>
  <c r="AB300" i="25" s="1"/>
  <c r="P267" i="25"/>
  <c r="AB267" i="25" s="1"/>
  <c r="P236" i="25"/>
  <c r="AB236" i="25" s="1"/>
  <c r="P235" i="25"/>
  <c r="AB235" i="25" s="1"/>
  <c r="P216" i="25"/>
  <c r="AB216" i="25" s="1"/>
  <c r="P212" i="25"/>
  <c r="AB212" i="25" s="1"/>
  <c r="P208" i="25"/>
  <c r="AB208" i="25" s="1"/>
  <c r="P204" i="25"/>
  <c r="AB204" i="25" s="1"/>
  <c r="P200" i="25"/>
  <c r="AB200" i="25" s="1"/>
  <c r="P196" i="25"/>
  <c r="AB196" i="25" s="1"/>
  <c r="P192" i="25"/>
  <c r="AB192" i="25" s="1"/>
  <c r="P188" i="25"/>
  <c r="AB188" i="25" s="1"/>
  <c r="P184" i="25"/>
  <c r="AB184" i="25" s="1"/>
  <c r="P180" i="25"/>
  <c r="AB180" i="25" s="1"/>
  <c r="P176" i="25"/>
  <c r="AB176" i="25" s="1"/>
  <c r="P172" i="25"/>
  <c r="AB172" i="25" s="1"/>
  <c r="P168" i="25"/>
  <c r="AB168" i="25" s="1"/>
  <c r="P164" i="25"/>
  <c r="AB164" i="25" s="1"/>
  <c r="P160" i="25"/>
  <c r="AB160" i="25" s="1"/>
  <c r="P156" i="25"/>
  <c r="AB156" i="25" s="1"/>
  <c r="P152" i="25"/>
  <c r="AB152" i="25" s="1"/>
  <c r="P148" i="25"/>
  <c r="AB148" i="25" s="1"/>
  <c r="P144" i="25"/>
  <c r="AB144" i="25" s="1"/>
  <c r="P140" i="25"/>
  <c r="AB140" i="25" s="1"/>
  <c r="P136" i="25"/>
  <c r="AB136" i="25" s="1"/>
  <c r="P132" i="25"/>
  <c r="AB132" i="25" s="1"/>
  <c r="P128" i="25"/>
  <c r="P124" i="25"/>
  <c r="AB124" i="25" s="1"/>
  <c r="P120" i="25"/>
  <c r="AB120" i="25" s="1"/>
  <c r="P118" i="25"/>
  <c r="AB118" i="25" s="1"/>
  <c r="P110" i="25"/>
  <c r="AB110" i="25" s="1"/>
  <c r="P102" i="25"/>
  <c r="AB102" i="25" s="1"/>
  <c r="P94" i="25"/>
  <c r="AB94" i="25" s="1"/>
  <c r="P86" i="25"/>
  <c r="AB86" i="25" s="1"/>
  <c r="P78" i="25"/>
  <c r="AB78" i="25" s="1"/>
  <c r="P70" i="25"/>
  <c r="AB70" i="25" s="1"/>
  <c r="P62" i="25"/>
  <c r="AB62" i="25" s="1"/>
  <c r="P54" i="25"/>
  <c r="AB54" i="25" s="1"/>
  <c r="P275" i="25"/>
  <c r="AB275" i="25" s="1"/>
  <c r="P260" i="25"/>
  <c r="AB260" i="25" s="1"/>
  <c r="P259" i="25"/>
  <c r="AB259" i="25" s="1"/>
  <c r="P228" i="25"/>
  <c r="AB228" i="25" s="1"/>
  <c r="P227" i="25"/>
  <c r="AB227" i="25" s="1"/>
  <c r="P116" i="25"/>
  <c r="AB116" i="25" s="1"/>
  <c r="P108" i="25"/>
  <c r="AB108" i="25" s="1"/>
  <c r="P100" i="25"/>
  <c r="AB100" i="25" s="1"/>
  <c r="P92" i="25"/>
  <c r="AB92" i="25" s="1"/>
  <c r="P84" i="25"/>
  <c r="AB84" i="25" s="1"/>
  <c r="P76" i="25"/>
  <c r="AB76" i="25" s="1"/>
  <c r="P68" i="25"/>
  <c r="AB68" i="25" s="1"/>
  <c r="P60" i="25"/>
  <c r="AB60" i="25" s="1"/>
  <c r="P52" i="25"/>
  <c r="AB52" i="25" s="1"/>
  <c r="P44" i="25"/>
  <c r="AB44" i="25" s="1"/>
  <c r="P372" i="25"/>
  <c r="AB372" i="25" s="1"/>
  <c r="P352" i="25"/>
  <c r="AB352" i="25" s="1"/>
  <c r="P332" i="25"/>
  <c r="AB332" i="25" s="1"/>
  <c r="P244" i="25"/>
  <c r="AB244" i="25" s="1"/>
  <c r="P243" i="25"/>
  <c r="AB243" i="25" s="1"/>
  <c r="P112" i="25"/>
  <c r="AB112" i="25" s="1"/>
  <c r="P104" i="25"/>
  <c r="AB104" i="25" s="1"/>
  <c r="P96" i="25"/>
  <c r="AB96" i="25" s="1"/>
  <c r="P88" i="25"/>
  <c r="AB88" i="25" s="1"/>
  <c r="P80" i="25"/>
  <c r="AB80" i="25" s="1"/>
  <c r="P72" i="25"/>
  <c r="AB72" i="25" s="1"/>
  <c r="P64" i="25"/>
  <c r="AB64" i="25" s="1"/>
  <c r="P56" i="25"/>
  <c r="AB56" i="25" s="1"/>
  <c r="P48" i="25"/>
  <c r="AB48" i="25" s="1"/>
  <c r="P40" i="25"/>
  <c r="AB40" i="25" s="1"/>
  <c r="P32" i="25"/>
  <c r="AB32" i="25" s="1"/>
  <c r="P27" i="25"/>
  <c r="AB27" i="25" s="1"/>
  <c r="P25" i="25"/>
  <c r="AB25" i="25" s="1"/>
  <c r="P23" i="25"/>
  <c r="AB23" i="25" s="1"/>
  <c r="P21" i="25"/>
  <c r="AB21" i="25" s="1"/>
  <c r="P19" i="25"/>
  <c r="AB19" i="25" s="1"/>
  <c r="P17" i="25"/>
  <c r="AB17" i="25" s="1"/>
  <c r="P15" i="25"/>
  <c r="AB15" i="25" s="1"/>
  <c r="P13" i="25"/>
  <c r="AB13" i="25" s="1"/>
  <c r="P46" i="25"/>
  <c r="AB46" i="25" s="1"/>
  <c r="P38" i="25"/>
  <c r="AB38" i="25" s="1"/>
  <c r="P30" i="25"/>
  <c r="AB30" i="25" s="1"/>
  <c r="P214" i="25"/>
  <c r="AB214" i="25" s="1"/>
  <c r="P198" i="25"/>
  <c r="AB198" i="25" s="1"/>
  <c r="P182" i="25"/>
  <c r="AB182" i="25" s="1"/>
  <c r="P166" i="25"/>
  <c r="AB166" i="25" s="1"/>
  <c r="P150" i="25"/>
  <c r="AB150" i="25" s="1"/>
  <c r="P134" i="25"/>
  <c r="AB134" i="25" s="1"/>
  <c r="P98" i="25"/>
  <c r="AB98" i="25" s="1"/>
  <c r="P66" i="25"/>
  <c r="AB66" i="25" s="1"/>
  <c r="P174" i="25"/>
  <c r="AB174" i="25" s="1"/>
  <c r="P158" i="25"/>
  <c r="AB158" i="25" s="1"/>
  <c r="P24" i="25"/>
  <c r="AB24" i="25" s="1"/>
  <c r="P251" i="25"/>
  <c r="AB251" i="25" s="1"/>
  <c r="P218" i="25"/>
  <c r="AB218" i="25" s="1"/>
  <c r="P202" i="25"/>
  <c r="AB202" i="25" s="1"/>
  <c r="P186" i="25"/>
  <c r="AB186" i="25" s="1"/>
  <c r="P170" i="25"/>
  <c r="AB170" i="25" s="1"/>
  <c r="P154" i="25"/>
  <c r="AB154" i="25" s="1"/>
  <c r="P138" i="25"/>
  <c r="AB138" i="25" s="1"/>
  <c r="P122" i="25"/>
  <c r="AB122" i="25" s="1"/>
  <c r="P90" i="25"/>
  <c r="AB90" i="25" s="1"/>
  <c r="P58" i="25"/>
  <c r="AB58" i="25" s="1"/>
  <c r="P36" i="25"/>
  <c r="AB36" i="25" s="1"/>
  <c r="P26" i="25"/>
  <c r="AB26" i="25" s="1"/>
  <c r="P18" i="25"/>
  <c r="AB18" i="25" s="1"/>
  <c r="P190" i="25"/>
  <c r="AB190" i="25" s="1"/>
  <c r="P142" i="25"/>
  <c r="AB142" i="25" s="1"/>
  <c r="P126" i="25"/>
  <c r="AB126" i="25" s="1"/>
  <c r="P16" i="25"/>
  <c r="AB16" i="25" s="1"/>
  <c r="P252" i="25"/>
  <c r="AB252" i="25" s="1"/>
  <c r="P210" i="25"/>
  <c r="AB210" i="25" s="1"/>
  <c r="P194" i="25"/>
  <c r="AB194" i="25" s="1"/>
  <c r="P178" i="25"/>
  <c r="AB178" i="25" s="1"/>
  <c r="P162" i="25"/>
  <c r="AB162" i="25" s="1"/>
  <c r="P146" i="25"/>
  <c r="AB146" i="25" s="1"/>
  <c r="P130" i="25"/>
  <c r="AB130" i="25" s="1"/>
  <c r="P106" i="25"/>
  <c r="AB106" i="25" s="1"/>
  <c r="P74" i="25"/>
  <c r="AB74" i="25" s="1"/>
  <c r="P42" i="25"/>
  <c r="AB42" i="25" s="1"/>
  <c r="P28" i="25"/>
  <c r="AB28" i="25" s="1"/>
  <c r="P22" i="25"/>
  <c r="AB22" i="25" s="1"/>
  <c r="P14" i="25"/>
  <c r="AB14" i="25" s="1"/>
  <c r="P20" i="25"/>
  <c r="AB20" i="25" s="1"/>
  <c r="P206" i="25"/>
  <c r="AB206" i="25" s="1"/>
  <c r="P114" i="25"/>
  <c r="AB114" i="25" s="1"/>
  <c r="P82" i="25"/>
  <c r="AB82" i="25" s="1"/>
  <c r="P50" i="25"/>
  <c r="AB50" i="25" s="1"/>
  <c r="P34" i="25"/>
  <c r="AB34" i="25" s="1"/>
  <c r="O293" i="25"/>
  <c r="AA293" i="25" s="1"/>
  <c r="O123" i="25"/>
  <c r="AA123" i="25" s="1"/>
  <c r="O139" i="25"/>
  <c r="AA139" i="25" s="1"/>
  <c r="O155" i="25"/>
  <c r="AA155" i="25" s="1"/>
  <c r="O171" i="25"/>
  <c r="AA171" i="25" s="1"/>
  <c r="O187" i="25"/>
  <c r="AA187" i="25" s="1"/>
  <c r="O203" i="25"/>
  <c r="AA203" i="25" s="1"/>
  <c r="O227" i="25"/>
  <c r="AA227" i="25" s="1"/>
  <c r="O233" i="25"/>
  <c r="AA233" i="25" s="1"/>
  <c r="O265" i="25"/>
  <c r="AA265" i="25" s="1"/>
  <c r="O229" i="25"/>
  <c r="AA229" i="25" s="1"/>
  <c r="O261" i="25"/>
  <c r="AA261" i="25" s="1"/>
  <c r="O332" i="25"/>
  <c r="AA332" i="25" s="1"/>
  <c r="O239" i="25"/>
  <c r="AA239" i="25" s="1"/>
  <c r="O267" i="25"/>
  <c r="AA267" i="25" s="1"/>
  <c r="O340" i="25"/>
  <c r="AA340" i="25" s="1"/>
  <c r="O344" i="25"/>
  <c r="AA344" i="25" s="1"/>
  <c r="O360" i="25"/>
  <c r="AA360" i="25" s="1"/>
  <c r="O346" i="25"/>
  <c r="AA346" i="25" s="1"/>
  <c r="O362" i="25"/>
  <c r="AA362" i="25" s="1"/>
  <c r="O364" i="25"/>
  <c r="AA364" i="25" s="1"/>
  <c r="O454" i="25"/>
  <c r="AA454" i="25" s="1"/>
  <c r="O501" i="25"/>
  <c r="AA501" i="25" s="1"/>
  <c r="O438" i="25"/>
  <c r="AA438" i="25" s="1"/>
  <c r="O456" i="25"/>
  <c r="AA456" i="25" s="1"/>
  <c r="O436" i="25"/>
  <c r="AA436" i="25" s="1"/>
  <c r="O493" i="25"/>
  <c r="AA493" i="25" s="1"/>
  <c r="O458" i="25"/>
  <c r="AA458" i="25" s="1"/>
  <c r="O512" i="25"/>
  <c r="AA512" i="25" s="1"/>
  <c r="O495" i="25"/>
  <c r="AA495" i="25" s="1"/>
  <c r="O491" i="25"/>
  <c r="AA491" i="25" s="1"/>
  <c r="O465" i="25"/>
  <c r="AA465" i="25" s="1"/>
  <c r="O497" i="25"/>
  <c r="AA497" i="25" s="1"/>
  <c r="O524" i="25"/>
  <c r="AA524" i="25" s="1"/>
  <c r="O549" i="25"/>
  <c r="AA549" i="25" s="1"/>
  <c r="O531" i="25"/>
  <c r="AA531" i="25" s="1"/>
  <c r="O535" i="25"/>
  <c r="AA535" i="25" s="1"/>
  <c r="O568" i="25"/>
  <c r="AA568" i="25" s="1"/>
  <c r="O553" i="25"/>
  <c r="AA553" i="25" s="1"/>
  <c r="O584" i="25"/>
  <c r="AA584" i="25" s="1"/>
  <c r="O566" i="25"/>
  <c r="AA566" i="25" s="1"/>
  <c r="O572" i="25"/>
  <c r="AA572" i="25" s="1"/>
  <c r="O586" i="25"/>
  <c r="AA586" i="25" s="1"/>
  <c r="O602" i="25"/>
  <c r="AA602" i="25" s="1"/>
  <c r="O611" i="25"/>
  <c r="AA611" i="25" s="1"/>
  <c r="O59" i="25"/>
  <c r="AA59" i="25" s="1"/>
  <c r="O66" i="25"/>
  <c r="AA66" i="25" s="1"/>
  <c r="O193" i="25"/>
  <c r="AA193" i="25" s="1"/>
  <c r="O74" i="25"/>
  <c r="AA74" i="25" s="1"/>
  <c r="O137" i="25"/>
  <c r="AA137" i="25" s="1"/>
  <c r="O205" i="25"/>
  <c r="AA205" i="25" s="1"/>
  <c r="O243" i="25"/>
  <c r="AA243" i="25" s="1"/>
  <c r="O131" i="25"/>
  <c r="AA131" i="25" s="1"/>
  <c r="O195" i="25"/>
  <c r="AA195" i="25" s="1"/>
  <c r="O249" i="25"/>
  <c r="AA249" i="25" s="1"/>
  <c r="O277" i="25"/>
  <c r="AA277" i="25" s="1"/>
  <c r="O352" i="25"/>
  <c r="AA352" i="25" s="1"/>
  <c r="O374" i="25"/>
  <c r="AA374" i="25" s="1"/>
  <c r="O446" i="25"/>
  <c r="AA446" i="25" s="1"/>
  <c r="O442" i="25"/>
  <c r="AA442" i="25" s="1"/>
  <c r="O471" i="25"/>
  <c r="AA471" i="25" s="1"/>
  <c r="O533" i="25"/>
  <c r="AA533" i="25" s="1"/>
  <c r="O551" i="25"/>
  <c r="AA551" i="25" s="1"/>
  <c r="O537" i="25"/>
  <c r="AA537" i="25" s="1"/>
  <c r="O590" i="25"/>
  <c r="AA590" i="25" s="1"/>
  <c r="O324" i="25"/>
  <c r="AA324" i="25" s="1"/>
  <c r="O189" i="25"/>
  <c r="AA189" i="25" s="1"/>
  <c r="O78" i="25"/>
  <c r="AA78" i="25" s="1"/>
  <c r="O149" i="25"/>
  <c r="AA149" i="25" s="1"/>
  <c r="O213" i="25"/>
  <c r="AA213" i="25" s="1"/>
  <c r="O223" i="25"/>
  <c r="AA223" i="25" s="1"/>
  <c r="O219" i="25"/>
  <c r="AA219" i="25" s="1"/>
  <c r="O127" i="25"/>
  <c r="AA127" i="25" s="1"/>
  <c r="O143" i="25"/>
  <c r="AA143" i="25" s="1"/>
  <c r="O159" i="25"/>
  <c r="AA159" i="25" s="1"/>
  <c r="O175" i="25"/>
  <c r="AA175" i="25" s="1"/>
  <c r="O191" i="25"/>
  <c r="AA191" i="25" s="1"/>
  <c r="O207" i="25"/>
  <c r="AA207" i="25" s="1"/>
  <c r="O259" i="25"/>
  <c r="AA259" i="25" s="1"/>
  <c r="O241" i="25"/>
  <c r="AA241" i="25" s="1"/>
  <c r="O273" i="25"/>
  <c r="AA273" i="25" s="1"/>
  <c r="O237" i="25"/>
  <c r="AA237" i="25" s="1"/>
  <c r="O269" i="25"/>
  <c r="AA269" i="25" s="1"/>
  <c r="O398" i="25"/>
  <c r="AA398" i="25" s="1"/>
  <c r="O247" i="25"/>
  <c r="AA247" i="25" s="1"/>
  <c r="O275" i="25"/>
  <c r="AA275" i="25" s="1"/>
  <c r="O391" i="25"/>
  <c r="AA391" i="25" s="1"/>
  <c r="O348" i="25"/>
  <c r="AA348" i="25" s="1"/>
  <c r="O370" i="25"/>
  <c r="AA370" i="25" s="1"/>
  <c r="O350" i="25"/>
  <c r="AA350" i="25" s="1"/>
  <c r="O366" i="25"/>
  <c r="AA366" i="25" s="1"/>
  <c r="O372" i="25"/>
  <c r="AA372" i="25" s="1"/>
  <c r="O417" i="25"/>
  <c r="AA417" i="25" s="1"/>
  <c r="O401" i="25"/>
  <c r="AA401" i="25" s="1"/>
  <c r="O432" i="25"/>
  <c r="AA432" i="25" s="1"/>
  <c r="O477" i="25"/>
  <c r="AA477" i="25" s="1"/>
  <c r="O444" i="25"/>
  <c r="AA444" i="25" s="1"/>
  <c r="O434" i="25"/>
  <c r="AA434" i="25" s="1"/>
  <c r="O469" i="25"/>
  <c r="AA469" i="25" s="1"/>
  <c r="O467" i="25"/>
  <c r="AA467" i="25" s="1"/>
  <c r="O503" i="25"/>
  <c r="AA503" i="25" s="1"/>
  <c r="O499" i="25"/>
  <c r="AA499" i="25" s="1"/>
  <c r="O473" i="25"/>
  <c r="AA473" i="25" s="1"/>
  <c r="O505" i="25"/>
  <c r="AA505" i="25" s="1"/>
  <c r="O525" i="25"/>
  <c r="AA525" i="25" s="1"/>
  <c r="O576" i="25"/>
  <c r="AA576" i="25" s="1"/>
  <c r="O543" i="25"/>
  <c r="AA543" i="25" s="1"/>
  <c r="O539" i="25"/>
  <c r="AA539" i="25" s="1"/>
  <c r="O529" i="25"/>
  <c r="AA529" i="25" s="1"/>
  <c r="O562" i="25"/>
  <c r="AA562" i="25" s="1"/>
  <c r="O595" i="25"/>
  <c r="AA595" i="25" s="1"/>
  <c r="O574" i="25"/>
  <c r="AA574" i="25" s="1"/>
  <c r="O582" i="25"/>
  <c r="AA582" i="25" s="1"/>
  <c r="O580" i="25"/>
  <c r="AA580" i="25" s="1"/>
  <c r="O600" i="25"/>
  <c r="AA600" i="25" s="1"/>
  <c r="O609" i="25"/>
  <c r="AA609" i="25" s="1"/>
  <c r="O28" i="25"/>
  <c r="AA28" i="25" s="1"/>
  <c r="O129" i="25"/>
  <c r="AA129" i="25" s="1"/>
  <c r="O173" i="25"/>
  <c r="AA173" i="25" s="1"/>
  <c r="O201" i="25"/>
  <c r="AA201" i="25" s="1"/>
  <c r="O90" i="25"/>
  <c r="AA90" i="25" s="1"/>
  <c r="O235" i="25"/>
  <c r="AA235" i="25" s="1"/>
  <c r="O147" i="25"/>
  <c r="AA147" i="25" s="1"/>
  <c r="O211" i="25"/>
  <c r="AA211" i="25" s="1"/>
  <c r="O284" i="25"/>
  <c r="AA284" i="25" s="1"/>
  <c r="O399" i="25"/>
  <c r="AA399" i="25" s="1"/>
  <c r="O425" i="25"/>
  <c r="AA425" i="25" s="1"/>
  <c r="O354" i="25"/>
  <c r="AA354" i="25" s="1"/>
  <c r="O430" i="25"/>
  <c r="AA430" i="25" s="1"/>
  <c r="O509" i="25"/>
  <c r="AA509" i="25" s="1"/>
  <c r="O483" i="25"/>
  <c r="AA483" i="25" s="1"/>
  <c r="O481" i="25"/>
  <c r="AA481" i="25" s="1"/>
  <c r="O516" i="25"/>
  <c r="AA516" i="25" s="1"/>
  <c r="O560" i="25"/>
  <c r="AA560" i="25" s="1"/>
  <c r="O598" i="25"/>
  <c r="AA598" i="25" s="1"/>
  <c r="O94" i="25"/>
  <c r="AA94" i="25" s="1"/>
  <c r="O25" i="25"/>
  <c r="AA25" i="25" s="1"/>
  <c r="O102" i="25"/>
  <c r="AA102" i="25" s="1"/>
  <c r="O153" i="25"/>
  <c r="AA153" i="25" s="1"/>
  <c r="O217" i="25"/>
  <c r="AA217" i="25" s="1"/>
  <c r="O125" i="25"/>
  <c r="AA125" i="25" s="1"/>
  <c r="O34" i="25"/>
  <c r="AA34" i="25" s="1"/>
  <c r="O110" i="25"/>
  <c r="AA110" i="25" s="1"/>
  <c r="O181" i="25"/>
  <c r="AA181" i="25" s="1"/>
  <c r="O292" i="25"/>
  <c r="AA292" i="25" s="1"/>
  <c r="O271" i="25"/>
  <c r="AA271" i="25" s="1"/>
  <c r="O135" i="25"/>
  <c r="AA135" i="25" s="1"/>
  <c r="O151" i="25"/>
  <c r="AA151" i="25" s="1"/>
  <c r="O167" i="25"/>
  <c r="AA167" i="25" s="1"/>
  <c r="O183" i="25"/>
  <c r="AA183" i="25" s="1"/>
  <c r="O199" i="25"/>
  <c r="AA199" i="25" s="1"/>
  <c r="O215" i="25"/>
  <c r="AA215" i="25" s="1"/>
  <c r="O396" i="25"/>
  <c r="AA396" i="25" s="1"/>
  <c r="O257" i="25"/>
  <c r="AA257" i="25" s="1"/>
  <c r="O316" i="25"/>
  <c r="AA316" i="25" s="1"/>
  <c r="O253" i="25"/>
  <c r="AA253" i="25" s="1"/>
  <c r="O300" i="25"/>
  <c r="AA300" i="25" s="1"/>
  <c r="O231" i="25"/>
  <c r="AA231" i="25" s="1"/>
  <c r="O263" i="25"/>
  <c r="AA263" i="25" s="1"/>
  <c r="O328" i="25"/>
  <c r="AA328" i="25" s="1"/>
  <c r="O426" i="25"/>
  <c r="AA426" i="25" s="1"/>
  <c r="O356" i="25"/>
  <c r="AA356" i="25" s="1"/>
  <c r="O390" i="25"/>
  <c r="AA390" i="25" s="1"/>
  <c r="O358" i="25"/>
  <c r="AA358" i="25" s="1"/>
  <c r="O418" i="25"/>
  <c r="AA418" i="25" s="1"/>
  <c r="O382" i="25"/>
  <c r="AA382" i="25" s="1"/>
  <c r="O462" i="25"/>
  <c r="AA462" i="25" s="1"/>
  <c r="O409" i="25"/>
  <c r="AA409" i="25" s="1"/>
  <c r="O448" i="25"/>
  <c r="AA448" i="25" s="1"/>
  <c r="O428" i="25"/>
  <c r="AA428" i="25" s="1"/>
  <c r="O460" i="25"/>
  <c r="AA460" i="25" s="1"/>
  <c r="O450" i="25"/>
  <c r="AA450" i="25" s="1"/>
  <c r="O485" i="25"/>
  <c r="AA485" i="25" s="1"/>
  <c r="O487" i="25"/>
  <c r="AA487" i="25" s="1"/>
  <c r="O479" i="25"/>
  <c r="AA479" i="25" s="1"/>
  <c r="O520" i="25"/>
  <c r="AA520" i="25" s="1"/>
  <c r="O489" i="25"/>
  <c r="AA489" i="25" s="1"/>
  <c r="O518" i="25"/>
  <c r="AA518" i="25" s="1"/>
  <c r="O522" i="25"/>
  <c r="AA522" i="25" s="1"/>
  <c r="O541" i="25"/>
  <c r="AA541" i="25" s="1"/>
  <c r="O527" i="25"/>
  <c r="AA527" i="25" s="1"/>
  <c r="O555" i="25"/>
  <c r="AA555" i="25" s="1"/>
  <c r="O545" i="25"/>
  <c r="AA545" i="25" s="1"/>
  <c r="O570" i="25"/>
  <c r="AA570" i="25" s="1"/>
  <c r="O564" i="25"/>
  <c r="AA564" i="25" s="1"/>
  <c r="O558" i="25"/>
  <c r="AA558" i="25" s="1"/>
  <c r="O578" i="25"/>
  <c r="AA578" i="25" s="1"/>
  <c r="O606" i="25"/>
  <c r="AA606" i="25" s="1"/>
  <c r="O607" i="25"/>
  <c r="AA607" i="25" s="1"/>
  <c r="O17" i="25"/>
  <c r="AA17" i="25" s="1"/>
  <c r="O82" i="25"/>
  <c r="AA82" i="25" s="1"/>
  <c r="O325" i="25"/>
  <c r="AA325" i="25" s="1"/>
  <c r="O165" i="25"/>
  <c r="AA165" i="25" s="1"/>
  <c r="O251" i="25"/>
  <c r="AA251" i="25" s="1"/>
  <c r="O163" i="25"/>
  <c r="AA163" i="25" s="1"/>
  <c r="O179" i="25"/>
  <c r="AA179" i="25" s="1"/>
  <c r="O368" i="25"/>
  <c r="AA368" i="25" s="1"/>
  <c r="O245" i="25"/>
  <c r="AA245" i="25" s="1"/>
  <c r="O255" i="25"/>
  <c r="AA255" i="25" s="1"/>
  <c r="O308" i="25"/>
  <c r="AA308" i="25" s="1"/>
  <c r="O388" i="25"/>
  <c r="AA388" i="25" s="1"/>
  <c r="O380" i="25"/>
  <c r="AA380" i="25" s="1"/>
  <c r="O440" i="25"/>
  <c r="AA440" i="25" s="1"/>
  <c r="O452" i="25"/>
  <c r="AA452" i="25" s="1"/>
  <c r="O475" i="25"/>
  <c r="AA475" i="25" s="1"/>
  <c r="O507" i="25"/>
  <c r="AA507" i="25" s="1"/>
  <c r="O514" i="25"/>
  <c r="AA514" i="25" s="1"/>
  <c r="O547" i="25"/>
  <c r="AA547" i="25" s="1"/>
  <c r="O604" i="25"/>
  <c r="AA604" i="25" s="1"/>
  <c r="O588" i="25"/>
  <c r="AA588" i="25" s="1"/>
  <c r="O613" i="25"/>
  <c r="AA613" i="25" s="1"/>
  <c r="O612" i="25"/>
  <c r="AA612" i="25" s="1"/>
  <c r="O592" i="25"/>
  <c r="AA592" i="25" s="1"/>
  <c r="O587" i="25"/>
  <c r="AA587" i="25" s="1"/>
  <c r="O597" i="25"/>
  <c r="AA597" i="25" s="1"/>
  <c r="O581" i="25"/>
  <c r="AA581" i="25" s="1"/>
  <c r="O561" i="25"/>
  <c r="AA561" i="25" s="1"/>
  <c r="O563" i="25"/>
  <c r="AA563" i="25" s="1"/>
  <c r="O544" i="25"/>
  <c r="AA544" i="25" s="1"/>
  <c r="O546" i="25"/>
  <c r="AA546" i="25" s="1"/>
  <c r="O567" i="25"/>
  <c r="AA567" i="25" s="1"/>
  <c r="O534" i="25"/>
  <c r="AA534" i="25" s="1"/>
  <c r="O511" i="25"/>
  <c r="AA511" i="25" s="1"/>
  <c r="O521" i="25"/>
  <c r="AA521" i="25" s="1"/>
  <c r="O488" i="25"/>
  <c r="AA488" i="25" s="1"/>
  <c r="O498" i="25"/>
  <c r="AA498" i="25" s="1"/>
  <c r="O466" i="25"/>
  <c r="AA466" i="25" s="1"/>
  <c r="O494" i="25"/>
  <c r="AA494" i="25" s="1"/>
  <c r="O470" i="25"/>
  <c r="AA470" i="25" s="1"/>
  <c r="O457" i="25"/>
  <c r="AA457" i="25" s="1"/>
  <c r="O449" i="25"/>
  <c r="AA449" i="25" s="1"/>
  <c r="O441" i="25"/>
  <c r="AA441" i="25" s="1"/>
  <c r="O433" i="25"/>
  <c r="AA433" i="25" s="1"/>
  <c r="O472" i="25"/>
  <c r="AA472" i="25" s="1"/>
  <c r="O414" i="25"/>
  <c r="AA414" i="25" s="1"/>
  <c r="O464" i="25"/>
  <c r="AA464" i="25" s="1"/>
  <c r="O412" i="25"/>
  <c r="AA412" i="25" s="1"/>
  <c r="O492" i="25"/>
  <c r="AA492" i="25" s="1"/>
  <c r="O408" i="25"/>
  <c r="AA408" i="25" s="1"/>
  <c r="O395" i="25"/>
  <c r="AA395" i="25" s="1"/>
  <c r="O410" i="25"/>
  <c r="AA410" i="25" s="1"/>
  <c r="O385" i="25"/>
  <c r="AA385" i="25" s="1"/>
  <c r="O371" i="25"/>
  <c r="AA371" i="25" s="1"/>
  <c r="O427" i="25"/>
  <c r="AA427" i="25" s="1"/>
  <c r="O403" i="25"/>
  <c r="AA403" i="25" s="1"/>
  <c r="O353" i="25"/>
  <c r="AA353" i="25" s="1"/>
  <c r="O337" i="25"/>
  <c r="AA337" i="25" s="1"/>
  <c r="O321" i="25"/>
  <c r="AA321" i="25" s="1"/>
  <c r="O305" i="25"/>
  <c r="AA305" i="25" s="1"/>
  <c r="O289" i="25"/>
  <c r="AA289" i="25" s="1"/>
  <c r="O343" i="25"/>
  <c r="AA343" i="25" s="1"/>
  <c r="O320" i="25"/>
  <c r="AA320" i="25" s="1"/>
  <c r="O304" i="25"/>
  <c r="AA304" i="25" s="1"/>
  <c r="O288" i="25"/>
  <c r="AA288" i="25" s="1"/>
  <c r="O278" i="25"/>
  <c r="AA278" i="25" s="1"/>
  <c r="O270" i="25"/>
  <c r="AA270" i="25" s="1"/>
  <c r="O339" i="25"/>
  <c r="AA339" i="25" s="1"/>
  <c r="O307" i="25"/>
  <c r="AA307" i="25" s="1"/>
  <c r="O351" i="25"/>
  <c r="AA351" i="25" s="1"/>
  <c r="O285" i="25"/>
  <c r="AA285" i="25" s="1"/>
  <c r="O234" i="25"/>
  <c r="AA234" i="25" s="1"/>
  <c r="O375" i="25"/>
  <c r="AA375" i="25" s="1"/>
  <c r="O310" i="25"/>
  <c r="AA310" i="25" s="1"/>
  <c r="O240" i="25"/>
  <c r="AA240" i="25" s="1"/>
  <c r="O347" i="25"/>
  <c r="AA347" i="25" s="1"/>
  <c r="O252" i="25"/>
  <c r="AA252" i="25" s="1"/>
  <c r="O302" i="25"/>
  <c r="AA302" i="25" s="1"/>
  <c r="O119" i="25"/>
  <c r="AA119" i="25" s="1"/>
  <c r="O103" i="25"/>
  <c r="AA103" i="25" s="1"/>
  <c r="O87" i="25"/>
  <c r="AA87" i="25" s="1"/>
  <c r="O71" i="25"/>
  <c r="AA71" i="25" s="1"/>
  <c r="O55" i="25"/>
  <c r="AA55" i="25" s="1"/>
  <c r="O333" i="25"/>
  <c r="AA333" i="25" s="1"/>
  <c r="O208" i="25"/>
  <c r="AA208" i="25" s="1"/>
  <c r="O192" i="25"/>
  <c r="AA192" i="25" s="1"/>
  <c r="O176" i="25"/>
  <c r="AA176" i="25" s="1"/>
  <c r="O160" i="25"/>
  <c r="AA160" i="25" s="1"/>
  <c r="O144" i="25"/>
  <c r="AA144" i="25" s="1"/>
  <c r="O128" i="25"/>
  <c r="AA128" i="25" s="1"/>
  <c r="O109" i="25"/>
  <c r="AA109" i="25" s="1"/>
  <c r="O77" i="25"/>
  <c r="AA77" i="25" s="1"/>
  <c r="O46" i="25"/>
  <c r="AA46" i="25" s="1"/>
  <c r="O222" i="25"/>
  <c r="AA222" i="25" s="1"/>
  <c r="O206" i="25"/>
  <c r="AA206" i="25" s="1"/>
  <c r="O190" i="25"/>
  <c r="AA190" i="25" s="1"/>
  <c r="O174" i="25"/>
  <c r="AA174" i="25" s="1"/>
  <c r="O158" i="25"/>
  <c r="AA158" i="25" s="1"/>
  <c r="O142" i="25"/>
  <c r="AA142" i="25" s="1"/>
  <c r="O126" i="25"/>
  <c r="AA126" i="25" s="1"/>
  <c r="O97" i="25"/>
  <c r="AA97" i="25" s="1"/>
  <c r="O65" i="25"/>
  <c r="AA65" i="25" s="1"/>
  <c r="O33" i="25"/>
  <c r="AA33" i="25" s="1"/>
  <c r="O68" i="25"/>
  <c r="AA68" i="25" s="1"/>
  <c r="O21" i="25"/>
  <c r="AA21" i="25" s="1"/>
  <c r="O30" i="25"/>
  <c r="AA30" i="25" s="1"/>
  <c r="O20" i="25"/>
  <c r="AA20" i="25" s="1"/>
  <c r="O51" i="25"/>
  <c r="AA51" i="25" s="1"/>
  <c r="O76" i="25"/>
  <c r="AA76" i="25" s="1"/>
  <c r="O14" i="25"/>
  <c r="AA14" i="25" s="1"/>
  <c r="O83" i="25"/>
  <c r="AA83" i="25" s="1"/>
  <c r="O209" i="25"/>
  <c r="AA209" i="25" s="1"/>
  <c r="O75" i="25"/>
  <c r="AA75" i="25" s="1"/>
  <c r="O70" i="25"/>
  <c r="AA70" i="25" s="1"/>
  <c r="O118" i="25"/>
  <c r="AA118" i="25" s="1"/>
  <c r="O24" i="25"/>
  <c r="AA24" i="25" s="1"/>
  <c r="O141" i="25"/>
  <c r="AA141" i="25" s="1"/>
  <c r="O50" i="25"/>
  <c r="AA50" i="25" s="1"/>
  <c r="O161" i="25"/>
  <c r="AA161" i="25" s="1"/>
  <c r="O37" i="25"/>
  <c r="AA37" i="25" s="1"/>
  <c r="O197" i="25"/>
  <c r="AA197" i="25" s="1"/>
  <c r="O98" i="25"/>
  <c r="AA98" i="25" s="1"/>
  <c r="O591" i="25"/>
  <c r="AA591" i="25" s="1"/>
  <c r="O557" i="25"/>
  <c r="AA557" i="25" s="1"/>
  <c r="O550" i="25"/>
  <c r="AA550" i="25" s="1"/>
  <c r="O504" i="25"/>
  <c r="AA504" i="25" s="1"/>
  <c r="O484" i="25"/>
  <c r="AA484" i="25" s="1"/>
  <c r="O453" i="25"/>
  <c r="AA453" i="25" s="1"/>
  <c r="O429" i="25"/>
  <c r="AA429" i="25" s="1"/>
  <c r="O404" i="25"/>
  <c r="AA404" i="25" s="1"/>
  <c r="O379" i="25"/>
  <c r="AA379" i="25" s="1"/>
  <c r="O389" i="25"/>
  <c r="AA389" i="25" s="1"/>
  <c r="O329" i="25"/>
  <c r="AA329" i="25" s="1"/>
  <c r="O281" i="25"/>
  <c r="AA281" i="25" s="1"/>
  <c r="O280" i="25"/>
  <c r="AA280" i="25" s="1"/>
  <c r="O317" i="25"/>
  <c r="AA317" i="25" s="1"/>
  <c r="O256" i="25"/>
  <c r="AA256" i="25" s="1"/>
  <c r="O236" i="25"/>
  <c r="AA236" i="25" s="1"/>
  <c r="O95" i="25"/>
  <c r="AA95" i="25" s="1"/>
  <c r="O39" i="25"/>
  <c r="AA39" i="25" s="1"/>
  <c r="O184" i="25"/>
  <c r="AA184" i="25" s="1"/>
  <c r="O120" i="25"/>
  <c r="AA120" i="25" s="1"/>
  <c r="O334" i="25"/>
  <c r="AA334" i="25" s="1"/>
  <c r="O182" i="25"/>
  <c r="AA182" i="25" s="1"/>
  <c r="O38" i="25"/>
  <c r="AA38" i="25" s="1"/>
  <c r="O301" i="25"/>
  <c r="AA301" i="25" s="1"/>
  <c r="O26" i="25"/>
  <c r="AA26" i="25" s="1"/>
  <c r="O31" i="25"/>
  <c r="AA31" i="25" s="1"/>
  <c r="O610" i="25"/>
  <c r="AA610" i="25" s="1"/>
  <c r="O601" i="25"/>
  <c r="AA601" i="25" s="1"/>
  <c r="O585" i="25"/>
  <c r="AA585" i="25" s="1"/>
  <c r="O594" i="25"/>
  <c r="AA594" i="25" s="1"/>
  <c r="O596" i="25"/>
  <c r="AA596" i="25" s="1"/>
  <c r="O573" i="25"/>
  <c r="AA573" i="25" s="1"/>
  <c r="O579" i="25"/>
  <c r="AA579" i="25" s="1"/>
  <c r="O532" i="25"/>
  <c r="AA532" i="25" s="1"/>
  <c r="O538" i="25"/>
  <c r="AA538" i="25" s="1"/>
  <c r="O565" i="25"/>
  <c r="AA565" i="25" s="1"/>
  <c r="O526" i="25"/>
  <c r="AA526" i="25" s="1"/>
  <c r="O517" i="25"/>
  <c r="AA517" i="25" s="1"/>
  <c r="O513" i="25"/>
  <c r="AA513" i="25" s="1"/>
  <c r="O476" i="25"/>
  <c r="AA476" i="25" s="1"/>
  <c r="O490" i="25"/>
  <c r="AA490" i="25" s="1"/>
  <c r="O540" i="25"/>
  <c r="AA540" i="25" s="1"/>
  <c r="O486" i="25"/>
  <c r="AA486" i="25" s="1"/>
  <c r="O463" i="25"/>
  <c r="AA463" i="25" s="1"/>
  <c r="O455" i="25"/>
  <c r="AA455" i="25" s="1"/>
  <c r="O447" i="25"/>
  <c r="AA447" i="25" s="1"/>
  <c r="O439" i="25"/>
  <c r="AA439" i="25" s="1"/>
  <c r="O431" i="25"/>
  <c r="AA431" i="25" s="1"/>
  <c r="O423" i="25"/>
  <c r="AA423" i="25" s="1"/>
  <c r="O407" i="25"/>
  <c r="AA407" i="25" s="1"/>
  <c r="O421" i="25"/>
  <c r="AA421" i="25" s="1"/>
  <c r="O405" i="25"/>
  <c r="AA405" i="25" s="1"/>
  <c r="O480" i="25"/>
  <c r="AA480" i="25" s="1"/>
  <c r="O400" i="25"/>
  <c r="AA400" i="25" s="1"/>
  <c r="O387" i="25"/>
  <c r="AA387" i="25" s="1"/>
  <c r="O394" i="25"/>
  <c r="AA394" i="25" s="1"/>
  <c r="O378" i="25"/>
  <c r="AA378" i="25" s="1"/>
  <c r="O369" i="25"/>
  <c r="AA369" i="25" s="1"/>
  <c r="O397" i="25"/>
  <c r="AA397" i="25" s="1"/>
  <c r="O392" i="25"/>
  <c r="AA392" i="25" s="1"/>
  <c r="O349" i="25"/>
  <c r="AA349" i="25" s="1"/>
  <c r="O330" i="25"/>
  <c r="AA330" i="25" s="1"/>
  <c r="O314" i="25"/>
  <c r="AA314" i="25" s="1"/>
  <c r="O298" i="25"/>
  <c r="AA298" i="25" s="1"/>
  <c r="O282" i="25"/>
  <c r="AA282" i="25" s="1"/>
  <c r="O336" i="25"/>
  <c r="AA336" i="25" s="1"/>
  <c r="O319" i="25"/>
  <c r="AA319" i="25" s="1"/>
  <c r="O303" i="25"/>
  <c r="AA303" i="25" s="1"/>
  <c r="O287" i="25"/>
  <c r="AA287" i="25" s="1"/>
  <c r="O276" i="25"/>
  <c r="AA276" i="25" s="1"/>
  <c r="O268" i="25"/>
  <c r="AA268" i="25" s="1"/>
  <c r="O331" i="25"/>
  <c r="AA331" i="25" s="1"/>
  <c r="O299" i="25"/>
  <c r="AA299" i="25" s="1"/>
  <c r="O318" i="25"/>
  <c r="AA318" i="25" s="1"/>
  <c r="O258" i="25"/>
  <c r="AA258" i="25" s="1"/>
  <c r="O226" i="25"/>
  <c r="AA226" i="25" s="1"/>
  <c r="O355" i="25"/>
  <c r="AA355" i="25" s="1"/>
  <c r="O309" i="25"/>
  <c r="AA309" i="25" s="1"/>
  <c r="O232" i="25"/>
  <c r="AA232" i="25" s="1"/>
  <c r="O326" i="25"/>
  <c r="AA326" i="25" s="1"/>
  <c r="O244" i="25"/>
  <c r="AA244" i="25" s="1"/>
  <c r="O262" i="25"/>
  <c r="AA262" i="25" s="1"/>
  <c r="O112" i="25"/>
  <c r="AA112" i="25" s="1"/>
  <c r="O96" i="25"/>
  <c r="AA96" i="25" s="1"/>
  <c r="O80" i="25"/>
  <c r="AA80" i="25" s="1"/>
  <c r="O64" i="25"/>
  <c r="AA64" i="25" s="1"/>
  <c r="O47" i="25"/>
  <c r="AA47" i="25" s="1"/>
  <c r="O254" i="25"/>
  <c r="AA254" i="25" s="1"/>
  <c r="O204" i="25"/>
  <c r="AA204" i="25" s="1"/>
  <c r="O188" i="25"/>
  <c r="AA188" i="25" s="1"/>
  <c r="O172" i="25"/>
  <c r="AA172" i="25" s="1"/>
  <c r="O156" i="25"/>
  <c r="AA156" i="25" s="1"/>
  <c r="O140" i="25"/>
  <c r="AA140" i="25" s="1"/>
  <c r="O124" i="25"/>
  <c r="AA124" i="25" s="1"/>
  <c r="O101" i="25"/>
  <c r="AA101" i="25" s="1"/>
  <c r="O69" i="25"/>
  <c r="AA69" i="25" s="1"/>
  <c r="O45" i="25"/>
  <c r="AA45" i="25" s="1"/>
  <c r="O218" i="25"/>
  <c r="AA218" i="25" s="1"/>
  <c r="O202" i="25"/>
  <c r="AA202" i="25" s="1"/>
  <c r="O186" i="25"/>
  <c r="AA186" i="25" s="1"/>
  <c r="O170" i="25"/>
  <c r="AA170" i="25" s="1"/>
  <c r="O154" i="25"/>
  <c r="AA154" i="25" s="1"/>
  <c r="O138" i="25"/>
  <c r="AA138" i="25" s="1"/>
  <c r="O122" i="25"/>
  <c r="AA122" i="25" s="1"/>
  <c r="O89" i="25"/>
  <c r="AA89" i="25" s="1"/>
  <c r="O57" i="25"/>
  <c r="AA57" i="25" s="1"/>
  <c r="O48" i="25"/>
  <c r="AA48" i="25" s="1"/>
  <c r="O67" i="25"/>
  <c r="AA67" i="25" s="1"/>
  <c r="O359" i="25"/>
  <c r="AA359" i="25" s="1"/>
  <c r="O92" i="25"/>
  <c r="AA92" i="25" s="1"/>
  <c r="O19" i="25"/>
  <c r="AA19" i="25" s="1"/>
  <c r="O36" i="25"/>
  <c r="AA36" i="25" s="1"/>
  <c r="O44" i="25"/>
  <c r="AA44" i="25" s="1"/>
  <c r="O13" i="25"/>
  <c r="AA13" i="25" s="1"/>
  <c r="O29" i="25"/>
  <c r="AA29" i="25" s="1"/>
  <c r="O145" i="25"/>
  <c r="AA145" i="25" s="1"/>
  <c r="O35" i="25"/>
  <c r="AA35" i="25" s="1"/>
  <c r="O603" i="25"/>
  <c r="AA603" i="25" s="1"/>
  <c r="O548" i="25"/>
  <c r="AA548" i="25" s="1"/>
  <c r="O482" i="25"/>
  <c r="AA482" i="25" s="1"/>
  <c r="O445" i="25"/>
  <c r="AA445" i="25" s="1"/>
  <c r="O406" i="25"/>
  <c r="AA406" i="25" s="1"/>
  <c r="O424" i="25"/>
  <c r="AA424" i="25" s="1"/>
  <c r="O377" i="25"/>
  <c r="AA377" i="25" s="1"/>
  <c r="O361" i="25"/>
  <c r="AA361" i="25" s="1"/>
  <c r="O313" i="25"/>
  <c r="AA313" i="25" s="1"/>
  <c r="O335" i="25"/>
  <c r="AA335" i="25" s="1"/>
  <c r="O274" i="25"/>
  <c r="AA274" i="25" s="1"/>
  <c r="O291" i="25"/>
  <c r="AA291" i="25" s="1"/>
  <c r="O342" i="25"/>
  <c r="AA342" i="25" s="1"/>
  <c r="O294" i="25"/>
  <c r="AA294" i="25" s="1"/>
  <c r="O111" i="25"/>
  <c r="AA111" i="25" s="1"/>
  <c r="O216" i="25"/>
  <c r="AA216" i="25" s="1"/>
  <c r="O168" i="25"/>
  <c r="AA168" i="25" s="1"/>
  <c r="O93" i="25"/>
  <c r="AA93" i="25" s="1"/>
  <c r="O214" i="25"/>
  <c r="AA214" i="25" s="1"/>
  <c r="O150" i="25"/>
  <c r="AA150" i="25" s="1"/>
  <c r="O81" i="25"/>
  <c r="AA81" i="25" s="1"/>
  <c r="O246" i="25"/>
  <c r="AA246" i="25" s="1"/>
  <c r="O220" i="25"/>
  <c r="AA220" i="25" s="1"/>
  <c r="O86" i="25"/>
  <c r="AA86" i="25" s="1"/>
  <c r="O107" i="25"/>
  <c r="AA107" i="25" s="1"/>
  <c r="O133" i="25"/>
  <c r="AA133" i="25" s="1"/>
  <c r="O593" i="25"/>
  <c r="AA593" i="25" s="1"/>
  <c r="O589" i="25"/>
  <c r="AA589" i="25" s="1"/>
  <c r="O605" i="25"/>
  <c r="AA605" i="25" s="1"/>
  <c r="O583" i="25"/>
  <c r="AA583" i="25" s="1"/>
  <c r="O571" i="25"/>
  <c r="AA571" i="25" s="1"/>
  <c r="O569" i="25"/>
  <c r="AA569" i="25" s="1"/>
  <c r="O552" i="25"/>
  <c r="AA552" i="25" s="1"/>
  <c r="O554" i="25"/>
  <c r="AA554" i="25" s="1"/>
  <c r="O523" i="25"/>
  <c r="AA523" i="25" s="1"/>
  <c r="O542" i="25"/>
  <c r="AA542" i="25" s="1"/>
  <c r="O519" i="25"/>
  <c r="AA519" i="25" s="1"/>
  <c r="O528" i="25"/>
  <c r="AA528" i="25" s="1"/>
  <c r="O496" i="25"/>
  <c r="AA496" i="25" s="1"/>
  <c r="O506" i="25"/>
  <c r="AA506" i="25" s="1"/>
  <c r="O474" i="25"/>
  <c r="AA474" i="25" s="1"/>
  <c r="O502" i="25"/>
  <c r="AA502" i="25" s="1"/>
  <c r="O478" i="25"/>
  <c r="AA478" i="25" s="1"/>
  <c r="O459" i="25"/>
  <c r="AA459" i="25" s="1"/>
  <c r="O451" i="25"/>
  <c r="AA451" i="25" s="1"/>
  <c r="O443" i="25"/>
  <c r="AA443" i="25" s="1"/>
  <c r="O435" i="25"/>
  <c r="AA435" i="25" s="1"/>
  <c r="O500" i="25"/>
  <c r="AA500" i="25" s="1"/>
  <c r="O415" i="25"/>
  <c r="AA415" i="25" s="1"/>
  <c r="O508" i="25"/>
  <c r="AA508" i="25" s="1"/>
  <c r="O413" i="25"/>
  <c r="AA413" i="25" s="1"/>
  <c r="O536" i="25"/>
  <c r="AA536" i="25" s="1"/>
  <c r="O416" i="25"/>
  <c r="AA416" i="25" s="1"/>
  <c r="O419" i="25"/>
  <c r="AA419" i="25" s="1"/>
  <c r="O411" i="25"/>
  <c r="AA411" i="25" s="1"/>
  <c r="O386" i="25"/>
  <c r="AA386" i="25" s="1"/>
  <c r="O373" i="25"/>
  <c r="AA373" i="25" s="1"/>
  <c r="O365" i="25"/>
  <c r="AA365" i="25" s="1"/>
  <c r="O381" i="25"/>
  <c r="AA381" i="25" s="1"/>
  <c r="O357" i="25"/>
  <c r="AA357" i="25" s="1"/>
  <c r="O338" i="25"/>
  <c r="AA338" i="25" s="1"/>
  <c r="O322" i="25"/>
  <c r="AA322" i="25" s="1"/>
  <c r="O306" i="25"/>
  <c r="AA306" i="25" s="1"/>
  <c r="O290" i="25"/>
  <c r="AA290" i="25" s="1"/>
  <c r="O384" i="25"/>
  <c r="AA384" i="25" s="1"/>
  <c r="O327" i="25"/>
  <c r="AA327" i="25" s="1"/>
  <c r="O311" i="25"/>
  <c r="AA311" i="25" s="1"/>
  <c r="O295" i="25"/>
  <c r="AA295" i="25" s="1"/>
  <c r="O279" i="25"/>
  <c r="AA279" i="25" s="1"/>
  <c r="O272" i="25"/>
  <c r="AA272" i="25" s="1"/>
  <c r="O264" i="25"/>
  <c r="AA264" i="25" s="1"/>
  <c r="O315" i="25"/>
  <c r="AA315" i="25" s="1"/>
  <c r="O283" i="25"/>
  <c r="AA283" i="25" s="1"/>
  <c r="O286" i="25"/>
  <c r="AA286" i="25" s="1"/>
  <c r="O242" i="25"/>
  <c r="AA242" i="25" s="1"/>
  <c r="O402" i="25"/>
  <c r="AA402" i="25" s="1"/>
  <c r="O341" i="25"/>
  <c r="AA341" i="25" s="1"/>
  <c r="O248" i="25"/>
  <c r="AA248" i="25" s="1"/>
  <c r="O363" i="25"/>
  <c r="AA363" i="25" s="1"/>
  <c r="O260" i="25"/>
  <c r="AA260" i="25" s="1"/>
  <c r="O228" i="25"/>
  <c r="AA228" i="25" s="1"/>
  <c r="O224" i="25"/>
  <c r="AA224" i="25" s="1"/>
  <c r="O104" i="25"/>
  <c r="AA104" i="25" s="1"/>
  <c r="O88" i="25"/>
  <c r="AA88" i="25" s="1"/>
  <c r="O72" i="25"/>
  <c r="AA72" i="25" s="1"/>
  <c r="O56" i="25"/>
  <c r="AA56" i="25" s="1"/>
  <c r="O32" i="25"/>
  <c r="O212" i="25"/>
  <c r="AA212" i="25" s="1"/>
  <c r="O196" i="25"/>
  <c r="AA196" i="25" s="1"/>
  <c r="O180" i="25"/>
  <c r="AA180" i="25" s="1"/>
  <c r="O164" i="25"/>
  <c r="AA164" i="25" s="1"/>
  <c r="O148" i="25"/>
  <c r="AA148" i="25" s="1"/>
  <c r="O132" i="25"/>
  <c r="AA132" i="25" s="1"/>
  <c r="O117" i="25"/>
  <c r="AA117" i="25" s="1"/>
  <c r="O85" i="25"/>
  <c r="AA85" i="25" s="1"/>
  <c r="O53" i="25"/>
  <c r="AA53" i="25" s="1"/>
  <c r="O238" i="25"/>
  <c r="AA238" i="25" s="1"/>
  <c r="O210" i="25"/>
  <c r="AA210" i="25" s="1"/>
  <c r="O194" i="25"/>
  <c r="AA194" i="25" s="1"/>
  <c r="O178" i="25"/>
  <c r="AA178" i="25" s="1"/>
  <c r="O162" i="25"/>
  <c r="AA162" i="25" s="1"/>
  <c r="O146" i="25"/>
  <c r="AA146" i="25" s="1"/>
  <c r="O130" i="25"/>
  <c r="AA130" i="25" s="1"/>
  <c r="O105" i="25"/>
  <c r="AA105" i="25" s="1"/>
  <c r="O73" i="25"/>
  <c r="AA73" i="25" s="1"/>
  <c r="O41" i="25"/>
  <c r="AA41" i="25" s="1"/>
  <c r="O100" i="25"/>
  <c r="AA100" i="25" s="1"/>
  <c r="O22" i="25"/>
  <c r="AA22" i="25" s="1"/>
  <c r="O115" i="25"/>
  <c r="AA115" i="25" s="1"/>
  <c r="O60" i="25"/>
  <c r="AA60" i="25" s="1"/>
  <c r="O52" i="25"/>
  <c r="AA52" i="25" s="1"/>
  <c r="O108" i="25"/>
  <c r="AA108" i="25" s="1"/>
  <c r="O15" i="25"/>
  <c r="AA15" i="25" s="1"/>
  <c r="O84" i="25"/>
  <c r="AA84" i="25" s="1"/>
  <c r="O18" i="25"/>
  <c r="AA18" i="25" s="1"/>
  <c r="O62" i="25"/>
  <c r="AA62" i="25" s="1"/>
  <c r="O121" i="25"/>
  <c r="AA121" i="25" s="1"/>
  <c r="O177" i="25"/>
  <c r="AA177" i="25" s="1"/>
  <c r="O43" i="25"/>
  <c r="AA43" i="25" s="1"/>
  <c r="O58" i="25"/>
  <c r="AA58" i="25" s="1"/>
  <c r="O114" i="25"/>
  <c r="AA114" i="25" s="1"/>
  <c r="O383" i="25"/>
  <c r="AA383" i="25" s="1"/>
  <c r="O99" i="25"/>
  <c r="AA99" i="25" s="1"/>
  <c r="O157" i="25"/>
  <c r="AA157" i="25" s="1"/>
  <c r="O54" i="25"/>
  <c r="AA54" i="25" s="1"/>
  <c r="O221" i="25"/>
  <c r="AA221" i="25" s="1"/>
  <c r="O106" i="25"/>
  <c r="AA106" i="25" s="1"/>
  <c r="O16" i="25"/>
  <c r="AA16" i="25" s="1"/>
  <c r="O599" i="25"/>
  <c r="AA599" i="25" s="1"/>
  <c r="O608" i="25"/>
  <c r="AA608" i="25" s="1"/>
  <c r="O577" i="25"/>
  <c r="AA577" i="25" s="1"/>
  <c r="O559" i="25"/>
  <c r="AA559" i="25" s="1"/>
  <c r="O575" i="25"/>
  <c r="AA575" i="25" s="1"/>
  <c r="O530" i="25"/>
  <c r="AA530" i="25" s="1"/>
  <c r="O556" i="25"/>
  <c r="AA556" i="25" s="1"/>
  <c r="O468" i="25"/>
  <c r="AA468" i="25" s="1"/>
  <c r="O510" i="25"/>
  <c r="AA510" i="25" s="1"/>
  <c r="O461" i="25"/>
  <c r="AA461" i="25" s="1"/>
  <c r="O437" i="25"/>
  <c r="AA437" i="25" s="1"/>
  <c r="O422" i="25"/>
  <c r="AA422" i="25" s="1"/>
  <c r="O420" i="25"/>
  <c r="AA420" i="25" s="1"/>
  <c r="O515" i="25"/>
  <c r="AA515" i="25" s="1"/>
  <c r="O393" i="25"/>
  <c r="AA393" i="25" s="1"/>
  <c r="O367" i="25"/>
  <c r="AA367" i="25" s="1"/>
  <c r="O345" i="25"/>
  <c r="AA345" i="25" s="1"/>
  <c r="O297" i="25"/>
  <c r="AA297" i="25" s="1"/>
  <c r="O312" i="25"/>
  <c r="AA312" i="25" s="1"/>
  <c r="O296" i="25"/>
  <c r="AA296" i="25" s="1"/>
  <c r="O266" i="25"/>
  <c r="AA266" i="25" s="1"/>
  <c r="O323" i="25"/>
  <c r="AA323" i="25" s="1"/>
  <c r="O250" i="25"/>
  <c r="AA250" i="25" s="1"/>
  <c r="O225" i="25"/>
  <c r="AA225" i="25" s="1"/>
  <c r="O376" i="25"/>
  <c r="AA376" i="25" s="1"/>
  <c r="O230" i="25"/>
  <c r="AA230" i="25" s="1"/>
  <c r="O79" i="25"/>
  <c r="AA79" i="25" s="1"/>
  <c r="O63" i="25"/>
  <c r="AA63" i="25" s="1"/>
  <c r="O200" i="25"/>
  <c r="AA200" i="25" s="1"/>
  <c r="O152" i="25"/>
  <c r="AA152" i="25" s="1"/>
  <c r="O136" i="25"/>
  <c r="AA136" i="25" s="1"/>
  <c r="O61" i="25"/>
  <c r="AA61" i="25" s="1"/>
  <c r="O198" i="25"/>
  <c r="AA198" i="25" s="1"/>
  <c r="O166" i="25"/>
  <c r="AA166" i="25" s="1"/>
  <c r="O134" i="25"/>
  <c r="AA134" i="25" s="1"/>
  <c r="O113" i="25"/>
  <c r="AA113" i="25" s="1"/>
  <c r="O49" i="25"/>
  <c r="AA49" i="25" s="1"/>
  <c r="O40" i="25"/>
  <c r="AA40" i="25" s="1"/>
  <c r="O91" i="25"/>
  <c r="AA91" i="25" s="1"/>
  <c r="O23" i="25"/>
  <c r="AA23" i="25" s="1"/>
  <c r="O116" i="25"/>
  <c r="AA116" i="25" s="1"/>
  <c r="O185" i="25"/>
  <c r="AA185" i="25" s="1"/>
  <c r="O42" i="25"/>
  <c r="AA42" i="25" s="1"/>
  <c r="O169" i="25"/>
  <c r="AA169" i="25" s="1"/>
  <c r="O27" i="25"/>
  <c r="AA27" i="25" s="1"/>
  <c r="AA628" i="25"/>
  <c r="AA32" i="25"/>
  <c r="AB128" i="25"/>
  <c r="AB628" i="25"/>
  <c r="C622" i="25"/>
  <c r="F622" i="25"/>
  <c r="D622" i="25"/>
  <c r="E622" i="25"/>
  <c r="BA10" i="21"/>
  <c r="AZ59" i="23"/>
  <c r="H2" i="23"/>
  <c r="B36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O16" i="8"/>
  <c r="B373" i="2" s="1"/>
  <c r="AA622" i="25" l="1"/>
  <c r="E632" i="25" s="1"/>
  <c r="AB622" i="25"/>
  <c r="B369" i="2"/>
  <c r="G622" i="17"/>
  <c r="H622" i="17"/>
  <c r="F622" i="17"/>
  <c r="E622" i="17"/>
  <c r="D622" i="17"/>
  <c r="C622" i="17"/>
  <c r="G4" i="8"/>
  <c r="O17" i="8" l="1"/>
  <c r="B168" i="2"/>
  <c r="B374" i="2"/>
  <c r="D383" i="2" l="1"/>
  <c r="B383" i="2"/>
  <c r="C50" i="16"/>
  <c r="D50" i="16" s="1"/>
  <c r="E54" i="1"/>
  <c r="B372" i="2"/>
  <c r="A372" i="2" l="1"/>
  <c r="D64" i="16" l="1"/>
  <c r="A628" i="17" l="1"/>
  <c r="O622" i="17"/>
  <c r="P623" i="17"/>
  <c r="P622" i="17"/>
  <c r="AB622" i="17" s="1"/>
  <c r="O626" i="17"/>
  <c r="AA626" i="17" s="1"/>
  <c r="O623" i="17"/>
  <c r="AA623" i="17" s="1"/>
  <c r="P626" i="17"/>
  <c r="AB626" i="17" s="1"/>
  <c r="P573" i="17"/>
  <c r="AB573" i="17" s="1"/>
  <c r="B70" i="1"/>
  <c r="N7" i="8"/>
  <c r="O7" i="8" s="1"/>
  <c r="G628" i="17" l="1"/>
  <c r="H628" i="17"/>
  <c r="AA622" i="17"/>
  <c r="E632" i="17" s="1"/>
  <c r="AB623" i="17"/>
  <c r="D628" i="17"/>
  <c r="F628" i="17"/>
  <c r="P628" i="17"/>
  <c r="C628" i="17"/>
  <c r="E628" i="17"/>
  <c r="O628" i="17"/>
  <c r="E636" i="17"/>
  <c r="N30" i="8"/>
  <c r="O30" i="8"/>
  <c r="C70" i="1" s="1"/>
  <c r="O74" i="17"/>
  <c r="AA74" i="17" s="1"/>
  <c r="O121" i="17"/>
  <c r="AA121" i="17" s="1"/>
  <c r="O106" i="17"/>
  <c r="AA106" i="17" s="1"/>
  <c r="O90" i="17"/>
  <c r="AA90" i="17" s="1"/>
  <c r="O17" i="17"/>
  <c r="AA17" i="17" s="1"/>
  <c r="O81" i="17"/>
  <c r="AA81" i="17" s="1"/>
  <c r="O101" i="17"/>
  <c r="AA101" i="17" s="1"/>
  <c r="O58" i="17"/>
  <c r="AA58" i="17" s="1"/>
  <c r="O42" i="17"/>
  <c r="AA42" i="17" s="1"/>
  <c r="O26" i="17"/>
  <c r="AA26" i="17" s="1"/>
  <c r="O49" i="17"/>
  <c r="AA49" i="17" s="1"/>
  <c r="O69" i="17"/>
  <c r="AA69" i="17" s="1"/>
  <c r="O236" i="17"/>
  <c r="AA236" i="17" s="1"/>
  <c r="O300" i="17"/>
  <c r="AA300" i="17" s="1"/>
  <c r="O217" i="17"/>
  <c r="AA217" i="17" s="1"/>
  <c r="O281" i="17"/>
  <c r="AA281" i="17" s="1"/>
  <c r="O140" i="17"/>
  <c r="AA140" i="17" s="1"/>
  <c r="O70" i="17"/>
  <c r="AA70" i="17" s="1"/>
  <c r="O41" i="17"/>
  <c r="AA41" i="17" s="1"/>
  <c r="O105" i="17"/>
  <c r="AA105" i="17" s="1"/>
  <c r="O45" i="17"/>
  <c r="AA45" i="17" s="1"/>
  <c r="O77" i="17"/>
  <c r="AA77" i="17" s="1"/>
  <c r="O173" i="17"/>
  <c r="AA173" i="17" s="1"/>
  <c r="O237" i="17"/>
  <c r="AA237" i="17" s="1"/>
  <c r="O301" i="17"/>
  <c r="AA301" i="17" s="1"/>
  <c r="O160" i="17"/>
  <c r="AA160" i="17" s="1"/>
  <c r="O338" i="17"/>
  <c r="AA338" i="17" s="1"/>
  <c r="O370" i="17"/>
  <c r="AA370" i="17" s="1"/>
  <c r="O402" i="17"/>
  <c r="AA402" i="17" s="1"/>
  <c r="O172" i="17"/>
  <c r="AA172" i="17" s="1"/>
  <c r="O204" i="17"/>
  <c r="AA204" i="17" s="1"/>
  <c r="O153" i="17"/>
  <c r="AA153" i="17" s="1"/>
  <c r="O38" i="17"/>
  <c r="AA38" i="17" s="1"/>
  <c r="O73" i="17"/>
  <c r="AA73" i="17" s="1"/>
  <c r="O141" i="17"/>
  <c r="AA141" i="17" s="1"/>
  <c r="O269" i="17"/>
  <c r="AA269" i="17" s="1"/>
  <c r="O319" i="17"/>
  <c r="AA319" i="17" s="1"/>
  <c r="O383" i="17"/>
  <c r="AA383" i="17" s="1"/>
  <c r="O180" i="17"/>
  <c r="AA180" i="17" s="1"/>
  <c r="O244" i="17"/>
  <c r="AA244" i="17" s="1"/>
  <c r="O308" i="17"/>
  <c r="AA308" i="17" s="1"/>
  <c r="O339" i="17"/>
  <c r="AA339" i="17" s="1"/>
  <c r="O403" i="17"/>
  <c r="AA403" i="17" s="1"/>
  <c r="O366" i="17"/>
  <c r="AA366" i="17" s="1"/>
  <c r="O169" i="17"/>
  <c r="AA169" i="17" s="1"/>
  <c r="O233" i="17"/>
  <c r="AA233" i="17" s="1"/>
  <c r="O132" i="17"/>
  <c r="AA132" i="17" s="1"/>
  <c r="O62" i="17"/>
  <c r="AA62" i="17" s="1"/>
  <c r="O232" i="17"/>
  <c r="AA232" i="17" s="1"/>
  <c r="O296" i="17"/>
  <c r="AA296" i="17" s="1"/>
  <c r="O322" i="17"/>
  <c r="AA322" i="17" s="1"/>
  <c r="O386" i="17"/>
  <c r="AA386" i="17" s="1"/>
  <c r="O438" i="17"/>
  <c r="AA438" i="17" s="1"/>
  <c r="O65" i="17"/>
  <c r="AA65" i="17" s="1"/>
  <c r="O85" i="17"/>
  <c r="AA85" i="17" s="1"/>
  <c r="O117" i="17"/>
  <c r="AA117" i="17" s="1"/>
  <c r="O149" i="17"/>
  <c r="AA149" i="17" s="1"/>
  <c r="O181" i="17"/>
  <c r="AA181" i="17" s="1"/>
  <c r="O213" i="17"/>
  <c r="AA213" i="17" s="1"/>
  <c r="O245" i="17"/>
  <c r="AA245" i="17" s="1"/>
  <c r="O277" i="17"/>
  <c r="AA277" i="17" s="1"/>
  <c r="O309" i="17"/>
  <c r="AA309" i="17" s="1"/>
  <c r="O136" i="17"/>
  <c r="AA136" i="17" s="1"/>
  <c r="O168" i="17"/>
  <c r="AA168" i="17" s="1"/>
  <c r="O184" i="17"/>
  <c r="AA184" i="17" s="1"/>
  <c r="O248" i="17"/>
  <c r="AA248" i="17" s="1"/>
  <c r="O312" i="17"/>
  <c r="AA312" i="17" s="1"/>
  <c r="O327" i="17"/>
  <c r="AA327" i="17" s="1"/>
  <c r="O359" i="17"/>
  <c r="AA359" i="17" s="1"/>
  <c r="O391" i="17"/>
  <c r="AA391" i="17" s="1"/>
  <c r="O407" i="17"/>
  <c r="AA407" i="17" s="1"/>
  <c r="O378" i="17"/>
  <c r="AA378" i="17" s="1"/>
  <c r="O188" i="17"/>
  <c r="AA188" i="17" s="1"/>
  <c r="O252" i="17"/>
  <c r="AA252" i="17" s="1"/>
  <c r="O331" i="17"/>
  <c r="AA331" i="17" s="1"/>
  <c r="O363" i="17"/>
  <c r="AA363" i="17" s="1"/>
  <c r="O395" i="17"/>
  <c r="AA395" i="17" s="1"/>
  <c r="O411" i="17"/>
  <c r="AA411" i="17" s="1"/>
  <c r="O326" i="17"/>
  <c r="AA326" i="17" s="1"/>
  <c r="O358" i="17"/>
  <c r="AA358" i="17" s="1"/>
  <c r="O390" i="17"/>
  <c r="AA390" i="17" s="1"/>
  <c r="O454" i="17"/>
  <c r="AA454" i="17" s="1"/>
  <c r="O249" i="17"/>
  <c r="AA249" i="17" s="1"/>
  <c r="O297" i="17"/>
  <c r="AA297" i="17" s="1"/>
  <c r="O22" i="17"/>
  <c r="AA22" i="17" s="1"/>
  <c r="O86" i="17"/>
  <c r="AA86" i="17" s="1"/>
  <c r="O192" i="17"/>
  <c r="AA192" i="17" s="1"/>
  <c r="O256" i="17"/>
  <c r="AA256" i="17" s="1"/>
  <c r="O415" i="17"/>
  <c r="AA415" i="17" s="1"/>
  <c r="O462" i="17"/>
  <c r="AA462" i="17" s="1"/>
  <c r="O57" i="17"/>
  <c r="AA57" i="17" s="1"/>
  <c r="O289" i="17"/>
  <c r="AA289" i="17" s="1"/>
  <c r="O14" i="17"/>
  <c r="AA14" i="17" s="1"/>
  <c r="O78" i="17"/>
  <c r="AA78" i="17" s="1"/>
  <c r="O93" i="17"/>
  <c r="AA93" i="17" s="1"/>
  <c r="O125" i="17"/>
  <c r="AA125" i="17" s="1"/>
  <c r="O189" i="17"/>
  <c r="AA189" i="17" s="1"/>
  <c r="O253" i="17"/>
  <c r="AA253" i="17" s="1"/>
  <c r="O112" i="17"/>
  <c r="AA112" i="17" s="1"/>
  <c r="O176" i="17"/>
  <c r="AA176" i="17" s="1"/>
  <c r="O208" i="17"/>
  <c r="AA208" i="17" s="1"/>
  <c r="O272" i="17"/>
  <c r="AA272" i="17" s="1"/>
  <c r="O367" i="17"/>
  <c r="AA367" i="17" s="1"/>
  <c r="O330" i="17"/>
  <c r="AA330" i="17" s="1"/>
  <c r="O394" i="17"/>
  <c r="AA394" i="17" s="1"/>
  <c r="O228" i="17"/>
  <c r="AA228" i="17" s="1"/>
  <c r="O292" i="17"/>
  <c r="AA292" i="17" s="1"/>
  <c r="O323" i="17"/>
  <c r="AA323" i="17" s="1"/>
  <c r="O387" i="17"/>
  <c r="AA387" i="17" s="1"/>
  <c r="O350" i="17"/>
  <c r="AA350" i="17" s="1"/>
  <c r="O414" i="17"/>
  <c r="AA414" i="17" s="1"/>
  <c r="O446" i="17"/>
  <c r="AA446" i="17" s="1"/>
  <c r="O423" i="17"/>
  <c r="AA423" i="17" s="1"/>
  <c r="O487" i="17"/>
  <c r="AA487" i="17" s="1"/>
  <c r="O519" i="17"/>
  <c r="AA519" i="17" s="1"/>
  <c r="O528" i="17"/>
  <c r="AA528" i="17" s="1"/>
  <c r="O560" i="17"/>
  <c r="AA560" i="17" s="1"/>
  <c r="O606" i="17"/>
  <c r="AA606" i="17" s="1"/>
  <c r="P17" i="17"/>
  <c r="AB17" i="17" s="1"/>
  <c r="P81" i="17"/>
  <c r="AB81" i="17" s="1"/>
  <c r="P16" i="17"/>
  <c r="AB16" i="17" s="1"/>
  <c r="P80" i="17"/>
  <c r="AB80" i="17" s="1"/>
  <c r="O32" i="17"/>
  <c r="AA32" i="17" s="1"/>
  <c r="O96" i="17"/>
  <c r="AA96" i="17" s="1"/>
  <c r="O31" i="17"/>
  <c r="AA31" i="17" s="1"/>
  <c r="O95" i="17"/>
  <c r="AA95" i="17" s="1"/>
  <c r="O127" i="17"/>
  <c r="AA127" i="17" s="1"/>
  <c r="O191" i="17"/>
  <c r="AA191" i="17" s="1"/>
  <c r="O255" i="17"/>
  <c r="AA255" i="17" s="1"/>
  <c r="O114" i="17"/>
  <c r="AA114" i="17" s="1"/>
  <c r="O178" i="17"/>
  <c r="AA178" i="17" s="1"/>
  <c r="O210" i="17"/>
  <c r="AA210" i="17" s="1"/>
  <c r="O274" i="17"/>
  <c r="AA274" i="17" s="1"/>
  <c r="O369" i="17"/>
  <c r="AA369" i="17" s="1"/>
  <c r="O332" i="17"/>
  <c r="AA332" i="17" s="1"/>
  <c r="O396" i="17"/>
  <c r="AA396" i="17" s="1"/>
  <c r="O428" i="17"/>
  <c r="AA428" i="17" s="1"/>
  <c r="O492" i="17"/>
  <c r="AA492" i="17" s="1"/>
  <c r="O453" i="17"/>
  <c r="AA453" i="17" s="1"/>
  <c r="O517" i="17"/>
  <c r="AA517" i="17" s="1"/>
  <c r="O558" i="17"/>
  <c r="AA558" i="17" s="1"/>
  <c r="O571" i="17"/>
  <c r="AA571" i="17" s="1"/>
  <c r="O268" i="17"/>
  <c r="AA268" i="17" s="1"/>
  <c r="O313" i="17"/>
  <c r="AA313" i="17" s="1"/>
  <c r="O102" i="17"/>
  <c r="AA102" i="17" s="1"/>
  <c r="O109" i="17"/>
  <c r="AA109" i="17" s="1"/>
  <c r="O205" i="17"/>
  <c r="AA205" i="17" s="1"/>
  <c r="O128" i="17"/>
  <c r="AA128" i="17" s="1"/>
  <c r="O351" i="17"/>
  <c r="AA351" i="17" s="1"/>
  <c r="O212" i="17"/>
  <c r="AA212" i="17" s="1"/>
  <c r="O276" i="17"/>
  <c r="AA276" i="17" s="1"/>
  <c r="O371" i="17"/>
  <c r="AA371" i="17" s="1"/>
  <c r="O334" i="17"/>
  <c r="AA334" i="17" s="1"/>
  <c r="O398" i="17"/>
  <c r="AA398" i="17" s="1"/>
  <c r="O137" i="17"/>
  <c r="AA137" i="17" s="1"/>
  <c r="O201" i="17"/>
  <c r="AA201" i="17" s="1"/>
  <c r="O265" i="17"/>
  <c r="AA265" i="17" s="1"/>
  <c r="O305" i="17"/>
  <c r="AA305" i="17" s="1"/>
  <c r="O30" i="17"/>
  <c r="AA30" i="17" s="1"/>
  <c r="O94" i="17"/>
  <c r="AA94" i="17" s="1"/>
  <c r="O200" i="17"/>
  <c r="AA200" i="17" s="1"/>
  <c r="O264" i="17"/>
  <c r="AA264" i="17" s="1"/>
  <c r="O354" i="17"/>
  <c r="AA354" i="17" s="1"/>
  <c r="O156" i="17"/>
  <c r="AA156" i="17" s="1"/>
  <c r="O470" i="17"/>
  <c r="AA470" i="17" s="1"/>
  <c r="O33" i="17"/>
  <c r="AA33" i="17" s="1"/>
  <c r="O97" i="17"/>
  <c r="AA97" i="17" s="1"/>
  <c r="O29" i="17"/>
  <c r="AA29" i="17" s="1"/>
  <c r="O53" i="17"/>
  <c r="AA53" i="17" s="1"/>
  <c r="O133" i="17"/>
  <c r="AA133" i="17" s="1"/>
  <c r="O165" i="17"/>
  <c r="AA165" i="17" s="1"/>
  <c r="O197" i="17"/>
  <c r="AA197" i="17" s="1"/>
  <c r="O229" i="17"/>
  <c r="AA229" i="17" s="1"/>
  <c r="O261" i="17"/>
  <c r="AA261" i="17" s="1"/>
  <c r="O293" i="17"/>
  <c r="AA293" i="17" s="1"/>
  <c r="O120" i="17"/>
  <c r="AA120" i="17" s="1"/>
  <c r="O152" i="17"/>
  <c r="AA152" i="17" s="1"/>
  <c r="O216" i="17"/>
  <c r="AA216" i="17" s="1"/>
  <c r="O280" i="17"/>
  <c r="AA280" i="17" s="1"/>
  <c r="O343" i="17"/>
  <c r="AA343" i="17" s="1"/>
  <c r="O375" i="17"/>
  <c r="AA375" i="17" s="1"/>
  <c r="O346" i="17"/>
  <c r="AA346" i="17" s="1"/>
  <c r="O148" i="17"/>
  <c r="AA148" i="17" s="1"/>
  <c r="O220" i="17"/>
  <c r="AA220" i="17" s="1"/>
  <c r="O284" i="17"/>
  <c r="AA284" i="17" s="1"/>
  <c r="O315" i="17"/>
  <c r="AA315" i="17" s="1"/>
  <c r="O347" i="17"/>
  <c r="AA347" i="17" s="1"/>
  <c r="O379" i="17"/>
  <c r="AA379" i="17" s="1"/>
  <c r="O342" i="17"/>
  <c r="AA342" i="17" s="1"/>
  <c r="O374" i="17"/>
  <c r="AA374" i="17" s="1"/>
  <c r="O406" i="17"/>
  <c r="AA406" i="17" s="1"/>
  <c r="O422" i="17"/>
  <c r="AA422" i="17" s="1"/>
  <c r="O185" i="17"/>
  <c r="AA185" i="17" s="1"/>
  <c r="O124" i="17"/>
  <c r="AA124" i="17" s="1"/>
  <c r="O54" i="17"/>
  <c r="AA54" i="17" s="1"/>
  <c r="O224" i="17"/>
  <c r="AA224" i="17" s="1"/>
  <c r="O288" i="17"/>
  <c r="AA288" i="17" s="1"/>
  <c r="O430" i="17"/>
  <c r="AA430" i="17" s="1"/>
  <c r="O25" i="17"/>
  <c r="AA25" i="17" s="1"/>
  <c r="O89" i="17"/>
  <c r="AA89" i="17" s="1"/>
  <c r="O116" i="17"/>
  <c r="AA116" i="17" s="1"/>
  <c r="O46" i="17"/>
  <c r="AA46" i="17" s="1"/>
  <c r="O61" i="17"/>
  <c r="AA61" i="17" s="1"/>
  <c r="O157" i="17"/>
  <c r="AA157" i="17" s="1"/>
  <c r="O221" i="17"/>
  <c r="AA221" i="17" s="1"/>
  <c r="O285" i="17"/>
  <c r="AA285" i="17" s="1"/>
  <c r="O144" i="17"/>
  <c r="AA144" i="17" s="1"/>
  <c r="O240" i="17"/>
  <c r="AA240" i="17" s="1"/>
  <c r="O304" i="17"/>
  <c r="AA304" i="17" s="1"/>
  <c r="O335" i="17"/>
  <c r="AA335" i="17" s="1"/>
  <c r="O399" i="17"/>
  <c r="AA399" i="17" s="1"/>
  <c r="O362" i="17"/>
  <c r="AA362" i="17" s="1"/>
  <c r="O164" i="17"/>
  <c r="AA164" i="17" s="1"/>
  <c r="O196" i="17"/>
  <c r="AA196" i="17" s="1"/>
  <c r="O260" i="17"/>
  <c r="AA260" i="17" s="1"/>
  <c r="O355" i="17"/>
  <c r="AA355" i="17" s="1"/>
  <c r="O318" i="17"/>
  <c r="AA318" i="17" s="1"/>
  <c r="O382" i="17"/>
  <c r="AA382" i="17" s="1"/>
  <c r="O478" i="17"/>
  <c r="AA478" i="17" s="1"/>
  <c r="O494" i="17"/>
  <c r="AA494" i="17" s="1"/>
  <c r="O455" i="17"/>
  <c r="AA455" i="17" s="1"/>
  <c r="O592" i="17"/>
  <c r="AA592" i="17" s="1"/>
  <c r="O573" i="17"/>
  <c r="AA573" i="17" s="1"/>
  <c r="P49" i="17"/>
  <c r="AB49" i="17" s="1"/>
  <c r="P48" i="17"/>
  <c r="AB48" i="17" s="1"/>
  <c r="O64" i="17"/>
  <c r="AA64" i="17" s="1"/>
  <c r="O63" i="17"/>
  <c r="AA63" i="17" s="1"/>
  <c r="O159" i="17"/>
  <c r="AA159" i="17" s="1"/>
  <c r="O223" i="17"/>
  <c r="AA223" i="17" s="1"/>
  <c r="O287" i="17"/>
  <c r="AA287" i="17" s="1"/>
  <c r="O146" i="17"/>
  <c r="AA146" i="17" s="1"/>
  <c r="O242" i="17"/>
  <c r="AA242" i="17" s="1"/>
  <c r="O306" i="17"/>
  <c r="AA306" i="17" s="1"/>
  <c r="O337" i="17"/>
  <c r="AA337" i="17" s="1"/>
  <c r="O401" i="17"/>
  <c r="AA401" i="17" s="1"/>
  <c r="O364" i="17"/>
  <c r="AA364" i="17" s="1"/>
  <c r="O460" i="17"/>
  <c r="AA460" i="17" s="1"/>
  <c r="O421" i="17"/>
  <c r="AA421" i="17" s="1"/>
  <c r="O485" i="17"/>
  <c r="AA485" i="17" s="1"/>
  <c r="O526" i="17"/>
  <c r="AA526" i="17" s="1"/>
  <c r="O590" i="17"/>
  <c r="AA590" i="17" s="1"/>
  <c r="O604" i="17"/>
  <c r="AA604" i="17" s="1"/>
  <c r="P15" i="17"/>
  <c r="AB15" i="17" s="1"/>
  <c r="P79" i="17"/>
  <c r="AB79" i="17" s="1"/>
  <c r="P14" i="17"/>
  <c r="AB14" i="17" s="1"/>
  <c r="P78" i="17"/>
  <c r="AB78" i="17" s="1"/>
  <c r="O450" i="17"/>
  <c r="AA450" i="17" s="1"/>
  <c r="O514" i="17"/>
  <c r="AA514" i="17" s="1"/>
  <c r="O475" i="17"/>
  <c r="AA475" i="17" s="1"/>
  <c r="O76" i="17"/>
  <c r="AA76" i="17" s="1"/>
  <c r="O43" i="17"/>
  <c r="AA43" i="17" s="1"/>
  <c r="O75" i="17"/>
  <c r="AA75" i="17" s="1"/>
  <c r="O107" i="17"/>
  <c r="AA107" i="17" s="1"/>
  <c r="O139" i="17"/>
  <c r="AA139" i="17" s="1"/>
  <c r="O203" i="17"/>
  <c r="AA203" i="17" s="1"/>
  <c r="O267" i="17"/>
  <c r="AA267" i="17" s="1"/>
  <c r="O158" i="17"/>
  <c r="AA158" i="17" s="1"/>
  <c r="O440" i="17"/>
  <c r="AA440" i="17" s="1"/>
  <c r="O472" i="17"/>
  <c r="AA472" i="17" s="1"/>
  <c r="O504" i="17"/>
  <c r="AA504" i="17" s="1"/>
  <c r="O433" i="17"/>
  <c r="AA433" i="17" s="1"/>
  <c r="O465" i="17"/>
  <c r="AA465" i="17" s="1"/>
  <c r="O497" i="17"/>
  <c r="AA497" i="17" s="1"/>
  <c r="O597" i="17"/>
  <c r="AA597" i="17" s="1"/>
  <c r="P59" i="17"/>
  <c r="AB59" i="17" s="1"/>
  <c r="O431" i="17"/>
  <c r="AA431" i="17" s="1"/>
  <c r="O495" i="17"/>
  <c r="AA495" i="17" s="1"/>
  <c r="O527" i="17"/>
  <c r="AA527" i="17" s="1"/>
  <c r="O536" i="17"/>
  <c r="AA536" i="17" s="1"/>
  <c r="O568" i="17"/>
  <c r="AA568" i="17" s="1"/>
  <c r="O549" i="17"/>
  <c r="AA549" i="17" s="1"/>
  <c r="O595" i="17"/>
  <c r="AA595" i="17" s="1"/>
  <c r="P25" i="17"/>
  <c r="AB25" i="17" s="1"/>
  <c r="P89" i="17"/>
  <c r="AB89" i="17" s="1"/>
  <c r="P24" i="17"/>
  <c r="AB24" i="17" s="1"/>
  <c r="P88" i="17"/>
  <c r="AB88" i="17" s="1"/>
  <c r="O40" i="17"/>
  <c r="AA40" i="17" s="1"/>
  <c r="O104" i="17"/>
  <c r="AA104" i="17" s="1"/>
  <c r="O39" i="17"/>
  <c r="AA39" i="17" s="1"/>
  <c r="O103" i="17"/>
  <c r="AA103" i="17" s="1"/>
  <c r="O135" i="17"/>
  <c r="AA135" i="17" s="1"/>
  <c r="O199" i="17"/>
  <c r="AA199" i="17" s="1"/>
  <c r="O263" i="17"/>
  <c r="AA263" i="17" s="1"/>
  <c r="O122" i="17"/>
  <c r="AA122" i="17" s="1"/>
  <c r="O218" i="17"/>
  <c r="AA218" i="17" s="1"/>
  <c r="O282" i="17"/>
  <c r="AA282" i="17" s="1"/>
  <c r="O314" i="17"/>
  <c r="AA314" i="17" s="1"/>
  <c r="O377" i="17"/>
  <c r="AA377" i="17" s="1"/>
  <c r="O409" i="17"/>
  <c r="AA409" i="17" s="1"/>
  <c r="O340" i="17"/>
  <c r="AA340" i="17" s="1"/>
  <c r="O404" i="17"/>
  <c r="AA404" i="17" s="1"/>
  <c r="O436" i="17"/>
  <c r="AA436" i="17" s="1"/>
  <c r="O500" i="17"/>
  <c r="AA500" i="17" s="1"/>
  <c r="O461" i="17"/>
  <c r="AA461" i="17" s="1"/>
  <c r="O566" i="17"/>
  <c r="AA566" i="17" s="1"/>
  <c r="O579" i="17"/>
  <c r="AA579" i="17" s="1"/>
  <c r="P55" i="17"/>
  <c r="AB55" i="17" s="1"/>
  <c r="P54" i="17"/>
  <c r="AB54" i="17" s="1"/>
  <c r="O426" i="17"/>
  <c r="AA426" i="17" s="1"/>
  <c r="O490" i="17"/>
  <c r="AA490" i="17" s="1"/>
  <c r="O451" i="17"/>
  <c r="AA451" i="17" s="1"/>
  <c r="O588" i="17"/>
  <c r="AA588" i="17" s="1"/>
  <c r="P45" i="17"/>
  <c r="AB45" i="17" s="1"/>
  <c r="P109" i="17"/>
  <c r="AB109" i="17" s="1"/>
  <c r="O50" i="17"/>
  <c r="AA50" i="17" s="1"/>
  <c r="O177" i="17"/>
  <c r="AA177" i="17" s="1"/>
  <c r="O37" i="17"/>
  <c r="AA37" i="17" s="1"/>
  <c r="O84" i="17"/>
  <c r="AA84" i="17" s="1"/>
  <c r="O147" i="17"/>
  <c r="AA147" i="17" s="1"/>
  <c r="O211" i="17"/>
  <c r="AA211" i="17" s="1"/>
  <c r="O275" i="17"/>
  <c r="AA275" i="17" s="1"/>
  <c r="O134" i="17"/>
  <c r="AA134" i="17" s="1"/>
  <c r="O230" i="17"/>
  <c r="AA230" i="17" s="1"/>
  <c r="O294" i="17"/>
  <c r="AA294" i="17" s="1"/>
  <c r="P35" i="17"/>
  <c r="AB35" i="17" s="1"/>
  <c r="P99" i="17"/>
  <c r="AB99" i="17" s="1"/>
  <c r="P34" i="17"/>
  <c r="AB34" i="17" s="1"/>
  <c r="P100" i="17"/>
  <c r="AB100" i="17" s="1"/>
  <c r="O507" i="17"/>
  <c r="AA507" i="17" s="1"/>
  <c r="O561" i="17"/>
  <c r="AA561" i="17" s="1"/>
  <c r="P36" i="17"/>
  <c r="AB36" i="17" s="1"/>
  <c r="O52" i="17"/>
  <c r="AA52" i="17" s="1"/>
  <c r="O27" i="17"/>
  <c r="AA27" i="17" s="1"/>
  <c r="O91" i="17"/>
  <c r="AA91" i="17" s="1"/>
  <c r="O333" i="17"/>
  <c r="AA333" i="17" s="1"/>
  <c r="O397" i="17"/>
  <c r="AA397" i="17" s="1"/>
  <c r="O360" i="17"/>
  <c r="AA360" i="17" s="1"/>
  <c r="O456" i="17"/>
  <c r="AA456" i="17" s="1"/>
  <c r="O481" i="17"/>
  <c r="AA481" i="17" s="1"/>
  <c r="O522" i="17"/>
  <c r="AA522" i="17" s="1"/>
  <c r="O586" i="17"/>
  <c r="AA586" i="17" s="1"/>
  <c r="O600" i="17"/>
  <c r="AA600" i="17" s="1"/>
  <c r="O439" i="17"/>
  <c r="AA439" i="17" s="1"/>
  <c r="O503" i="17"/>
  <c r="AA503" i="17" s="1"/>
  <c r="O535" i="17"/>
  <c r="AA535" i="17" s="1"/>
  <c r="O576" i="17"/>
  <c r="AA576" i="17" s="1"/>
  <c r="O557" i="17"/>
  <c r="AA557" i="17" s="1"/>
  <c r="P33" i="17"/>
  <c r="AB33" i="17" s="1"/>
  <c r="P97" i="17"/>
  <c r="AB97" i="17" s="1"/>
  <c r="P32" i="17"/>
  <c r="AB32" i="17" s="1"/>
  <c r="O48" i="17"/>
  <c r="AA48" i="17" s="1"/>
  <c r="O47" i="17"/>
  <c r="AA47" i="17" s="1"/>
  <c r="O143" i="17"/>
  <c r="AA143" i="17" s="1"/>
  <c r="O207" i="17"/>
  <c r="AA207" i="17" s="1"/>
  <c r="O271" i="17"/>
  <c r="AA271" i="17" s="1"/>
  <c r="O130" i="17"/>
  <c r="AA130" i="17" s="1"/>
  <c r="O226" i="17"/>
  <c r="AA226" i="17" s="1"/>
  <c r="O290" i="17"/>
  <c r="AA290" i="17" s="1"/>
  <c r="O321" i="17"/>
  <c r="AA321" i="17" s="1"/>
  <c r="O385" i="17"/>
  <c r="AA385" i="17" s="1"/>
  <c r="O348" i="17"/>
  <c r="AA348" i="17" s="1"/>
  <c r="O412" i="17"/>
  <c r="AA412" i="17" s="1"/>
  <c r="O444" i="17"/>
  <c r="AA444" i="17" s="1"/>
  <c r="O508" i="17"/>
  <c r="AA508" i="17" s="1"/>
  <c r="O469" i="17"/>
  <c r="AA469" i="17" s="1"/>
  <c r="O574" i="17"/>
  <c r="AA574" i="17" s="1"/>
  <c r="O587" i="17"/>
  <c r="AA587" i="17" s="1"/>
  <c r="O601" i="17"/>
  <c r="AA601" i="17" s="1"/>
  <c r="P63" i="17"/>
  <c r="AB63" i="17" s="1"/>
  <c r="P62" i="17"/>
  <c r="AB62" i="17" s="1"/>
  <c r="O434" i="17"/>
  <c r="AA434" i="17" s="1"/>
  <c r="O498" i="17"/>
  <c r="AA498" i="17" s="1"/>
  <c r="O459" i="17"/>
  <c r="AA459" i="17" s="1"/>
  <c r="O564" i="17"/>
  <c r="AA564" i="17" s="1"/>
  <c r="P47" i="17"/>
  <c r="AB47" i="17" s="1"/>
  <c r="P46" i="17"/>
  <c r="AB46" i="17" s="1"/>
  <c r="O418" i="17"/>
  <c r="AA418" i="17" s="1"/>
  <c r="O482" i="17"/>
  <c r="AA482" i="17" s="1"/>
  <c r="O443" i="17"/>
  <c r="AA443" i="17" s="1"/>
  <c r="O532" i="17"/>
  <c r="AA532" i="17" s="1"/>
  <c r="O36" i="17"/>
  <c r="AA36" i="17" s="1"/>
  <c r="O108" i="17"/>
  <c r="AA108" i="17" s="1"/>
  <c r="O171" i="17"/>
  <c r="AA171" i="17" s="1"/>
  <c r="O235" i="17"/>
  <c r="AA235" i="17" s="1"/>
  <c r="O299" i="17"/>
  <c r="AA299" i="17" s="1"/>
  <c r="O126" i="17"/>
  <c r="AA126" i="17" s="1"/>
  <c r="O538" i="17"/>
  <c r="AA538" i="17" s="1"/>
  <c r="O570" i="17"/>
  <c r="AA570" i="17" s="1"/>
  <c r="O551" i="17"/>
  <c r="AA551" i="17" s="1"/>
  <c r="O583" i="17"/>
  <c r="AA583" i="17" s="1"/>
  <c r="P27" i="17"/>
  <c r="AB27" i="17" s="1"/>
  <c r="P91" i="17"/>
  <c r="AB91" i="17" s="1"/>
  <c r="O502" i="17"/>
  <c r="AA502" i="17" s="1"/>
  <c r="O463" i="17"/>
  <c r="AA463" i="17" s="1"/>
  <c r="O581" i="17"/>
  <c r="AA581" i="17" s="1"/>
  <c r="P57" i="17"/>
  <c r="AB57" i="17" s="1"/>
  <c r="P56" i="17"/>
  <c r="AB56" i="17" s="1"/>
  <c r="O72" i="17"/>
  <c r="AA72" i="17" s="1"/>
  <c r="O71" i="17"/>
  <c r="AA71" i="17" s="1"/>
  <c r="O167" i="17"/>
  <c r="AA167" i="17" s="1"/>
  <c r="O231" i="17"/>
  <c r="AA231" i="17" s="1"/>
  <c r="O295" i="17"/>
  <c r="AA295" i="17" s="1"/>
  <c r="O154" i="17"/>
  <c r="AA154" i="17" s="1"/>
  <c r="O186" i="17"/>
  <c r="AA186" i="17" s="1"/>
  <c r="O250" i="17"/>
  <c r="AA250" i="17" s="1"/>
  <c r="O345" i="17"/>
  <c r="AA345" i="17" s="1"/>
  <c r="O372" i="17"/>
  <c r="AA372" i="17" s="1"/>
  <c r="O468" i="17"/>
  <c r="AA468" i="17" s="1"/>
  <c r="O429" i="17"/>
  <c r="AA429" i="17" s="1"/>
  <c r="O493" i="17"/>
  <c r="AA493" i="17" s="1"/>
  <c r="O525" i="17"/>
  <c r="AA525" i="17" s="1"/>
  <c r="O534" i="17"/>
  <c r="AA534" i="17" s="1"/>
  <c r="O547" i="17"/>
  <c r="AA547" i="17" s="1"/>
  <c r="O612" i="17"/>
  <c r="AA612" i="17" s="1"/>
  <c r="P23" i="17"/>
  <c r="AB23" i="17" s="1"/>
  <c r="P87" i="17"/>
  <c r="AB87" i="17" s="1"/>
  <c r="P22" i="17"/>
  <c r="AB22" i="17" s="1"/>
  <c r="P86" i="17"/>
  <c r="AB86" i="17" s="1"/>
  <c r="O458" i="17"/>
  <c r="AA458" i="17" s="1"/>
  <c r="O419" i="17"/>
  <c r="AA419" i="17" s="1"/>
  <c r="O524" i="17"/>
  <c r="AA524" i="17" s="1"/>
  <c r="O556" i="17"/>
  <c r="AA556" i="17" s="1"/>
  <c r="P13" i="17"/>
  <c r="AB13" i="17" s="1"/>
  <c r="P77" i="17"/>
  <c r="AB77" i="17" s="1"/>
  <c r="O113" i="17"/>
  <c r="AA113" i="17" s="1"/>
  <c r="O241" i="17"/>
  <c r="AA241" i="17" s="1"/>
  <c r="O115" i="17"/>
  <c r="AA115" i="17" s="1"/>
  <c r="O179" i="17"/>
  <c r="AA179" i="17" s="1"/>
  <c r="O243" i="17"/>
  <c r="AA243" i="17" s="1"/>
  <c r="O307" i="17"/>
  <c r="AA307" i="17" s="1"/>
  <c r="O166" i="17"/>
  <c r="AA166" i="17" s="1"/>
  <c r="O198" i="17"/>
  <c r="AA198" i="17" s="1"/>
  <c r="O262" i="17"/>
  <c r="AA262" i="17" s="1"/>
  <c r="O605" i="17"/>
  <c r="AA605" i="17" s="1"/>
  <c r="P67" i="17"/>
  <c r="AB67" i="17" s="1"/>
  <c r="P66" i="17"/>
  <c r="AB66" i="17" s="1"/>
  <c r="P132" i="17"/>
  <c r="AB132" i="17" s="1"/>
  <c r="O593" i="17"/>
  <c r="AA593" i="17" s="1"/>
  <c r="P68" i="17"/>
  <c r="AB68" i="17" s="1"/>
  <c r="O20" i="17"/>
  <c r="AA20" i="17" s="1"/>
  <c r="O59" i="17"/>
  <c r="AA59" i="17" s="1"/>
  <c r="O365" i="17"/>
  <c r="AA365" i="17" s="1"/>
  <c r="O328" i="17"/>
  <c r="AA328" i="17" s="1"/>
  <c r="O392" i="17"/>
  <c r="AA392" i="17" s="1"/>
  <c r="O424" i="17"/>
  <c r="AA424" i="17" s="1"/>
  <c r="O488" i="17"/>
  <c r="AA488" i="17" s="1"/>
  <c r="O417" i="17"/>
  <c r="AA417" i="17" s="1"/>
  <c r="O449" i="17"/>
  <c r="AA449" i="17" s="1"/>
  <c r="O513" i="17"/>
  <c r="AA513" i="17" s="1"/>
  <c r="O554" i="17"/>
  <c r="AA554" i="17" s="1"/>
  <c r="O567" i="17"/>
  <c r="AA567" i="17" s="1"/>
  <c r="O510" i="17"/>
  <c r="AA510" i="17" s="1"/>
  <c r="O471" i="17"/>
  <c r="AA471" i="17" s="1"/>
  <c r="O544" i="17"/>
  <c r="AA544" i="17" s="1"/>
  <c r="O589" i="17"/>
  <c r="AA589" i="17" s="1"/>
  <c r="O603" i="17"/>
  <c r="AA603" i="17" s="1"/>
  <c r="P65" i="17"/>
  <c r="AB65" i="17" s="1"/>
  <c r="P64" i="17"/>
  <c r="AB64" i="17" s="1"/>
  <c r="O16" i="17"/>
  <c r="AA16" i="17" s="1"/>
  <c r="O80" i="17"/>
  <c r="AA80" i="17" s="1"/>
  <c r="O15" i="17"/>
  <c r="AA15" i="17" s="1"/>
  <c r="O79" i="17"/>
  <c r="AA79" i="17" s="1"/>
  <c r="O111" i="17"/>
  <c r="AA111" i="17" s="1"/>
  <c r="O175" i="17"/>
  <c r="AA175" i="17" s="1"/>
  <c r="O239" i="17"/>
  <c r="AA239" i="17" s="1"/>
  <c r="O303" i="17"/>
  <c r="AA303" i="17" s="1"/>
  <c r="O162" i="17"/>
  <c r="AA162" i="17" s="1"/>
  <c r="O194" i="17"/>
  <c r="AA194" i="17" s="1"/>
  <c r="O258" i="17"/>
  <c r="AA258" i="17" s="1"/>
  <c r="O353" i="17"/>
  <c r="AA353" i="17" s="1"/>
  <c r="O316" i="17"/>
  <c r="AA316" i="17" s="1"/>
  <c r="O380" i="17"/>
  <c r="AA380" i="17" s="1"/>
  <c r="O476" i="17"/>
  <c r="AA476" i="17" s="1"/>
  <c r="O437" i="17"/>
  <c r="AA437" i="17" s="1"/>
  <c r="O501" i="17"/>
  <c r="AA501" i="17" s="1"/>
  <c r="O533" i="17"/>
  <c r="AA533" i="17" s="1"/>
  <c r="O542" i="17"/>
  <c r="AA542" i="17" s="1"/>
  <c r="O555" i="17"/>
  <c r="AA555" i="17" s="1"/>
  <c r="P31" i="17"/>
  <c r="AB31" i="17" s="1"/>
  <c r="P95" i="17"/>
  <c r="AB95" i="17" s="1"/>
  <c r="P30" i="17"/>
  <c r="AB30" i="17" s="1"/>
  <c r="P96" i="17"/>
  <c r="AB96" i="17" s="1"/>
  <c r="O466" i="17"/>
  <c r="AA466" i="17" s="1"/>
  <c r="O427" i="17"/>
  <c r="AA427" i="17" s="1"/>
  <c r="O491" i="17"/>
  <c r="AA491" i="17" s="1"/>
  <c r="O523" i="17"/>
  <c r="AA523" i="17" s="1"/>
  <c r="O539" i="17"/>
  <c r="AA539" i="17" s="1"/>
  <c r="O548" i="17"/>
  <c r="AA548" i="17" s="1"/>
  <c r="O580" i="17"/>
  <c r="AA580" i="17" s="1"/>
  <c r="O545" i="17"/>
  <c r="AA545" i="17" s="1"/>
  <c r="O610" i="17"/>
  <c r="AA610" i="17" s="1"/>
  <c r="O607" i="17"/>
  <c r="AA607" i="17" s="1"/>
  <c r="P37" i="17"/>
  <c r="AB37" i="17" s="1"/>
  <c r="P69" i="17"/>
  <c r="AB69" i="17" s="1"/>
  <c r="P101" i="17"/>
  <c r="AB101" i="17" s="1"/>
  <c r="P20" i="17"/>
  <c r="AB20" i="17" s="1"/>
  <c r="P84" i="17"/>
  <c r="AB84" i="17" s="1"/>
  <c r="O34" i="17"/>
  <c r="AA34" i="17" s="1"/>
  <c r="O98" i="17"/>
  <c r="AA98" i="17" s="1"/>
  <c r="O161" i="17"/>
  <c r="AA161" i="17" s="1"/>
  <c r="O225" i="17"/>
  <c r="AA225" i="17" s="1"/>
  <c r="O21" i="17"/>
  <c r="AA21" i="17" s="1"/>
  <c r="O60" i="17"/>
  <c r="AA60" i="17" s="1"/>
  <c r="O19" i="17"/>
  <c r="AA19" i="17" s="1"/>
  <c r="O83" i="17"/>
  <c r="AA83" i="17" s="1"/>
  <c r="O155" i="17"/>
  <c r="AA155" i="17" s="1"/>
  <c r="O219" i="17"/>
  <c r="AA219" i="17" s="1"/>
  <c r="O283" i="17"/>
  <c r="AA283" i="17" s="1"/>
  <c r="O110" i="17"/>
  <c r="AA110" i="17" s="1"/>
  <c r="O142" i="17"/>
  <c r="AA142" i="17" s="1"/>
  <c r="O206" i="17"/>
  <c r="AA206" i="17" s="1"/>
  <c r="O238" i="17"/>
  <c r="AA238" i="17" s="1"/>
  <c r="O270" i="17"/>
  <c r="AA270" i="17" s="1"/>
  <c r="O302" i="17"/>
  <c r="AA302" i="17" s="1"/>
  <c r="O317" i="17"/>
  <c r="AA317" i="17" s="1"/>
  <c r="O381" i="17"/>
  <c r="AA381" i="17" s="1"/>
  <c r="O413" i="17"/>
  <c r="AA413" i="17" s="1"/>
  <c r="O344" i="17"/>
  <c r="AA344" i="17" s="1"/>
  <c r="O408" i="17"/>
  <c r="AA408" i="17" s="1"/>
  <c r="O480" i="17"/>
  <c r="AA480" i="17" s="1"/>
  <c r="O441" i="17"/>
  <c r="AA441" i="17" s="1"/>
  <c r="O505" i="17"/>
  <c r="AA505" i="17" s="1"/>
  <c r="O546" i="17"/>
  <c r="AA546" i="17" s="1"/>
  <c r="O559" i="17"/>
  <c r="AA559" i="17" s="1"/>
  <c r="O613" i="17"/>
  <c r="AA613" i="17" s="1"/>
  <c r="P75" i="17"/>
  <c r="AB75" i="17" s="1"/>
  <c r="P42" i="17"/>
  <c r="AB42" i="17" s="1"/>
  <c r="P74" i="17"/>
  <c r="AB74" i="17" s="1"/>
  <c r="P108" i="17"/>
  <c r="AB108" i="17" s="1"/>
  <c r="O483" i="17"/>
  <c r="AA483" i="17" s="1"/>
  <c r="O602" i="17"/>
  <c r="AA602" i="17" s="1"/>
  <c r="P76" i="17"/>
  <c r="AB76" i="17" s="1"/>
  <c r="O325" i="17"/>
  <c r="AA325" i="17" s="1"/>
  <c r="O389" i="17"/>
  <c r="AA389" i="17" s="1"/>
  <c r="O352" i="17"/>
  <c r="AA352" i="17" s="1"/>
  <c r="O416" i="17"/>
  <c r="AA416" i="17" s="1"/>
  <c r="O479" i="17"/>
  <c r="AA479" i="17" s="1"/>
  <c r="O543" i="17"/>
  <c r="AA543" i="17" s="1"/>
  <c r="O552" i="17"/>
  <c r="AA552" i="17" s="1"/>
  <c r="O598" i="17"/>
  <c r="AA598" i="17" s="1"/>
  <c r="O611" i="17"/>
  <c r="AA611" i="17" s="1"/>
  <c r="P73" i="17"/>
  <c r="AB73" i="17" s="1"/>
  <c r="P72" i="17"/>
  <c r="AB72" i="17" s="1"/>
  <c r="O24" i="17"/>
  <c r="AA24" i="17" s="1"/>
  <c r="O88" i="17"/>
  <c r="AA88" i="17" s="1"/>
  <c r="O23" i="17"/>
  <c r="AA23" i="17" s="1"/>
  <c r="O87" i="17"/>
  <c r="AA87" i="17" s="1"/>
  <c r="O119" i="17"/>
  <c r="AA119" i="17" s="1"/>
  <c r="O183" i="17"/>
  <c r="AA183" i="17" s="1"/>
  <c r="O247" i="17"/>
  <c r="AA247" i="17" s="1"/>
  <c r="O311" i="17"/>
  <c r="AA311" i="17" s="1"/>
  <c r="O170" i="17"/>
  <c r="AA170" i="17" s="1"/>
  <c r="O202" i="17"/>
  <c r="AA202" i="17" s="1"/>
  <c r="O266" i="17"/>
  <c r="AA266" i="17" s="1"/>
  <c r="O361" i="17"/>
  <c r="AA361" i="17" s="1"/>
  <c r="O324" i="17"/>
  <c r="AA324" i="17" s="1"/>
  <c r="O388" i="17"/>
  <c r="AA388" i="17" s="1"/>
  <c r="O420" i="17"/>
  <c r="AA420" i="17" s="1"/>
  <c r="O484" i="17"/>
  <c r="AA484" i="17" s="1"/>
  <c r="O445" i="17"/>
  <c r="AA445" i="17" s="1"/>
  <c r="O509" i="17"/>
  <c r="AA509" i="17" s="1"/>
  <c r="O550" i="17"/>
  <c r="AA550" i="17" s="1"/>
  <c r="O563" i="17"/>
  <c r="AA563" i="17" s="1"/>
  <c r="P39" i="17"/>
  <c r="AB39" i="17" s="1"/>
  <c r="P103" i="17"/>
  <c r="AB103" i="17" s="1"/>
  <c r="P38" i="17"/>
  <c r="AB38" i="17" s="1"/>
  <c r="O474" i="17"/>
  <c r="AA474" i="17" s="1"/>
  <c r="O435" i="17"/>
  <c r="AA435" i="17" s="1"/>
  <c r="O499" i="17"/>
  <c r="AA499" i="17" s="1"/>
  <c r="O531" i="17"/>
  <c r="AA531" i="17" s="1"/>
  <c r="O540" i="17"/>
  <c r="AA540" i="17" s="1"/>
  <c r="O572" i="17"/>
  <c r="AA572" i="17" s="1"/>
  <c r="O553" i="17"/>
  <c r="AA553" i="17" s="1"/>
  <c r="P29" i="17"/>
  <c r="AB29" i="17" s="1"/>
  <c r="P93" i="17"/>
  <c r="AB93" i="17" s="1"/>
  <c r="P28" i="17"/>
  <c r="AB28" i="17" s="1"/>
  <c r="P92" i="17"/>
  <c r="AB92" i="17" s="1"/>
  <c r="O44" i="17"/>
  <c r="AA44" i="17" s="1"/>
  <c r="O82" i="17"/>
  <c r="AA82" i="17" s="1"/>
  <c r="O209" i="17"/>
  <c r="AA209" i="17" s="1"/>
  <c r="O100" i="17"/>
  <c r="AA100" i="17" s="1"/>
  <c r="O35" i="17"/>
  <c r="AA35" i="17" s="1"/>
  <c r="O99" i="17"/>
  <c r="AA99" i="17" s="1"/>
  <c r="O131" i="17"/>
  <c r="AA131" i="17" s="1"/>
  <c r="O195" i="17"/>
  <c r="AA195" i="17" s="1"/>
  <c r="O259" i="17"/>
  <c r="AA259" i="17" s="1"/>
  <c r="O118" i="17"/>
  <c r="AA118" i="17" s="1"/>
  <c r="O214" i="17"/>
  <c r="AA214" i="17" s="1"/>
  <c r="O278" i="17"/>
  <c r="AA278" i="17" s="1"/>
  <c r="O373" i="17"/>
  <c r="AA373" i="17" s="1"/>
  <c r="O336" i="17"/>
  <c r="AA336" i="17" s="1"/>
  <c r="O400" i="17"/>
  <c r="AA400" i="17" s="1"/>
  <c r="O432" i="17"/>
  <c r="AA432" i="17" s="1"/>
  <c r="O496" i="17"/>
  <c r="AA496" i="17" s="1"/>
  <c r="O457" i="17"/>
  <c r="AA457" i="17" s="1"/>
  <c r="O562" i="17"/>
  <c r="AA562" i="17" s="1"/>
  <c r="O575" i="17"/>
  <c r="AA575" i="17" s="1"/>
  <c r="P51" i="17"/>
  <c r="AB51" i="17" s="1"/>
  <c r="P50" i="17"/>
  <c r="AB50" i="17" s="1"/>
  <c r="P116" i="17"/>
  <c r="AB116" i="17" s="1"/>
  <c r="P180" i="17"/>
  <c r="AB180" i="17" s="1"/>
  <c r="P160" i="17"/>
  <c r="AB160" i="17" s="1"/>
  <c r="P224" i="17"/>
  <c r="AB224" i="17" s="1"/>
  <c r="P288" i="17"/>
  <c r="AB288" i="17" s="1"/>
  <c r="P147" i="17"/>
  <c r="AB147" i="17" s="1"/>
  <c r="P211" i="17"/>
  <c r="AB211" i="17" s="1"/>
  <c r="P275" i="17"/>
  <c r="AB275" i="17" s="1"/>
  <c r="P372" i="17"/>
  <c r="AB372" i="17" s="1"/>
  <c r="P365" i="17"/>
  <c r="AB365" i="17" s="1"/>
  <c r="P461" i="17"/>
  <c r="AB461" i="17" s="1"/>
  <c r="P424" i="17"/>
  <c r="AB424" i="17" s="1"/>
  <c r="P488" i="17"/>
  <c r="AB488" i="17" s="1"/>
  <c r="P583" i="17"/>
  <c r="AB583" i="17" s="1"/>
  <c r="P541" i="17"/>
  <c r="AB541" i="17" s="1"/>
  <c r="P603" i="17"/>
  <c r="AB603" i="17" s="1"/>
  <c r="P94" i="17"/>
  <c r="AB94" i="17" s="1"/>
  <c r="P158" i="17"/>
  <c r="AB158" i="17" s="1"/>
  <c r="P222" i="17"/>
  <c r="AB222" i="17" s="1"/>
  <c r="P286" i="17"/>
  <c r="AB286" i="17" s="1"/>
  <c r="P145" i="17"/>
  <c r="AB145" i="17" s="1"/>
  <c r="P209" i="17"/>
  <c r="AB209" i="17" s="1"/>
  <c r="P273" i="17"/>
  <c r="AB273" i="17" s="1"/>
  <c r="P370" i="17"/>
  <c r="AB370" i="17" s="1"/>
  <c r="P363" i="17"/>
  <c r="AB363" i="17" s="1"/>
  <c r="P459" i="17"/>
  <c r="AB459" i="17" s="1"/>
  <c r="P422" i="17"/>
  <c r="AB422" i="17" s="1"/>
  <c r="P486" i="17"/>
  <c r="AB486" i="17" s="1"/>
  <c r="P549" i="17"/>
  <c r="AB549" i="17" s="1"/>
  <c r="P539" i="17"/>
  <c r="AB539" i="17" s="1"/>
  <c r="P601" i="17"/>
  <c r="AB601" i="17" s="1"/>
  <c r="O518" i="17"/>
  <c r="AA518" i="17" s="1"/>
  <c r="O577" i="17"/>
  <c r="AA577" i="17" s="1"/>
  <c r="P21" i="17"/>
  <c r="AB21" i="17" s="1"/>
  <c r="P53" i="17"/>
  <c r="AB53" i="17" s="1"/>
  <c r="P85" i="17"/>
  <c r="AB85" i="17" s="1"/>
  <c r="P52" i="17"/>
  <c r="AB52" i="17" s="1"/>
  <c r="O28" i="17"/>
  <c r="AA28" i="17" s="1"/>
  <c r="O66" i="17"/>
  <c r="AA66" i="17" s="1"/>
  <c r="O129" i="17"/>
  <c r="AA129" i="17" s="1"/>
  <c r="O193" i="17"/>
  <c r="AA193" i="17" s="1"/>
  <c r="O257" i="17"/>
  <c r="AA257" i="17" s="1"/>
  <c r="O92" i="17"/>
  <c r="AA92" i="17" s="1"/>
  <c r="O51" i="17"/>
  <c r="AA51" i="17" s="1"/>
  <c r="O123" i="17"/>
  <c r="AA123" i="17" s="1"/>
  <c r="O187" i="17"/>
  <c r="AA187" i="17" s="1"/>
  <c r="O251" i="17"/>
  <c r="AA251" i="17" s="1"/>
  <c r="O174" i="17"/>
  <c r="AA174" i="17" s="1"/>
  <c r="O190" i="17"/>
  <c r="AA190" i="17" s="1"/>
  <c r="O222" i="17"/>
  <c r="AA222" i="17" s="1"/>
  <c r="O254" i="17"/>
  <c r="AA254" i="17" s="1"/>
  <c r="O286" i="17"/>
  <c r="AA286" i="17" s="1"/>
  <c r="O349" i="17"/>
  <c r="AA349" i="17" s="1"/>
  <c r="O376" i="17"/>
  <c r="AA376" i="17" s="1"/>
  <c r="O448" i="17"/>
  <c r="AA448" i="17" s="1"/>
  <c r="O512" i="17"/>
  <c r="AA512" i="17" s="1"/>
  <c r="O473" i="17"/>
  <c r="AA473" i="17" s="1"/>
  <c r="O529" i="17"/>
  <c r="AA529" i="17" s="1"/>
  <c r="O578" i="17"/>
  <c r="AA578" i="17" s="1"/>
  <c r="O591" i="17"/>
  <c r="AA591" i="17" s="1"/>
  <c r="P43" i="17"/>
  <c r="AB43" i="17" s="1"/>
  <c r="P107" i="17"/>
  <c r="AB107" i="17" s="1"/>
  <c r="P26" i="17"/>
  <c r="AB26" i="17" s="1"/>
  <c r="P58" i="17"/>
  <c r="AB58" i="17" s="1"/>
  <c r="P90" i="17"/>
  <c r="AB90" i="17" s="1"/>
  <c r="P124" i="17"/>
  <c r="AB124" i="17" s="1"/>
  <c r="O515" i="17"/>
  <c r="AA515" i="17" s="1"/>
  <c r="O569" i="17"/>
  <c r="AA569" i="17" s="1"/>
  <c r="P44" i="17"/>
  <c r="AB44" i="17" s="1"/>
  <c r="O357" i="17"/>
  <c r="AA357" i="17" s="1"/>
  <c r="O320" i="17"/>
  <c r="AA320" i="17" s="1"/>
  <c r="O384" i="17"/>
  <c r="AA384" i="17" s="1"/>
  <c r="O537" i="17"/>
  <c r="AA537" i="17" s="1"/>
  <c r="O486" i="17"/>
  <c r="AA486" i="17" s="1"/>
  <c r="O520" i="17"/>
  <c r="AA520" i="17" s="1"/>
  <c r="O447" i="17"/>
  <c r="AA447" i="17" s="1"/>
  <c r="O511" i="17"/>
  <c r="AA511" i="17" s="1"/>
  <c r="O584" i="17"/>
  <c r="AA584" i="17" s="1"/>
  <c r="O565" i="17"/>
  <c r="AA565" i="17" s="1"/>
  <c r="P41" i="17"/>
  <c r="AB41" i="17" s="1"/>
  <c r="P105" i="17"/>
  <c r="AB105" i="17" s="1"/>
  <c r="P40" i="17"/>
  <c r="AB40" i="17" s="1"/>
  <c r="O56" i="17"/>
  <c r="AA56" i="17" s="1"/>
  <c r="O55" i="17"/>
  <c r="AA55" i="17" s="1"/>
  <c r="O151" i="17"/>
  <c r="AA151" i="17" s="1"/>
  <c r="O215" i="17"/>
  <c r="AA215" i="17" s="1"/>
  <c r="O279" i="17"/>
  <c r="AA279" i="17" s="1"/>
  <c r="O138" i="17"/>
  <c r="AA138" i="17" s="1"/>
  <c r="O234" i="17"/>
  <c r="AA234" i="17" s="1"/>
  <c r="O298" i="17"/>
  <c r="AA298" i="17" s="1"/>
  <c r="O329" i="17"/>
  <c r="AA329" i="17" s="1"/>
  <c r="O393" i="17"/>
  <c r="AA393" i="17" s="1"/>
  <c r="O356" i="17"/>
  <c r="AA356" i="17" s="1"/>
  <c r="O452" i="17"/>
  <c r="AA452" i="17" s="1"/>
  <c r="O516" i="17"/>
  <c r="AA516" i="17" s="1"/>
  <c r="O477" i="17"/>
  <c r="AA477" i="17" s="1"/>
  <c r="O541" i="17"/>
  <c r="AA541" i="17" s="1"/>
  <c r="O582" i="17"/>
  <c r="AA582" i="17" s="1"/>
  <c r="O596" i="17"/>
  <c r="AA596" i="17" s="1"/>
  <c r="O609" i="17"/>
  <c r="AA609" i="17" s="1"/>
  <c r="P71" i="17"/>
  <c r="AB71" i="17" s="1"/>
  <c r="P70" i="17"/>
  <c r="AB70" i="17" s="1"/>
  <c r="O410" i="17"/>
  <c r="AA410" i="17" s="1"/>
  <c r="O442" i="17"/>
  <c r="AA442" i="17" s="1"/>
  <c r="O506" i="17"/>
  <c r="AA506" i="17" s="1"/>
  <c r="O467" i="17"/>
  <c r="AA467" i="17" s="1"/>
  <c r="O585" i="17"/>
  <c r="AA585" i="17" s="1"/>
  <c r="O599" i="17"/>
  <c r="AA599" i="17" s="1"/>
  <c r="P61" i="17"/>
  <c r="AB61" i="17" s="1"/>
  <c r="P60" i="17"/>
  <c r="AB60" i="17" s="1"/>
  <c r="O18" i="17"/>
  <c r="AA18" i="17" s="1"/>
  <c r="O145" i="17"/>
  <c r="AA145" i="17" s="1"/>
  <c r="O273" i="17"/>
  <c r="AA273" i="17" s="1"/>
  <c r="O68" i="17"/>
  <c r="AA68" i="17" s="1"/>
  <c r="O67" i="17"/>
  <c r="AA67" i="17" s="1"/>
  <c r="O163" i="17"/>
  <c r="AA163" i="17" s="1"/>
  <c r="O227" i="17"/>
  <c r="AA227" i="17" s="1"/>
  <c r="O291" i="17"/>
  <c r="AA291" i="17" s="1"/>
  <c r="O150" i="17"/>
  <c r="AA150" i="17" s="1"/>
  <c r="O182" i="17"/>
  <c r="AA182" i="17" s="1"/>
  <c r="O246" i="17"/>
  <c r="AA246" i="17" s="1"/>
  <c r="O310" i="17"/>
  <c r="AA310" i="17" s="1"/>
  <c r="O341" i="17"/>
  <c r="AA341" i="17" s="1"/>
  <c r="O405" i="17"/>
  <c r="AA405" i="17" s="1"/>
  <c r="O368" i="17"/>
  <c r="AA368" i="17" s="1"/>
  <c r="O464" i="17"/>
  <c r="AA464" i="17" s="1"/>
  <c r="O425" i="17"/>
  <c r="AA425" i="17" s="1"/>
  <c r="O489" i="17"/>
  <c r="AA489" i="17" s="1"/>
  <c r="O521" i="17"/>
  <c r="AA521" i="17" s="1"/>
  <c r="O530" i="17"/>
  <c r="AA530" i="17" s="1"/>
  <c r="O594" i="17"/>
  <c r="AA594" i="17" s="1"/>
  <c r="O608" i="17"/>
  <c r="AA608" i="17" s="1"/>
  <c r="P19" i="17"/>
  <c r="AB19" i="17" s="1"/>
  <c r="P83" i="17"/>
  <c r="AB83" i="17" s="1"/>
  <c r="P18" i="17"/>
  <c r="AB18" i="17" s="1"/>
  <c r="P82" i="17"/>
  <c r="AB82" i="17" s="1"/>
  <c r="P148" i="17"/>
  <c r="AB148" i="17" s="1"/>
  <c r="P128" i="17"/>
  <c r="AB128" i="17" s="1"/>
  <c r="P192" i="17"/>
  <c r="AB192" i="17" s="1"/>
  <c r="P256" i="17"/>
  <c r="AB256" i="17" s="1"/>
  <c r="P115" i="17"/>
  <c r="AB115" i="17" s="1"/>
  <c r="P179" i="17"/>
  <c r="AB179" i="17" s="1"/>
  <c r="P243" i="17"/>
  <c r="AB243" i="17" s="1"/>
  <c r="P307" i="17"/>
  <c r="AB307" i="17" s="1"/>
  <c r="P340" i="17"/>
  <c r="AB340" i="17" s="1"/>
  <c r="P404" i="17"/>
  <c r="AB404" i="17" s="1"/>
  <c r="P333" i="17"/>
  <c r="AB333" i="17" s="1"/>
  <c r="P397" i="17"/>
  <c r="AB397" i="17" s="1"/>
  <c r="P429" i="17"/>
  <c r="AB429" i="17" s="1"/>
  <c r="P493" i="17"/>
  <c r="AB493" i="17" s="1"/>
  <c r="P456" i="17"/>
  <c r="AB456" i="17" s="1"/>
  <c r="P518" i="17"/>
  <c r="AB518" i="17" s="1"/>
  <c r="P551" i="17"/>
  <c r="AB551" i="17" s="1"/>
  <c r="P572" i="17"/>
  <c r="AB572" i="17" s="1"/>
  <c r="P126" i="17"/>
  <c r="AB126" i="17" s="1"/>
  <c r="P190" i="17"/>
  <c r="AB190" i="17" s="1"/>
  <c r="P254" i="17"/>
  <c r="AB254" i="17" s="1"/>
  <c r="P113" i="17"/>
  <c r="AB113" i="17" s="1"/>
  <c r="P177" i="17"/>
  <c r="AB177" i="17" s="1"/>
  <c r="P241" i="17"/>
  <c r="AB241" i="17" s="1"/>
  <c r="P305" i="17"/>
  <c r="AB305" i="17" s="1"/>
  <c r="P338" i="17"/>
  <c r="AB338" i="17" s="1"/>
  <c r="P402" i="17"/>
  <c r="AB402" i="17" s="1"/>
  <c r="P331" i="17"/>
  <c r="AB331" i="17" s="1"/>
  <c r="P395" i="17"/>
  <c r="AB395" i="17" s="1"/>
  <c r="P427" i="17"/>
  <c r="AB427" i="17" s="1"/>
  <c r="P491" i="17"/>
  <c r="AB491" i="17" s="1"/>
  <c r="P454" i="17"/>
  <c r="AB454" i="17" s="1"/>
  <c r="P519" i="17"/>
  <c r="AB519" i="17" s="1"/>
  <c r="P581" i="17"/>
  <c r="AB581" i="17" s="1"/>
  <c r="P570" i="17"/>
  <c r="AB570" i="17" s="1"/>
  <c r="P212" i="17"/>
  <c r="AB212" i="17" s="1"/>
  <c r="P172" i="17"/>
  <c r="AB172" i="17" s="1"/>
  <c r="P152" i="17"/>
  <c r="AB152" i="17" s="1"/>
  <c r="P216" i="17"/>
  <c r="AB216" i="17" s="1"/>
  <c r="P280" i="17"/>
  <c r="AB280" i="17" s="1"/>
  <c r="P139" i="17"/>
  <c r="AB139" i="17" s="1"/>
  <c r="P203" i="17"/>
  <c r="AB203" i="17" s="1"/>
  <c r="P267" i="17"/>
  <c r="AB267" i="17" s="1"/>
  <c r="P364" i="17"/>
  <c r="AB364" i="17" s="1"/>
  <c r="P357" i="17"/>
  <c r="AB357" i="17" s="1"/>
  <c r="P453" i="17"/>
  <c r="AB453" i="17" s="1"/>
  <c r="P517" i="17"/>
  <c r="AB517" i="17" s="1"/>
  <c r="P480" i="17"/>
  <c r="AB480" i="17" s="1"/>
  <c r="P542" i="17"/>
  <c r="AB542" i="17" s="1"/>
  <c r="P575" i="17"/>
  <c r="AB575" i="17" s="1"/>
  <c r="P533" i="17"/>
  <c r="AB533" i="17" s="1"/>
  <c r="P595" i="17"/>
  <c r="AB595" i="17" s="1"/>
  <c r="P608" i="17"/>
  <c r="AB608" i="17" s="1"/>
  <c r="P150" i="17"/>
  <c r="AB150" i="17" s="1"/>
  <c r="P214" i="17"/>
  <c r="AB214" i="17" s="1"/>
  <c r="P278" i="17"/>
  <c r="AB278" i="17" s="1"/>
  <c r="P137" i="17"/>
  <c r="AB137" i="17" s="1"/>
  <c r="P201" i="17"/>
  <c r="AB201" i="17" s="1"/>
  <c r="P265" i="17"/>
  <c r="AB265" i="17" s="1"/>
  <c r="P362" i="17"/>
  <c r="AB362" i="17" s="1"/>
  <c r="P355" i="17"/>
  <c r="AB355" i="17" s="1"/>
  <c r="P451" i="17"/>
  <c r="AB451" i="17" s="1"/>
  <c r="P515" i="17"/>
  <c r="AB515" i="17" s="1"/>
  <c r="P478" i="17"/>
  <c r="AB478" i="17" s="1"/>
  <c r="P540" i="17"/>
  <c r="AB540" i="17" s="1"/>
  <c r="P531" i="17"/>
  <c r="AB531" i="17" s="1"/>
  <c r="P594" i="17"/>
  <c r="AB594" i="17" s="1"/>
  <c r="P606" i="17"/>
  <c r="AB606" i="17" s="1"/>
  <c r="P252" i="17"/>
  <c r="AB252" i="17" s="1"/>
  <c r="P164" i="17"/>
  <c r="AB164" i="17" s="1"/>
  <c r="P144" i="17"/>
  <c r="AB144" i="17" s="1"/>
  <c r="P208" i="17"/>
  <c r="AB208" i="17" s="1"/>
  <c r="P272" i="17"/>
  <c r="AB272" i="17" s="1"/>
  <c r="P131" i="17"/>
  <c r="AB131" i="17" s="1"/>
  <c r="P195" i="17"/>
  <c r="AB195" i="17" s="1"/>
  <c r="P259" i="17"/>
  <c r="AB259" i="17" s="1"/>
  <c r="P356" i="17"/>
  <c r="AB356" i="17" s="1"/>
  <c r="P349" i="17"/>
  <c r="AB349" i="17" s="1"/>
  <c r="P413" i="17"/>
  <c r="AB413" i="17" s="1"/>
  <c r="P445" i="17"/>
  <c r="AB445" i="17" s="1"/>
  <c r="P509" i="17"/>
  <c r="AB509" i="17" s="1"/>
  <c r="P472" i="17"/>
  <c r="AB472" i="17" s="1"/>
  <c r="P534" i="17"/>
  <c r="AB534" i="17" s="1"/>
  <c r="P567" i="17"/>
  <c r="AB567" i="17" s="1"/>
  <c r="P525" i="17"/>
  <c r="AB525" i="17" s="1"/>
  <c r="P588" i="17"/>
  <c r="AB588" i="17" s="1"/>
  <c r="P600" i="17"/>
  <c r="AB600" i="17" s="1"/>
  <c r="P142" i="17"/>
  <c r="AB142" i="17" s="1"/>
  <c r="P206" i="17"/>
  <c r="AB206" i="17" s="1"/>
  <c r="P270" i="17"/>
  <c r="AB270" i="17" s="1"/>
  <c r="P129" i="17"/>
  <c r="AB129" i="17" s="1"/>
  <c r="P193" i="17"/>
  <c r="AB193" i="17" s="1"/>
  <c r="P257" i="17"/>
  <c r="AB257" i="17" s="1"/>
  <c r="P354" i="17"/>
  <c r="AB354" i="17" s="1"/>
  <c r="P347" i="17"/>
  <c r="AB347" i="17" s="1"/>
  <c r="P411" i="17"/>
  <c r="AB411" i="17" s="1"/>
  <c r="P443" i="17"/>
  <c r="AB443" i="17" s="1"/>
  <c r="P507" i="17"/>
  <c r="AB507" i="17" s="1"/>
  <c r="P470" i="17"/>
  <c r="AB470" i="17" s="1"/>
  <c r="P532" i="17"/>
  <c r="AB532" i="17" s="1"/>
  <c r="P523" i="17"/>
  <c r="AB523" i="17" s="1"/>
  <c r="P586" i="17"/>
  <c r="AB586" i="17" s="1"/>
  <c r="P598" i="17"/>
  <c r="AB598" i="17" s="1"/>
  <c r="P228" i="17"/>
  <c r="AB228" i="17" s="1"/>
  <c r="P104" i="17"/>
  <c r="AB104" i="17" s="1"/>
  <c r="P168" i="17"/>
  <c r="AB168" i="17" s="1"/>
  <c r="P232" i="17"/>
  <c r="AB232" i="17" s="1"/>
  <c r="P296" i="17"/>
  <c r="AB296" i="17" s="1"/>
  <c r="P155" i="17"/>
  <c r="AB155" i="17" s="1"/>
  <c r="P219" i="17"/>
  <c r="AB219" i="17" s="1"/>
  <c r="P283" i="17"/>
  <c r="AB283" i="17" s="1"/>
  <c r="P316" i="17"/>
  <c r="AB316" i="17" s="1"/>
  <c r="P380" i="17"/>
  <c r="AB380" i="17" s="1"/>
  <c r="P373" i="17"/>
  <c r="AB373" i="17" s="1"/>
  <c r="P469" i="17"/>
  <c r="AB469" i="17" s="1"/>
  <c r="P432" i="17"/>
  <c r="AB432" i="17" s="1"/>
  <c r="P496" i="17"/>
  <c r="AB496" i="17" s="1"/>
  <c r="P591" i="17"/>
  <c r="AB591" i="17" s="1"/>
  <c r="P548" i="17"/>
  <c r="AB548" i="17" s="1"/>
  <c r="P611" i="17"/>
  <c r="AB611" i="17" s="1"/>
  <c r="P102" i="17"/>
  <c r="AB102" i="17" s="1"/>
  <c r="P166" i="17"/>
  <c r="AB166" i="17" s="1"/>
  <c r="P230" i="17"/>
  <c r="AB230" i="17" s="1"/>
  <c r="P294" i="17"/>
  <c r="AB294" i="17" s="1"/>
  <c r="P153" i="17"/>
  <c r="AB153" i="17" s="1"/>
  <c r="P217" i="17"/>
  <c r="AB217" i="17" s="1"/>
  <c r="P281" i="17"/>
  <c r="AB281" i="17" s="1"/>
  <c r="P378" i="17"/>
  <c r="AB378" i="17" s="1"/>
  <c r="P371" i="17"/>
  <c r="AB371" i="17" s="1"/>
  <c r="P467" i="17"/>
  <c r="AB467" i="17" s="1"/>
  <c r="P430" i="17"/>
  <c r="AB430" i="17" s="1"/>
  <c r="P494" i="17"/>
  <c r="AB494" i="17" s="1"/>
  <c r="P557" i="17"/>
  <c r="AB557" i="17" s="1"/>
  <c r="P546" i="17"/>
  <c r="AB546" i="17" s="1"/>
  <c r="P609" i="17"/>
  <c r="AB609" i="17" s="1"/>
  <c r="P188" i="17"/>
  <c r="AB188" i="17" s="1"/>
  <c r="P268" i="17"/>
  <c r="AB268" i="17" s="1"/>
  <c r="P127" i="17"/>
  <c r="AB127" i="17" s="1"/>
  <c r="P191" i="17"/>
  <c r="AB191" i="17" s="1"/>
  <c r="P255" i="17"/>
  <c r="AB255" i="17" s="1"/>
  <c r="P352" i="17"/>
  <c r="AB352" i="17" s="1"/>
  <c r="P416" i="17"/>
  <c r="AB416" i="17" s="1"/>
  <c r="P345" i="17"/>
  <c r="AB345" i="17" s="1"/>
  <c r="P409" i="17"/>
  <c r="AB409" i="17" s="1"/>
  <c r="P441" i="17"/>
  <c r="AB441" i="17" s="1"/>
  <c r="P505" i="17"/>
  <c r="AB505" i="17" s="1"/>
  <c r="P436" i="17"/>
  <c r="AB436" i="17" s="1"/>
  <c r="P500" i="17"/>
  <c r="AB500" i="17" s="1"/>
  <c r="P552" i="17"/>
  <c r="AB552" i="17" s="1"/>
  <c r="P106" i="17"/>
  <c r="AB106" i="17" s="1"/>
  <c r="P170" i="17"/>
  <c r="AB170" i="17" s="1"/>
  <c r="P234" i="17"/>
  <c r="AB234" i="17" s="1"/>
  <c r="P298" i="17"/>
  <c r="AB298" i="17" s="1"/>
  <c r="P157" i="17"/>
  <c r="AB157" i="17" s="1"/>
  <c r="P221" i="17"/>
  <c r="AB221" i="17" s="1"/>
  <c r="P285" i="17"/>
  <c r="AB285" i="17" s="1"/>
  <c r="P318" i="17"/>
  <c r="AB318" i="17" s="1"/>
  <c r="P382" i="17"/>
  <c r="AB382" i="17" s="1"/>
  <c r="P375" i="17"/>
  <c r="AB375" i="17" s="1"/>
  <c r="P471" i="17"/>
  <c r="AB471" i="17" s="1"/>
  <c r="P434" i="17"/>
  <c r="AB434" i="17" s="1"/>
  <c r="P498" i="17"/>
  <c r="AB498" i="17" s="1"/>
  <c r="P561" i="17"/>
  <c r="AB561" i="17" s="1"/>
  <c r="P550" i="17"/>
  <c r="AB550" i="17" s="1"/>
  <c r="P613" i="17"/>
  <c r="AB613" i="17" s="1"/>
  <c r="P207" i="17"/>
  <c r="AB207" i="17" s="1"/>
  <c r="P368" i="17"/>
  <c r="AB368" i="17" s="1"/>
  <c r="P457" i="17"/>
  <c r="AB457" i="17" s="1"/>
  <c r="P516" i="17"/>
  <c r="AB516" i="17" s="1"/>
  <c r="P547" i="17"/>
  <c r="AB547" i="17" s="1"/>
  <c r="P122" i="17"/>
  <c r="AB122" i="17" s="1"/>
  <c r="P186" i="17"/>
  <c r="AB186" i="17" s="1"/>
  <c r="P250" i="17"/>
  <c r="AB250" i="17" s="1"/>
  <c r="P314" i="17"/>
  <c r="AB314" i="17" s="1"/>
  <c r="P173" i="17"/>
  <c r="AB173" i="17" s="1"/>
  <c r="P237" i="17"/>
  <c r="AB237" i="17" s="1"/>
  <c r="P301" i="17"/>
  <c r="AB301" i="17" s="1"/>
  <c r="P334" i="17"/>
  <c r="AB334" i="17" s="1"/>
  <c r="P359" i="17"/>
  <c r="AB359" i="17" s="1"/>
  <c r="P487" i="17"/>
  <c r="AB487" i="17" s="1"/>
  <c r="P514" i="17"/>
  <c r="AB514" i="17" s="1"/>
  <c r="P566" i="17"/>
  <c r="AB566" i="17" s="1"/>
  <c r="P610" i="17"/>
  <c r="AB610" i="17" s="1"/>
  <c r="P244" i="17"/>
  <c r="AB244" i="17" s="1"/>
  <c r="P140" i="17"/>
  <c r="AB140" i="17" s="1"/>
  <c r="P120" i="17"/>
  <c r="AB120" i="17" s="1"/>
  <c r="P184" i="17"/>
  <c r="AB184" i="17" s="1"/>
  <c r="P248" i="17"/>
  <c r="AB248" i="17" s="1"/>
  <c r="P312" i="17"/>
  <c r="AB312" i="17" s="1"/>
  <c r="P171" i="17"/>
  <c r="AB171" i="17" s="1"/>
  <c r="P235" i="17"/>
  <c r="AB235" i="17" s="1"/>
  <c r="P299" i="17"/>
  <c r="AB299" i="17" s="1"/>
  <c r="P332" i="17"/>
  <c r="AB332" i="17" s="1"/>
  <c r="P396" i="17"/>
  <c r="AB396" i="17" s="1"/>
  <c r="P325" i="17"/>
  <c r="AB325" i="17" s="1"/>
  <c r="P389" i="17"/>
  <c r="AB389" i="17" s="1"/>
  <c r="P421" i="17"/>
  <c r="AB421" i="17" s="1"/>
  <c r="P485" i="17"/>
  <c r="AB485" i="17" s="1"/>
  <c r="P448" i="17"/>
  <c r="AB448" i="17" s="1"/>
  <c r="P512" i="17"/>
  <c r="AB512" i="17" s="1"/>
  <c r="P564" i="17"/>
  <c r="AB564" i="17" s="1"/>
  <c r="P118" i="17"/>
  <c r="AB118" i="17" s="1"/>
  <c r="P182" i="17"/>
  <c r="AB182" i="17" s="1"/>
  <c r="P246" i="17"/>
  <c r="AB246" i="17" s="1"/>
  <c r="P310" i="17"/>
  <c r="AB310" i="17" s="1"/>
  <c r="P169" i="17"/>
  <c r="AB169" i="17" s="1"/>
  <c r="P233" i="17"/>
  <c r="AB233" i="17" s="1"/>
  <c r="P297" i="17"/>
  <c r="AB297" i="17" s="1"/>
  <c r="P330" i="17"/>
  <c r="AB330" i="17" s="1"/>
  <c r="P394" i="17"/>
  <c r="AB394" i="17" s="1"/>
  <c r="P323" i="17"/>
  <c r="AB323" i="17" s="1"/>
  <c r="P387" i="17"/>
  <c r="AB387" i="17" s="1"/>
  <c r="P419" i="17"/>
  <c r="AB419" i="17" s="1"/>
  <c r="P483" i="17"/>
  <c r="AB483" i="17" s="1"/>
  <c r="P446" i="17"/>
  <c r="AB446" i="17" s="1"/>
  <c r="P510" i="17"/>
  <c r="AB510" i="17" s="1"/>
  <c r="P562" i="17"/>
  <c r="AB562" i="17" s="1"/>
  <c r="P204" i="17"/>
  <c r="AB204" i="17" s="1"/>
  <c r="P284" i="17"/>
  <c r="AB284" i="17" s="1"/>
  <c r="P112" i="17"/>
  <c r="AB112" i="17" s="1"/>
  <c r="P176" i="17"/>
  <c r="AB176" i="17" s="1"/>
  <c r="P240" i="17"/>
  <c r="AB240" i="17" s="1"/>
  <c r="P304" i="17"/>
  <c r="AB304" i="17" s="1"/>
  <c r="P163" i="17"/>
  <c r="AB163" i="17" s="1"/>
  <c r="P227" i="17"/>
  <c r="AB227" i="17" s="1"/>
  <c r="P291" i="17"/>
  <c r="AB291" i="17" s="1"/>
  <c r="P324" i="17"/>
  <c r="AB324" i="17" s="1"/>
  <c r="P388" i="17"/>
  <c r="AB388" i="17" s="1"/>
  <c r="P317" i="17"/>
  <c r="AB317" i="17" s="1"/>
  <c r="P381" i="17"/>
  <c r="AB381" i="17" s="1"/>
  <c r="P477" i="17"/>
  <c r="AB477" i="17" s="1"/>
  <c r="P440" i="17"/>
  <c r="AB440" i="17" s="1"/>
  <c r="P504" i="17"/>
  <c r="AB504" i="17" s="1"/>
  <c r="P556" i="17"/>
  <c r="AB556" i="17" s="1"/>
  <c r="P110" i="17"/>
  <c r="AB110" i="17" s="1"/>
  <c r="P174" i="17"/>
  <c r="AB174" i="17" s="1"/>
  <c r="P238" i="17"/>
  <c r="AB238" i="17" s="1"/>
  <c r="P302" i="17"/>
  <c r="AB302" i="17" s="1"/>
  <c r="P161" i="17"/>
  <c r="AB161" i="17" s="1"/>
  <c r="P225" i="17"/>
  <c r="AB225" i="17" s="1"/>
  <c r="P289" i="17"/>
  <c r="AB289" i="17" s="1"/>
  <c r="P322" i="17"/>
  <c r="AB322" i="17" s="1"/>
  <c r="P386" i="17"/>
  <c r="AB386" i="17" s="1"/>
  <c r="P315" i="17"/>
  <c r="AB315" i="17" s="1"/>
  <c r="P379" i="17"/>
  <c r="AB379" i="17" s="1"/>
  <c r="P475" i="17"/>
  <c r="AB475" i="17" s="1"/>
  <c r="P438" i="17"/>
  <c r="AB438" i="17" s="1"/>
  <c r="P502" i="17"/>
  <c r="AB502" i="17" s="1"/>
  <c r="P565" i="17"/>
  <c r="AB565" i="17" s="1"/>
  <c r="P554" i="17"/>
  <c r="AB554" i="17" s="1"/>
  <c r="P196" i="17"/>
  <c r="AB196" i="17" s="1"/>
  <c r="P260" i="17"/>
  <c r="AB260" i="17" s="1"/>
  <c r="P156" i="17"/>
  <c r="AB156" i="17" s="1"/>
  <c r="P136" i="17"/>
  <c r="AB136" i="17" s="1"/>
  <c r="P200" i="17"/>
  <c r="AB200" i="17" s="1"/>
  <c r="P264" i="17"/>
  <c r="AB264" i="17" s="1"/>
  <c r="P123" i="17"/>
  <c r="AB123" i="17" s="1"/>
  <c r="P187" i="17"/>
  <c r="AB187" i="17" s="1"/>
  <c r="P251" i="17"/>
  <c r="AB251" i="17" s="1"/>
  <c r="P348" i="17"/>
  <c r="AB348" i="17" s="1"/>
  <c r="P412" i="17"/>
  <c r="AB412" i="17" s="1"/>
  <c r="P341" i="17"/>
  <c r="AB341" i="17" s="1"/>
  <c r="P405" i="17"/>
  <c r="AB405" i="17" s="1"/>
  <c r="P437" i="17"/>
  <c r="AB437" i="17" s="1"/>
  <c r="P501" i="17"/>
  <c r="AB501" i="17" s="1"/>
  <c r="P464" i="17"/>
  <c r="AB464" i="17" s="1"/>
  <c r="P526" i="17"/>
  <c r="AB526" i="17" s="1"/>
  <c r="P559" i="17"/>
  <c r="AB559" i="17" s="1"/>
  <c r="P580" i="17"/>
  <c r="AB580" i="17" s="1"/>
  <c r="P134" i="17"/>
  <c r="AB134" i="17" s="1"/>
  <c r="P198" i="17"/>
  <c r="AB198" i="17" s="1"/>
  <c r="P262" i="17"/>
  <c r="AB262" i="17" s="1"/>
  <c r="P121" i="17"/>
  <c r="AB121" i="17" s="1"/>
  <c r="P185" i="17"/>
  <c r="AB185" i="17" s="1"/>
  <c r="P249" i="17"/>
  <c r="AB249" i="17" s="1"/>
  <c r="P313" i="17"/>
  <c r="AB313" i="17" s="1"/>
  <c r="P346" i="17"/>
  <c r="AB346" i="17" s="1"/>
  <c r="P410" i="17"/>
  <c r="AB410" i="17" s="1"/>
  <c r="P339" i="17"/>
  <c r="AB339" i="17" s="1"/>
  <c r="P403" i="17"/>
  <c r="AB403" i="17" s="1"/>
  <c r="P435" i="17"/>
  <c r="AB435" i="17" s="1"/>
  <c r="P499" i="17"/>
  <c r="AB499" i="17" s="1"/>
  <c r="P462" i="17"/>
  <c r="AB462" i="17" s="1"/>
  <c r="P524" i="17"/>
  <c r="AB524" i="17" s="1"/>
  <c r="P589" i="17"/>
  <c r="AB589" i="17" s="1"/>
  <c r="P578" i="17"/>
  <c r="AB578" i="17" s="1"/>
  <c r="P220" i="17"/>
  <c r="AB220" i="17" s="1"/>
  <c r="P300" i="17"/>
  <c r="AB300" i="17" s="1"/>
  <c r="P159" i="17"/>
  <c r="AB159" i="17" s="1"/>
  <c r="P223" i="17"/>
  <c r="AB223" i="17" s="1"/>
  <c r="P287" i="17"/>
  <c r="AB287" i="17" s="1"/>
  <c r="P320" i="17"/>
  <c r="AB320" i="17" s="1"/>
  <c r="P384" i="17"/>
  <c r="AB384" i="17" s="1"/>
  <c r="P377" i="17"/>
  <c r="AB377" i="17" s="1"/>
  <c r="P473" i="17"/>
  <c r="AB473" i="17" s="1"/>
  <c r="P468" i="17"/>
  <c r="AB468" i="17" s="1"/>
  <c r="P530" i="17"/>
  <c r="AB530" i="17" s="1"/>
  <c r="P563" i="17"/>
  <c r="AB563" i="17" s="1"/>
  <c r="P521" i="17"/>
  <c r="AB521" i="17" s="1"/>
  <c r="P584" i="17"/>
  <c r="AB584" i="17" s="1"/>
  <c r="P596" i="17"/>
  <c r="AB596" i="17" s="1"/>
  <c r="P138" i="17"/>
  <c r="AB138" i="17" s="1"/>
  <c r="P202" i="17"/>
  <c r="AB202" i="17" s="1"/>
  <c r="P266" i="17"/>
  <c r="AB266" i="17" s="1"/>
  <c r="P125" i="17"/>
  <c r="AB125" i="17" s="1"/>
  <c r="P189" i="17"/>
  <c r="AB189" i="17" s="1"/>
  <c r="P253" i="17"/>
  <c r="AB253" i="17" s="1"/>
  <c r="P350" i="17"/>
  <c r="AB350" i="17" s="1"/>
  <c r="P414" i="17"/>
  <c r="AB414" i="17" s="1"/>
  <c r="P343" i="17"/>
  <c r="AB343" i="17" s="1"/>
  <c r="P407" i="17"/>
  <c r="AB407" i="17" s="1"/>
  <c r="P439" i="17"/>
  <c r="AB439" i="17" s="1"/>
  <c r="P503" i="17"/>
  <c r="AB503" i="17" s="1"/>
  <c r="P466" i="17"/>
  <c r="AB466" i="17" s="1"/>
  <c r="P528" i="17"/>
  <c r="AB528" i="17" s="1"/>
  <c r="P593" i="17"/>
  <c r="AB593" i="17" s="1"/>
  <c r="P582" i="17"/>
  <c r="AB582" i="17" s="1"/>
  <c r="P143" i="17"/>
  <c r="AB143" i="17" s="1"/>
  <c r="P271" i="17"/>
  <c r="AB271" i="17" s="1"/>
  <c r="P336" i="17"/>
  <c r="AB336" i="17" s="1"/>
  <c r="P400" i="17"/>
  <c r="AB400" i="17" s="1"/>
  <c r="P361" i="17"/>
  <c r="AB361" i="17" s="1"/>
  <c r="P425" i="17"/>
  <c r="AB425" i="17" s="1"/>
  <c r="P489" i="17"/>
  <c r="AB489" i="17" s="1"/>
  <c r="P452" i="17"/>
  <c r="AB452" i="17" s="1"/>
  <c r="P579" i="17"/>
  <c r="AB579" i="17" s="1"/>
  <c r="P568" i="17"/>
  <c r="AB568" i="17" s="1"/>
  <c r="P612" i="17"/>
  <c r="AB612" i="17" s="1"/>
  <c r="P154" i="17"/>
  <c r="AB154" i="17" s="1"/>
  <c r="P218" i="17"/>
  <c r="AB218" i="17" s="1"/>
  <c r="P282" i="17"/>
  <c r="AB282" i="17" s="1"/>
  <c r="P141" i="17"/>
  <c r="AB141" i="17" s="1"/>
  <c r="P205" i="17"/>
  <c r="AB205" i="17" s="1"/>
  <c r="P269" i="17"/>
  <c r="AB269" i="17" s="1"/>
  <c r="P398" i="17"/>
  <c r="AB398" i="17" s="1"/>
  <c r="P327" i="17"/>
  <c r="AB327" i="17" s="1"/>
  <c r="P391" i="17"/>
  <c r="AB391" i="17" s="1"/>
  <c r="P423" i="17"/>
  <c r="AB423" i="17" s="1"/>
  <c r="P450" i="17"/>
  <c r="AB450" i="17" s="1"/>
  <c r="P577" i="17"/>
  <c r="AB577" i="17" s="1"/>
  <c r="P276" i="17"/>
  <c r="AB276" i="17" s="1"/>
  <c r="P135" i="17"/>
  <c r="AB135" i="17" s="1"/>
  <c r="P199" i="17"/>
  <c r="AB199" i="17" s="1"/>
  <c r="P263" i="17"/>
  <c r="AB263" i="17" s="1"/>
  <c r="P360" i="17"/>
  <c r="AB360" i="17" s="1"/>
  <c r="P111" i="17"/>
  <c r="AB111" i="17" s="1"/>
  <c r="P239" i="17"/>
  <c r="AB239" i="17" s="1"/>
  <c r="P329" i="17"/>
  <c r="AB329" i="17" s="1"/>
  <c r="P420" i="17"/>
  <c r="AB420" i="17" s="1"/>
  <c r="P537" i="17"/>
  <c r="AB537" i="17" s="1"/>
  <c r="P366" i="17"/>
  <c r="AB366" i="17" s="1"/>
  <c r="P418" i="17"/>
  <c r="AB418" i="17" s="1"/>
  <c r="P545" i="17"/>
  <c r="AB545" i="17" s="1"/>
  <c r="P597" i="17"/>
  <c r="AB597" i="17" s="1"/>
  <c r="P292" i="17"/>
  <c r="AB292" i="17" s="1"/>
  <c r="P151" i="17"/>
  <c r="AB151" i="17" s="1"/>
  <c r="P215" i="17"/>
  <c r="AB215" i="17" s="1"/>
  <c r="P279" i="17"/>
  <c r="AB279" i="17" s="1"/>
  <c r="P376" i="17"/>
  <c r="AB376" i="17" s="1"/>
  <c r="P369" i="17"/>
  <c r="AB369" i="17" s="1"/>
  <c r="P465" i="17"/>
  <c r="AB465" i="17" s="1"/>
  <c r="P460" i="17"/>
  <c r="AB460" i="17" s="1"/>
  <c r="P353" i="17"/>
  <c r="AB353" i="17" s="1"/>
  <c r="P417" i="17"/>
  <c r="AB417" i="17" s="1"/>
  <c r="P481" i="17"/>
  <c r="AB481" i="17" s="1"/>
  <c r="P508" i="17"/>
  <c r="AB508" i="17" s="1"/>
  <c r="P560" i="17"/>
  <c r="AB560" i="17" s="1"/>
  <c r="P114" i="17"/>
  <c r="AB114" i="17" s="1"/>
  <c r="P178" i="17"/>
  <c r="AB178" i="17" s="1"/>
  <c r="P242" i="17"/>
  <c r="AB242" i="17" s="1"/>
  <c r="P306" i="17"/>
  <c r="AB306" i="17" s="1"/>
  <c r="P165" i="17"/>
  <c r="AB165" i="17" s="1"/>
  <c r="P229" i="17"/>
  <c r="AB229" i="17" s="1"/>
  <c r="P293" i="17"/>
  <c r="AB293" i="17" s="1"/>
  <c r="P326" i="17"/>
  <c r="AB326" i="17" s="1"/>
  <c r="P390" i="17"/>
  <c r="AB390" i="17" s="1"/>
  <c r="P319" i="17"/>
  <c r="AB319" i="17" s="1"/>
  <c r="P383" i="17"/>
  <c r="AB383" i="17" s="1"/>
  <c r="P479" i="17"/>
  <c r="AB479" i="17" s="1"/>
  <c r="P442" i="17"/>
  <c r="AB442" i="17" s="1"/>
  <c r="P506" i="17"/>
  <c r="AB506" i="17" s="1"/>
  <c r="P569" i="17"/>
  <c r="AB569" i="17" s="1"/>
  <c r="P558" i="17"/>
  <c r="AB558" i="17" s="1"/>
  <c r="P308" i="17"/>
  <c r="AB308" i="17" s="1"/>
  <c r="P167" i="17"/>
  <c r="AB167" i="17" s="1"/>
  <c r="P231" i="17"/>
  <c r="AB231" i="17" s="1"/>
  <c r="P295" i="17"/>
  <c r="AB295" i="17" s="1"/>
  <c r="P328" i="17"/>
  <c r="AB328" i="17" s="1"/>
  <c r="P392" i="17"/>
  <c r="AB392" i="17" s="1"/>
  <c r="P321" i="17"/>
  <c r="AB321" i="17" s="1"/>
  <c r="P175" i="17"/>
  <c r="AB175" i="17" s="1"/>
  <c r="P303" i="17"/>
  <c r="AB303" i="17" s="1"/>
  <c r="P393" i="17"/>
  <c r="AB393" i="17" s="1"/>
  <c r="P484" i="17"/>
  <c r="AB484" i="17" s="1"/>
  <c r="P599" i="17"/>
  <c r="AB599" i="17" s="1"/>
  <c r="P455" i="17"/>
  <c r="AB455" i="17" s="1"/>
  <c r="P482" i="17"/>
  <c r="AB482" i="17" s="1"/>
  <c r="P535" i="17"/>
  <c r="AB535" i="17" s="1"/>
  <c r="P236" i="17"/>
  <c r="AB236" i="17" s="1"/>
  <c r="P119" i="17"/>
  <c r="AB119" i="17" s="1"/>
  <c r="P183" i="17"/>
  <c r="AB183" i="17" s="1"/>
  <c r="P247" i="17"/>
  <c r="AB247" i="17" s="1"/>
  <c r="P311" i="17"/>
  <c r="AB311" i="17" s="1"/>
  <c r="P344" i="17"/>
  <c r="AB344" i="17" s="1"/>
  <c r="P408" i="17"/>
  <c r="AB408" i="17" s="1"/>
  <c r="P337" i="17"/>
  <c r="AB337" i="17" s="1"/>
  <c r="P401" i="17"/>
  <c r="AB401" i="17" s="1"/>
  <c r="P433" i="17"/>
  <c r="AB433" i="17" s="1"/>
  <c r="P497" i="17"/>
  <c r="AB497" i="17" s="1"/>
  <c r="P428" i="17"/>
  <c r="AB428" i="17" s="1"/>
  <c r="P492" i="17"/>
  <c r="AB492" i="17" s="1"/>
  <c r="P449" i="17"/>
  <c r="AB449" i="17" s="1"/>
  <c r="P513" i="17"/>
  <c r="AB513" i="17" s="1"/>
  <c r="P444" i="17"/>
  <c r="AB444" i="17" s="1"/>
  <c r="P538" i="17"/>
  <c r="AB538" i="17" s="1"/>
  <c r="P571" i="17"/>
  <c r="AB571" i="17" s="1"/>
  <c r="P529" i="17"/>
  <c r="AB529" i="17" s="1"/>
  <c r="P592" i="17"/>
  <c r="AB592" i="17" s="1"/>
  <c r="P604" i="17"/>
  <c r="AB604" i="17" s="1"/>
  <c r="P146" i="17"/>
  <c r="AB146" i="17" s="1"/>
  <c r="P210" i="17"/>
  <c r="AB210" i="17" s="1"/>
  <c r="P274" i="17"/>
  <c r="AB274" i="17" s="1"/>
  <c r="P133" i="17"/>
  <c r="AB133" i="17" s="1"/>
  <c r="P197" i="17"/>
  <c r="AB197" i="17" s="1"/>
  <c r="P261" i="17"/>
  <c r="AB261" i="17" s="1"/>
  <c r="P358" i="17"/>
  <c r="AB358" i="17" s="1"/>
  <c r="P351" i="17"/>
  <c r="AB351" i="17" s="1"/>
  <c r="P415" i="17"/>
  <c r="AB415" i="17" s="1"/>
  <c r="P447" i="17"/>
  <c r="AB447" i="17" s="1"/>
  <c r="P511" i="17"/>
  <c r="AB511" i="17" s="1"/>
  <c r="P474" i="17"/>
  <c r="AB474" i="17" s="1"/>
  <c r="P536" i="17"/>
  <c r="AB536" i="17" s="1"/>
  <c r="P527" i="17"/>
  <c r="AB527" i="17" s="1"/>
  <c r="P590" i="17"/>
  <c r="AB590" i="17" s="1"/>
  <c r="P602" i="17"/>
  <c r="AB602" i="17" s="1"/>
  <c r="P476" i="17"/>
  <c r="AB476" i="17" s="1"/>
  <c r="P587" i="17"/>
  <c r="AB587" i="17" s="1"/>
  <c r="P544" i="17"/>
  <c r="AB544" i="17" s="1"/>
  <c r="P607" i="17"/>
  <c r="AB607" i="17" s="1"/>
  <c r="P98" i="17"/>
  <c r="AB98" i="17" s="1"/>
  <c r="P162" i="17"/>
  <c r="AB162" i="17" s="1"/>
  <c r="P226" i="17"/>
  <c r="AB226" i="17" s="1"/>
  <c r="P290" i="17"/>
  <c r="AB290" i="17" s="1"/>
  <c r="P149" i="17"/>
  <c r="AB149" i="17" s="1"/>
  <c r="P213" i="17"/>
  <c r="AB213" i="17" s="1"/>
  <c r="P277" i="17"/>
  <c r="AB277" i="17" s="1"/>
  <c r="P374" i="17"/>
  <c r="AB374" i="17" s="1"/>
  <c r="P367" i="17"/>
  <c r="AB367" i="17" s="1"/>
  <c r="P463" i="17"/>
  <c r="AB463" i="17" s="1"/>
  <c r="P426" i="17"/>
  <c r="AB426" i="17" s="1"/>
  <c r="P490" i="17"/>
  <c r="AB490" i="17" s="1"/>
  <c r="P553" i="17"/>
  <c r="AB553" i="17" s="1"/>
  <c r="P543" i="17"/>
  <c r="AB543" i="17" s="1"/>
  <c r="P605" i="17"/>
  <c r="AB605" i="17" s="1"/>
  <c r="P385" i="17"/>
  <c r="AB385" i="17" s="1"/>
  <c r="P522" i="17"/>
  <c r="AB522" i="17" s="1"/>
  <c r="P555" i="17"/>
  <c r="AB555" i="17" s="1"/>
  <c r="P576" i="17"/>
  <c r="AB576" i="17" s="1"/>
  <c r="P130" i="17"/>
  <c r="AB130" i="17" s="1"/>
  <c r="P194" i="17"/>
  <c r="AB194" i="17" s="1"/>
  <c r="P258" i="17"/>
  <c r="AB258" i="17" s="1"/>
  <c r="P117" i="17"/>
  <c r="AB117" i="17" s="1"/>
  <c r="P181" i="17"/>
  <c r="AB181" i="17" s="1"/>
  <c r="P245" i="17"/>
  <c r="AB245" i="17" s="1"/>
  <c r="P309" i="17"/>
  <c r="AB309" i="17" s="1"/>
  <c r="P342" i="17"/>
  <c r="AB342" i="17" s="1"/>
  <c r="P406" i="17"/>
  <c r="AB406" i="17" s="1"/>
  <c r="P335" i="17"/>
  <c r="AB335" i="17" s="1"/>
  <c r="P399" i="17"/>
  <c r="AB399" i="17" s="1"/>
  <c r="P431" i="17"/>
  <c r="AB431" i="17" s="1"/>
  <c r="P495" i="17"/>
  <c r="AB495" i="17" s="1"/>
  <c r="P458" i="17"/>
  <c r="AB458" i="17" s="1"/>
  <c r="P520" i="17"/>
  <c r="AB520" i="17" s="1"/>
  <c r="P585" i="17"/>
  <c r="AB585" i="17" s="1"/>
  <c r="P574" i="17"/>
  <c r="AB574" i="17" s="1"/>
  <c r="O13" i="17"/>
  <c r="AA13" i="17" s="1"/>
  <c r="E633" i="17"/>
  <c r="AB628" i="17" l="1"/>
  <c r="A336" i="2"/>
  <c r="B336" i="2"/>
  <c r="C62" i="16"/>
  <c r="D62" i="16" s="1"/>
  <c r="B230" i="2"/>
  <c r="B71" i="1" l="1"/>
  <c r="AA628" i="17"/>
  <c r="A353" i="2"/>
  <c r="B353" i="2"/>
  <c r="C3" i="8" l="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O31" i="8" s="1"/>
  <c r="C71" i="1" s="1"/>
  <c r="D71" i="1" s="1"/>
  <c r="O32" i="8"/>
  <c r="C72" i="1" s="1"/>
  <c r="D72" i="1" s="1"/>
  <c r="N32" i="8"/>
  <c r="N31" i="8" l="1"/>
  <c r="B231" i="2"/>
  <c r="B354" i="2" s="1"/>
  <c r="C46" i="16"/>
  <c r="D46" i="16" s="1"/>
  <c r="B219" i="2" l="1"/>
  <c r="A354" i="2"/>
  <c r="B232" i="2"/>
  <c r="C47" i="16"/>
  <c r="D47" i="16" s="1"/>
  <c r="B235" i="2"/>
  <c r="W625" i="25" l="1"/>
  <c r="L612" i="25"/>
  <c r="L610" i="25"/>
  <c r="K612" i="25"/>
  <c r="K610" i="25"/>
  <c r="C635" i="25"/>
  <c r="K613" i="25"/>
  <c r="K611" i="25"/>
  <c r="K609" i="25"/>
  <c r="K607" i="25"/>
  <c r="L611" i="25"/>
  <c r="L608" i="25"/>
  <c r="L607" i="25"/>
  <c r="K606" i="25"/>
  <c r="K604" i="25"/>
  <c r="K602" i="25"/>
  <c r="K600" i="25"/>
  <c r="K598" i="25"/>
  <c r="L613" i="25"/>
  <c r="K608" i="25"/>
  <c r="L605" i="25"/>
  <c r="L603" i="25"/>
  <c r="L601" i="25"/>
  <c r="L599" i="25"/>
  <c r="L597" i="25"/>
  <c r="L609" i="25"/>
  <c r="L606" i="25"/>
  <c r="L604" i="25"/>
  <c r="L602" i="25"/>
  <c r="L600" i="25"/>
  <c r="L598" i="25"/>
  <c r="L596" i="25"/>
  <c r="L594" i="25"/>
  <c r="L592" i="25"/>
  <c r="K605" i="25"/>
  <c r="K597" i="25"/>
  <c r="L591" i="25"/>
  <c r="L589" i="25"/>
  <c r="L587" i="25"/>
  <c r="L585" i="25"/>
  <c r="K599" i="25"/>
  <c r="K596" i="25"/>
  <c r="L595" i="25"/>
  <c r="K591" i="25"/>
  <c r="K589" i="25"/>
  <c r="K587" i="25"/>
  <c r="K585" i="25"/>
  <c r="A625" i="25"/>
  <c r="K603" i="25"/>
  <c r="K593" i="25"/>
  <c r="K592" i="25"/>
  <c r="K590" i="25"/>
  <c r="K588" i="25"/>
  <c r="K586" i="25"/>
  <c r="K584" i="25"/>
  <c r="K582" i="25"/>
  <c r="K580" i="25"/>
  <c r="K578" i="25"/>
  <c r="K601" i="25"/>
  <c r="K595" i="25"/>
  <c r="L593" i="25"/>
  <c r="L586" i="25"/>
  <c r="K581" i="25"/>
  <c r="L579" i="25"/>
  <c r="L578" i="25"/>
  <c r="K576" i="25"/>
  <c r="K574" i="25"/>
  <c r="K572" i="25"/>
  <c r="K570" i="25"/>
  <c r="K568" i="25"/>
  <c r="K566" i="25"/>
  <c r="K564" i="25"/>
  <c r="K562" i="25"/>
  <c r="K560" i="25"/>
  <c r="K558" i="25"/>
  <c r="K594" i="25"/>
  <c r="L588" i="25"/>
  <c r="K579" i="25"/>
  <c r="L577" i="25"/>
  <c r="L575" i="25"/>
  <c r="L573" i="25"/>
  <c r="L571" i="25"/>
  <c r="L569" i="25"/>
  <c r="L567" i="25"/>
  <c r="L565" i="25"/>
  <c r="L584" i="25"/>
  <c r="K583" i="25"/>
  <c r="L581" i="25"/>
  <c r="L580" i="25"/>
  <c r="L576" i="25"/>
  <c r="L574" i="25"/>
  <c r="L572" i="25"/>
  <c r="L570" i="25"/>
  <c r="L568" i="25"/>
  <c r="L566" i="25"/>
  <c r="L590" i="25"/>
  <c r="L583" i="25"/>
  <c r="K577" i="25"/>
  <c r="K569" i="25"/>
  <c r="K565" i="25"/>
  <c r="L564" i="25"/>
  <c r="K559" i="25"/>
  <c r="L557" i="25"/>
  <c r="K555" i="25"/>
  <c r="K553" i="25"/>
  <c r="K551" i="25"/>
  <c r="K549" i="25"/>
  <c r="K547" i="25"/>
  <c r="K545" i="25"/>
  <c r="K543" i="25"/>
  <c r="K541" i="25"/>
  <c r="K539" i="25"/>
  <c r="K537" i="25"/>
  <c r="K535" i="25"/>
  <c r="K533" i="25"/>
  <c r="K531" i="25"/>
  <c r="K529" i="25"/>
  <c r="K527" i="25"/>
  <c r="K525" i="25"/>
  <c r="K571" i="25"/>
  <c r="L563" i="25"/>
  <c r="L562" i="25"/>
  <c r="K557" i="25"/>
  <c r="L556" i="25"/>
  <c r="L554" i="25"/>
  <c r="L552" i="25"/>
  <c r="L550" i="25"/>
  <c r="L548" i="25"/>
  <c r="L546" i="25"/>
  <c r="L544" i="25"/>
  <c r="L542" i="25"/>
  <c r="L540" i="25"/>
  <c r="L582" i="25"/>
  <c r="K575" i="25"/>
  <c r="K567" i="25"/>
  <c r="K561" i="25"/>
  <c r="L559" i="25"/>
  <c r="L558" i="25"/>
  <c r="L555" i="25"/>
  <c r="L553" i="25"/>
  <c r="L551" i="25"/>
  <c r="L549" i="25"/>
  <c r="L547" i="25"/>
  <c r="L545" i="25"/>
  <c r="L543" i="25"/>
  <c r="L541" i="25"/>
  <c r="L539" i="25"/>
  <c r="K573" i="25"/>
  <c r="K550" i="25"/>
  <c r="K542" i="25"/>
  <c r="K538" i="25"/>
  <c r="L536" i="25"/>
  <c r="L535" i="25"/>
  <c r="K530" i="25"/>
  <c r="L528" i="25"/>
  <c r="L527" i="25"/>
  <c r="K552" i="25"/>
  <c r="K544" i="25"/>
  <c r="K536" i="25"/>
  <c r="L534" i="25"/>
  <c r="L533" i="25"/>
  <c r="K528" i="25"/>
  <c r="L526" i="25"/>
  <c r="L525" i="25"/>
  <c r="L561" i="25"/>
  <c r="K556" i="25"/>
  <c r="K548" i="25"/>
  <c r="K540" i="25"/>
  <c r="L538" i="25"/>
  <c r="L537" i="25"/>
  <c r="K532" i="25"/>
  <c r="L530" i="25"/>
  <c r="L529" i="25"/>
  <c r="K524" i="25"/>
  <c r="K522" i="25"/>
  <c r="K520" i="25"/>
  <c r="K518" i="25"/>
  <c r="K516" i="25"/>
  <c r="K514" i="25"/>
  <c r="K512" i="25"/>
  <c r="K563" i="25"/>
  <c r="K554" i="25"/>
  <c r="K534" i="25"/>
  <c r="L531" i="25"/>
  <c r="L523" i="25"/>
  <c r="L522" i="25"/>
  <c r="K517" i="25"/>
  <c r="L515" i="25"/>
  <c r="L514" i="25"/>
  <c r="K511" i="25"/>
  <c r="K509" i="25"/>
  <c r="K507" i="25"/>
  <c r="K505" i="25"/>
  <c r="K503" i="25"/>
  <c r="K501" i="25"/>
  <c r="K499" i="25"/>
  <c r="K497" i="25"/>
  <c r="K495" i="25"/>
  <c r="K493" i="25"/>
  <c r="K491" i="25"/>
  <c r="K489" i="25"/>
  <c r="K487" i="25"/>
  <c r="K485" i="25"/>
  <c r="K483" i="25"/>
  <c r="K481" i="25"/>
  <c r="K479" i="25"/>
  <c r="K477" i="25"/>
  <c r="K475" i="25"/>
  <c r="K473" i="25"/>
  <c r="K471" i="25"/>
  <c r="K469" i="25"/>
  <c r="K467" i="25"/>
  <c r="K465" i="25"/>
  <c r="L532" i="25"/>
  <c r="K526" i="25"/>
  <c r="K523" i="25"/>
  <c r="L521" i="25"/>
  <c r="L520" i="25"/>
  <c r="K515" i="25"/>
  <c r="L513" i="25"/>
  <c r="L512" i="25"/>
  <c r="L510" i="25"/>
  <c r="L508" i="25"/>
  <c r="L506" i="25"/>
  <c r="L504" i="25"/>
  <c r="L502" i="25"/>
  <c r="L500" i="25"/>
  <c r="L498" i="25"/>
  <c r="L496" i="25"/>
  <c r="L494" i="25"/>
  <c r="L492" i="25"/>
  <c r="L490" i="25"/>
  <c r="L488" i="25"/>
  <c r="L486" i="25"/>
  <c r="L484" i="25"/>
  <c r="L560" i="25"/>
  <c r="K546" i="25"/>
  <c r="K519" i="25"/>
  <c r="L517" i="25"/>
  <c r="L516" i="25"/>
  <c r="L511" i="25"/>
  <c r="L509" i="25"/>
  <c r="L507" i="25"/>
  <c r="L505" i="25"/>
  <c r="L503" i="25"/>
  <c r="L501" i="25"/>
  <c r="L499" i="25"/>
  <c r="L497" i="25"/>
  <c r="L495" i="25"/>
  <c r="L493" i="25"/>
  <c r="L491" i="25"/>
  <c r="L489" i="25"/>
  <c r="L487" i="25"/>
  <c r="L485" i="25"/>
  <c r="L519" i="25"/>
  <c r="K513" i="25"/>
  <c r="K510" i="25"/>
  <c r="K502" i="25"/>
  <c r="K494" i="25"/>
  <c r="K486" i="25"/>
  <c r="K482" i="25"/>
  <c r="L480" i="25"/>
  <c r="L479" i="25"/>
  <c r="K474" i="25"/>
  <c r="L472" i="25"/>
  <c r="L471" i="25"/>
  <c r="K466" i="25"/>
  <c r="L464" i="25"/>
  <c r="L462" i="25"/>
  <c r="L460" i="25"/>
  <c r="L458" i="25"/>
  <c r="L456" i="25"/>
  <c r="L454" i="25"/>
  <c r="L452" i="25"/>
  <c r="L450" i="25"/>
  <c r="L448" i="25"/>
  <c r="L446" i="25"/>
  <c r="L444" i="25"/>
  <c r="L442" i="25"/>
  <c r="L440" i="25"/>
  <c r="L438" i="25"/>
  <c r="L436" i="25"/>
  <c r="L434" i="25"/>
  <c r="L432" i="25"/>
  <c r="L430" i="25"/>
  <c r="L428" i="25"/>
  <c r="L426" i="25"/>
  <c r="L424" i="25"/>
  <c r="L422" i="25"/>
  <c r="L420" i="25"/>
  <c r="L418" i="25"/>
  <c r="L416" i="25"/>
  <c r="L414" i="25"/>
  <c r="L412" i="25"/>
  <c r="L410" i="25"/>
  <c r="L408" i="25"/>
  <c r="L406" i="25"/>
  <c r="L404" i="25"/>
  <c r="L402" i="25"/>
  <c r="L400" i="25"/>
  <c r="K504" i="25"/>
  <c r="K496" i="25"/>
  <c r="K488" i="25"/>
  <c r="K484" i="25"/>
  <c r="K480" i="25"/>
  <c r="L478" i="25"/>
  <c r="L477" i="25"/>
  <c r="K472" i="25"/>
  <c r="L470" i="25"/>
  <c r="L469" i="25"/>
  <c r="K464" i="25"/>
  <c r="K462" i="25"/>
  <c r="K460" i="25"/>
  <c r="K458" i="25"/>
  <c r="K456" i="25"/>
  <c r="K454" i="25"/>
  <c r="K452" i="25"/>
  <c r="K450" i="25"/>
  <c r="K448" i="25"/>
  <c r="K446" i="25"/>
  <c r="K444" i="25"/>
  <c r="K442" i="25"/>
  <c r="K440" i="25"/>
  <c r="K438" i="25"/>
  <c r="K436" i="25"/>
  <c r="K434" i="25"/>
  <c r="K432" i="25"/>
  <c r="K430" i="25"/>
  <c r="K428" i="25"/>
  <c r="K521" i="25"/>
  <c r="L518" i="25"/>
  <c r="K508" i="25"/>
  <c r="K500" i="25"/>
  <c r="K492" i="25"/>
  <c r="L483" i="25"/>
  <c r="L482" i="25"/>
  <c r="L481" i="25"/>
  <c r="K476" i="25"/>
  <c r="L474" i="25"/>
  <c r="L473" i="25"/>
  <c r="K468" i="25"/>
  <c r="L466" i="25"/>
  <c r="L465" i="25"/>
  <c r="K463" i="25"/>
  <c r="K461" i="25"/>
  <c r="K459" i="25"/>
  <c r="K457" i="25"/>
  <c r="K455" i="25"/>
  <c r="K453" i="25"/>
  <c r="K451" i="25"/>
  <c r="K449" i="25"/>
  <c r="K447" i="25"/>
  <c r="K445" i="25"/>
  <c r="K443" i="25"/>
  <c r="K441" i="25"/>
  <c r="K439" i="25"/>
  <c r="K437" i="25"/>
  <c r="K435" i="25"/>
  <c r="K433" i="25"/>
  <c r="K431" i="25"/>
  <c r="K429" i="25"/>
  <c r="K498" i="25"/>
  <c r="L457" i="25"/>
  <c r="L449" i="25"/>
  <c r="L441" i="25"/>
  <c r="L433" i="25"/>
  <c r="L427" i="25"/>
  <c r="K421" i="25"/>
  <c r="K420" i="25"/>
  <c r="L419" i="25"/>
  <c r="K413" i="25"/>
  <c r="K412" i="25"/>
  <c r="L411" i="25"/>
  <c r="K405" i="25"/>
  <c r="K404" i="25"/>
  <c r="L403" i="25"/>
  <c r="K506" i="25"/>
  <c r="K478" i="25"/>
  <c r="L475" i="25"/>
  <c r="L459" i="25"/>
  <c r="L451" i="25"/>
  <c r="L443" i="25"/>
  <c r="L435" i="25"/>
  <c r="K427" i="25"/>
  <c r="K426" i="25"/>
  <c r="L425" i="25"/>
  <c r="K419" i="25"/>
  <c r="K418" i="25"/>
  <c r="L417" i="25"/>
  <c r="K411" i="25"/>
  <c r="K410" i="25"/>
  <c r="L409" i="25"/>
  <c r="K403" i="25"/>
  <c r="K402" i="25"/>
  <c r="L401" i="25"/>
  <c r="L524" i="25"/>
  <c r="K490" i="25"/>
  <c r="L468" i="25"/>
  <c r="L463" i="25"/>
  <c r="L455" i="25"/>
  <c r="L447" i="25"/>
  <c r="L439" i="25"/>
  <c r="L431" i="25"/>
  <c r="K423" i="25"/>
  <c r="K422" i="25"/>
  <c r="L421" i="25"/>
  <c r="K415" i="25"/>
  <c r="K414" i="25"/>
  <c r="L413" i="25"/>
  <c r="K407" i="25"/>
  <c r="K406" i="25"/>
  <c r="L405" i="25"/>
  <c r="L399" i="25"/>
  <c r="L397" i="25"/>
  <c r="L395" i="25"/>
  <c r="L393" i="25"/>
  <c r="L391" i="25"/>
  <c r="L389" i="25"/>
  <c r="L387" i="25"/>
  <c r="L385" i="25"/>
  <c r="L383" i="25"/>
  <c r="L381" i="25"/>
  <c r="L379" i="25"/>
  <c r="L377" i="25"/>
  <c r="L375" i="25"/>
  <c r="L453" i="25"/>
  <c r="K425" i="25"/>
  <c r="L423" i="25"/>
  <c r="K394" i="25"/>
  <c r="K393" i="25"/>
  <c r="L392" i="25"/>
  <c r="K386" i="25"/>
  <c r="K385" i="25"/>
  <c r="L384" i="25"/>
  <c r="K378" i="25"/>
  <c r="K377" i="25"/>
  <c r="L376" i="25"/>
  <c r="L373" i="25"/>
  <c r="L371" i="25"/>
  <c r="L369" i="25"/>
  <c r="L367" i="25"/>
  <c r="L365" i="25"/>
  <c r="L363" i="25"/>
  <c r="L361" i="25"/>
  <c r="L359" i="25"/>
  <c r="L357" i="25"/>
  <c r="L355" i="25"/>
  <c r="L353" i="25"/>
  <c r="L351" i="25"/>
  <c r="L349" i="25"/>
  <c r="L347" i="25"/>
  <c r="L345" i="25"/>
  <c r="L343" i="25"/>
  <c r="L341" i="25"/>
  <c r="L339" i="25"/>
  <c r="L337" i="25"/>
  <c r="L335" i="25"/>
  <c r="L333" i="25"/>
  <c r="L331" i="25"/>
  <c r="L329" i="25"/>
  <c r="L327" i="25"/>
  <c r="L325" i="25"/>
  <c r="L323" i="25"/>
  <c r="L321" i="25"/>
  <c r="L319" i="25"/>
  <c r="L317" i="25"/>
  <c r="L315" i="25"/>
  <c r="L313" i="25"/>
  <c r="L311" i="25"/>
  <c r="L309" i="25"/>
  <c r="L307" i="25"/>
  <c r="L305" i="25"/>
  <c r="L303" i="25"/>
  <c r="L301" i="25"/>
  <c r="L299" i="25"/>
  <c r="L297" i="25"/>
  <c r="L295" i="25"/>
  <c r="L293" i="25"/>
  <c r="L291" i="25"/>
  <c r="L289" i="25"/>
  <c r="L287" i="25"/>
  <c r="L285" i="25"/>
  <c r="L283" i="25"/>
  <c r="L281" i="25"/>
  <c r="L279" i="25"/>
  <c r="L467" i="25"/>
  <c r="L461" i="25"/>
  <c r="L429" i="25"/>
  <c r="K424" i="25"/>
  <c r="K417" i="25"/>
  <c r="L415" i="25"/>
  <c r="K400" i="25"/>
  <c r="K399" i="25"/>
  <c r="L398" i="25"/>
  <c r="K392" i="25"/>
  <c r="K391" i="25"/>
  <c r="L390" i="25"/>
  <c r="K384" i="25"/>
  <c r="K383" i="25"/>
  <c r="L382" i="25"/>
  <c r="K376" i="25"/>
  <c r="K375" i="25"/>
  <c r="K373" i="25"/>
  <c r="K371" i="25"/>
  <c r="K369" i="25"/>
  <c r="K367" i="25"/>
  <c r="K365" i="25"/>
  <c r="L445" i="25"/>
  <c r="K408" i="25"/>
  <c r="K401" i="25"/>
  <c r="K396" i="25"/>
  <c r="K395" i="25"/>
  <c r="L394" i="25"/>
  <c r="K388" i="25"/>
  <c r="K387" i="25"/>
  <c r="L386" i="25"/>
  <c r="K380" i="25"/>
  <c r="K379" i="25"/>
  <c r="L378" i="25"/>
  <c r="K374" i="25"/>
  <c r="K372" i="25"/>
  <c r="K370" i="25"/>
  <c r="K368" i="25"/>
  <c r="K366" i="25"/>
  <c r="K364" i="25"/>
  <c r="K362" i="25"/>
  <c r="K360" i="25"/>
  <c r="K358" i="25"/>
  <c r="K356" i="25"/>
  <c r="K354" i="25"/>
  <c r="K352" i="25"/>
  <c r="K350" i="25"/>
  <c r="K348" i="25"/>
  <c r="K346" i="25"/>
  <c r="K344" i="25"/>
  <c r="L476" i="25"/>
  <c r="K416" i="25"/>
  <c r="K398" i="25"/>
  <c r="L396" i="25"/>
  <c r="L374" i="25"/>
  <c r="L366" i="25"/>
  <c r="L364" i="25"/>
  <c r="K363" i="25"/>
  <c r="L360" i="25"/>
  <c r="K359" i="25"/>
  <c r="L356" i="25"/>
  <c r="K355" i="25"/>
  <c r="L352" i="25"/>
  <c r="K351" i="25"/>
  <c r="L348" i="25"/>
  <c r="K347" i="25"/>
  <c r="L344" i="25"/>
  <c r="K343" i="25"/>
  <c r="L342" i="25"/>
  <c r="K336" i="25"/>
  <c r="K335" i="25"/>
  <c r="L334" i="25"/>
  <c r="K328" i="25"/>
  <c r="K327" i="25"/>
  <c r="L326" i="25"/>
  <c r="K320" i="25"/>
  <c r="K319" i="25"/>
  <c r="L318" i="25"/>
  <c r="K312" i="25"/>
  <c r="K311" i="25"/>
  <c r="L310" i="25"/>
  <c r="K304" i="25"/>
  <c r="K303" i="25"/>
  <c r="L302" i="25"/>
  <c r="K296" i="25"/>
  <c r="K295" i="25"/>
  <c r="L294" i="25"/>
  <c r="K288" i="25"/>
  <c r="K287" i="25"/>
  <c r="L286" i="25"/>
  <c r="K280" i="25"/>
  <c r="K279" i="25"/>
  <c r="L278" i="25"/>
  <c r="L276" i="25"/>
  <c r="L274" i="25"/>
  <c r="L272" i="25"/>
  <c r="L270" i="25"/>
  <c r="L268" i="25"/>
  <c r="L266" i="25"/>
  <c r="K409" i="25"/>
  <c r="K397" i="25"/>
  <c r="K390" i="25"/>
  <c r="L388" i="25"/>
  <c r="L368" i="25"/>
  <c r="K342" i="25"/>
  <c r="K341" i="25"/>
  <c r="L340" i="25"/>
  <c r="K334" i="25"/>
  <c r="K333" i="25"/>
  <c r="L332" i="25"/>
  <c r="K326" i="25"/>
  <c r="K325" i="25"/>
  <c r="L324" i="25"/>
  <c r="K318" i="25"/>
  <c r="K317" i="25"/>
  <c r="L316" i="25"/>
  <c r="K310" i="25"/>
  <c r="K309" i="25"/>
  <c r="L308" i="25"/>
  <c r="K302" i="25"/>
  <c r="K301" i="25"/>
  <c r="L300" i="25"/>
  <c r="K294" i="25"/>
  <c r="K293" i="25"/>
  <c r="L292" i="25"/>
  <c r="K286" i="25"/>
  <c r="K285" i="25"/>
  <c r="L284" i="25"/>
  <c r="K278" i="25"/>
  <c r="K276" i="25"/>
  <c r="K274" i="25"/>
  <c r="K272" i="25"/>
  <c r="K270" i="25"/>
  <c r="K268" i="25"/>
  <c r="K266" i="25"/>
  <c r="K264" i="25"/>
  <c r="L407" i="25"/>
  <c r="K381" i="25"/>
  <c r="L372" i="25"/>
  <c r="K338" i="25"/>
  <c r="K337" i="25"/>
  <c r="L336" i="25"/>
  <c r="K330" i="25"/>
  <c r="K329" i="25"/>
  <c r="L328" i="25"/>
  <c r="K322" i="25"/>
  <c r="K321" i="25"/>
  <c r="L320" i="25"/>
  <c r="K314" i="25"/>
  <c r="K313" i="25"/>
  <c r="L312" i="25"/>
  <c r="K306" i="25"/>
  <c r="K305" i="25"/>
  <c r="L304" i="25"/>
  <c r="K298" i="25"/>
  <c r="K297" i="25"/>
  <c r="L296" i="25"/>
  <c r="K290" i="25"/>
  <c r="K289" i="25"/>
  <c r="L288" i="25"/>
  <c r="K282" i="25"/>
  <c r="K281" i="25"/>
  <c r="L280" i="25"/>
  <c r="K277" i="25"/>
  <c r="K275" i="25"/>
  <c r="K273" i="25"/>
  <c r="K271" i="25"/>
  <c r="K269" i="25"/>
  <c r="K267" i="25"/>
  <c r="K265" i="25"/>
  <c r="K263" i="25"/>
  <c r="K261" i="25"/>
  <c r="K259" i="25"/>
  <c r="K257" i="25"/>
  <c r="K255" i="25"/>
  <c r="K253" i="25"/>
  <c r="K251" i="25"/>
  <c r="K249" i="25"/>
  <c r="K247" i="25"/>
  <c r="K245" i="25"/>
  <c r="K243" i="25"/>
  <c r="K241" i="25"/>
  <c r="K239" i="25"/>
  <c r="K237" i="25"/>
  <c r="K235" i="25"/>
  <c r="K233" i="25"/>
  <c r="K231" i="25"/>
  <c r="K229" i="25"/>
  <c r="K227" i="25"/>
  <c r="K382" i="25"/>
  <c r="L358" i="25"/>
  <c r="K357" i="25"/>
  <c r="K331" i="25"/>
  <c r="K324" i="25"/>
  <c r="L322" i="25"/>
  <c r="K299" i="25"/>
  <c r="K292" i="25"/>
  <c r="L290" i="25"/>
  <c r="L277" i="25"/>
  <c r="L269" i="25"/>
  <c r="L264" i="25"/>
  <c r="L262" i="25"/>
  <c r="L261" i="25"/>
  <c r="K256" i="25"/>
  <c r="L254" i="25"/>
  <c r="L253" i="25"/>
  <c r="K248" i="25"/>
  <c r="L246" i="25"/>
  <c r="L245" i="25"/>
  <c r="K240" i="25"/>
  <c r="L238" i="25"/>
  <c r="L237" i="25"/>
  <c r="K232" i="25"/>
  <c r="L230" i="25"/>
  <c r="L229" i="25"/>
  <c r="K225" i="25"/>
  <c r="K223" i="25"/>
  <c r="K221" i="25"/>
  <c r="K219" i="25"/>
  <c r="K217" i="25"/>
  <c r="K215" i="25"/>
  <c r="K213" i="25"/>
  <c r="K211" i="25"/>
  <c r="K209" i="25"/>
  <c r="K207" i="25"/>
  <c r="K205" i="25"/>
  <c r="K203" i="25"/>
  <c r="K201" i="25"/>
  <c r="K199" i="25"/>
  <c r="K197" i="25"/>
  <c r="K195" i="25"/>
  <c r="K193" i="25"/>
  <c r="K191" i="25"/>
  <c r="K189" i="25"/>
  <c r="K187" i="25"/>
  <c r="K185" i="25"/>
  <c r="K183" i="25"/>
  <c r="K181" i="25"/>
  <c r="K179" i="25"/>
  <c r="K177" i="25"/>
  <c r="K175" i="25"/>
  <c r="K173" i="25"/>
  <c r="K171" i="25"/>
  <c r="K169" i="25"/>
  <c r="K167" i="25"/>
  <c r="K165" i="25"/>
  <c r="K163" i="25"/>
  <c r="K161" i="25"/>
  <c r="K159" i="25"/>
  <c r="K157" i="25"/>
  <c r="K155" i="25"/>
  <c r="K153" i="25"/>
  <c r="K151" i="25"/>
  <c r="K149" i="25"/>
  <c r="K147" i="25"/>
  <c r="K145" i="25"/>
  <c r="K143" i="25"/>
  <c r="K141" i="25"/>
  <c r="K139" i="25"/>
  <c r="K137" i="25"/>
  <c r="K135" i="25"/>
  <c r="K133" i="25"/>
  <c r="K131" i="25"/>
  <c r="K129" i="25"/>
  <c r="K127" i="25"/>
  <c r="K125" i="25"/>
  <c r="K123" i="25"/>
  <c r="K121" i="25"/>
  <c r="K470" i="25"/>
  <c r="L370" i="25"/>
  <c r="L362" i="25"/>
  <c r="K361" i="25"/>
  <c r="L346" i="25"/>
  <c r="K345" i="25"/>
  <c r="K323" i="25"/>
  <c r="K316" i="25"/>
  <c r="L314" i="25"/>
  <c r="K291" i="25"/>
  <c r="K284" i="25"/>
  <c r="L282" i="25"/>
  <c r="L271" i="25"/>
  <c r="K262" i="25"/>
  <c r="L260" i="25"/>
  <c r="L259" i="25"/>
  <c r="K254" i="25"/>
  <c r="L252" i="25"/>
  <c r="L251" i="25"/>
  <c r="K246" i="25"/>
  <c r="L244" i="25"/>
  <c r="L243" i="25"/>
  <c r="K238" i="25"/>
  <c r="L236" i="25"/>
  <c r="L235" i="25"/>
  <c r="K230" i="25"/>
  <c r="L228" i="25"/>
  <c r="L227" i="25"/>
  <c r="L224" i="25"/>
  <c r="L222" i="25"/>
  <c r="L220" i="25"/>
  <c r="L437" i="25"/>
  <c r="K389" i="25"/>
  <c r="L354" i="25"/>
  <c r="K353" i="25"/>
  <c r="K339" i="25"/>
  <c r="K332" i="25"/>
  <c r="L330" i="25"/>
  <c r="K307" i="25"/>
  <c r="K300" i="25"/>
  <c r="L298" i="25"/>
  <c r="L275" i="25"/>
  <c r="L267" i="25"/>
  <c r="L263" i="25"/>
  <c r="K258" i="25"/>
  <c r="L256" i="25"/>
  <c r="L255" i="25"/>
  <c r="K250" i="25"/>
  <c r="L248" i="25"/>
  <c r="L247" i="25"/>
  <c r="K242" i="25"/>
  <c r="L240" i="25"/>
  <c r="L239" i="25"/>
  <c r="K234" i="25"/>
  <c r="L232" i="25"/>
  <c r="L231" i="25"/>
  <c r="K226" i="25"/>
  <c r="L225" i="25"/>
  <c r="L223" i="25"/>
  <c r="L221" i="25"/>
  <c r="L219" i="25"/>
  <c r="L217" i="25"/>
  <c r="L215" i="25"/>
  <c r="L213" i="25"/>
  <c r="L211" i="25"/>
  <c r="L209" i="25"/>
  <c r="L207" i="25"/>
  <c r="L205" i="25"/>
  <c r="L203" i="25"/>
  <c r="L201" i="25"/>
  <c r="L199" i="25"/>
  <c r="L197" i="25"/>
  <c r="L195" i="25"/>
  <c r="L193" i="25"/>
  <c r="L191" i="25"/>
  <c r="L189" i="25"/>
  <c r="L187" i="25"/>
  <c r="L185" i="25"/>
  <c r="L183" i="25"/>
  <c r="L181" i="25"/>
  <c r="L179" i="25"/>
  <c r="L177" i="25"/>
  <c r="L175" i="25"/>
  <c r="L173" i="25"/>
  <c r="L171" i="25"/>
  <c r="L169" i="25"/>
  <c r="L167" i="25"/>
  <c r="L165" i="25"/>
  <c r="L163" i="25"/>
  <c r="L161" i="25"/>
  <c r="L159" i="25"/>
  <c r="L157" i="25"/>
  <c r="L155" i="25"/>
  <c r="L153" i="25"/>
  <c r="L151" i="25"/>
  <c r="L149" i="25"/>
  <c r="L147" i="25"/>
  <c r="L145" i="25"/>
  <c r="L143" i="25"/>
  <c r="L141" i="25"/>
  <c r="L139" i="25"/>
  <c r="L137" i="25"/>
  <c r="L135" i="25"/>
  <c r="L133" i="25"/>
  <c r="L131" i="25"/>
  <c r="L129" i="25"/>
  <c r="L127" i="25"/>
  <c r="L125" i="25"/>
  <c r="L123" i="25"/>
  <c r="L121" i="25"/>
  <c r="L119" i="25"/>
  <c r="L117" i="25"/>
  <c r="L115" i="25"/>
  <c r="L113" i="25"/>
  <c r="L111" i="25"/>
  <c r="L109" i="25"/>
  <c r="L107" i="25"/>
  <c r="L105" i="25"/>
  <c r="L103" i="25"/>
  <c r="L101" i="25"/>
  <c r="L99" i="25"/>
  <c r="L97" i="25"/>
  <c r="L95" i="25"/>
  <c r="L93" i="25"/>
  <c r="L91" i="25"/>
  <c r="L89" i="25"/>
  <c r="L87" i="25"/>
  <c r="L85" i="25"/>
  <c r="L83" i="25"/>
  <c r="L81" i="25"/>
  <c r="L79" i="25"/>
  <c r="L77" i="25"/>
  <c r="L75" i="25"/>
  <c r="L73" i="25"/>
  <c r="L71" i="25"/>
  <c r="L69" i="25"/>
  <c r="L67" i="25"/>
  <c r="L65" i="25"/>
  <c r="L63" i="25"/>
  <c r="L61" i="25"/>
  <c r="L59" i="25"/>
  <c r="L57" i="25"/>
  <c r="L55" i="25"/>
  <c r="L53" i="25"/>
  <c r="L51" i="25"/>
  <c r="L49" i="25"/>
  <c r="L47" i="25"/>
  <c r="L45" i="25"/>
  <c r="L43" i="25"/>
  <c r="L41" i="25"/>
  <c r="L39" i="25"/>
  <c r="L37" i="25"/>
  <c r="L35" i="25"/>
  <c r="L33" i="25"/>
  <c r="L31" i="25"/>
  <c r="L29" i="25"/>
  <c r="K340" i="25"/>
  <c r="K315" i="25"/>
  <c r="L273" i="25"/>
  <c r="L250" i="25"/>
  <c r="K244" i="25"/>
  <c r="L241" i="25"/>
  <c r="K222" i="25"/>
  <c r="L218" i="25"/>
  <c r="L214" i="25"/>
  <c r="L210" i="25"/>
  <c r="L206" i="25"/>
  <c r="L202" i="25"/>
  <c r="L198" i="25"/>
  <c r="L194" i="25"/>
  <c r="L190" i="25"/>
  <c r="L186" i="25"/>
  <c r="L182" i="25"/>
  <c r="L178" i="25"/>
  <c r="L174" i="25"/>
  <c r="L170" i="25"/>
  <c r="L166" i="25"/>
  <c r="L162" i="25"/>
  <c r="L158" i="25"/>
  <c r="L154" i="25"/>
  <c r="L150" i="25"/>
  <c r="L146" i="25"/>
  <c r="L142" i="25"/>
  <c r="L138" i="25"/>
  <c r="L134" i="25"/>
  <c r="L130" i="25"/>
  <c r="L126" i="25"/>
  <c r="L122" i="25"/>
  <c r="K118" i="25"/>
  <c r="K117" i="25"/>
  <c r="L116" i="25"/>
  <c r="K110" i="25"/>
  <c r="K109" i="25"/>
  <c r="L108" i="25"/>
  <c r="K102" i="25"/>
  <c r="K101" i="25"/>
  <c r="L100" i="25"/>
  <c r="K94" i="25"/>
  <c r="K93" i="25"/>
  <c r="L92" i="25"/>
  <c r="K86" i="25"/>
  <c r="K85" i="25"/>
  <c r="L84" i="25"/>
  <c r="K78" i="25"/>
  <c r="K77" i="25"/>
  <c r="L76" i="25"/>
  <c r="K70" i="25"/>
  <c r="K69" i="25"/>
  <c r="L68" i="25"/>
  <c r="K62" i="25"/>
  <c r="K61" i="25"/>
  <c r="L60" i="25"/>
  <c r="K53" i="25"/>
  <c r="K45" i="25"/>
  <c r="K37" i="25"/>
  <c r="K30" i="25"/>
  <c r="K27" i="25"/>
  <c r="L350" i="25"/>
  <c r="K308" i="25"/>
  <c r="K283" i="25"/>
  <c r="L242" i="25"/>
  <c r="K236" i="25"/>
  <c r="L233" i="25"/>
  <c r="K224" i="25"/>
  <c r="K218" i="25"/>
  <c r="K214" i="25"/>
  <c r="K210" i="25"/>
  <c r="K206" i="25"/>
  <c r="K202" i="25"/>
  <c r="K198" i="25"/>
  <c r="K194" i="25"/>
  <c r="K190" i="25"/>
  <c r="K186" i="25"/>
  <c r="K182" i="25"/>
  <c r="K178" i="25"/>
  <c r="K174" i="25"/>
  <c r="K170" i="25"/>
  <c r="K166" i="25"/>
  <c r="K162" i="25"/>
  <c r="K158" i="25"/>
  <c r="K154" i="25"/>
  <c r="K150" i="25"/>
  <c r="K146" i="25"/>
  <c r="K142" i="25"/>
  <c r="K138" i="25"/>
  <c r="K134" i="25"/>
  <c r="K130" i="25"/>
  <c r="K126" i="25"/>
  <c r="K122" i="25"/>
  <c r="K116" i="25"/>
  <c r="K115" i="25"/>
  <c r="L114" i="25"/>
  <c r="K108" i="25"/>
  <c r="K107" i="25"/>
  <c r="L106" i="25"/>
  <c r="K100" i="25"/>
  <c r="K99" i="25"/>
  <c r="L98" i="25"/>
  <c r="K92" i="25"/>
  <c r="K91" i="25"/>
  <c r="L90" i="25"/>
  <c r="K84" i="25"/>
  <c r="K83" i="25"/>
  <c r="L82" i="25"/>
  <c r="K76" i="25"/>
  <c r="K75" i="25"/>
  <c r="L74" i="25"/>
  <c r="K68" i="25"/>
  <c r="K67" i="25"/>
  <c r="L66" i="25"/>
  <c r="K60" i="25"/>
  <c r="K59" i="25"/>
  <c r="L58" i="25"/>
  <c r="K52" i="25"/>
  <c r="K51" i="25"/>
  <c r="L50" i="25"/>
  <c r="K44" i="25"/>
  <c r="K43" i="25"/>
  <c r="L42" i="25"/>
  <c r="L380" i="25"/>
  <c r="L306" i="25"/>
  <c r="L265" i="25"/>
  <c r="L258" i="25"/>
  <c r="K252" i="25"/>
  <c r="L249" i="25"/>
  <c r="L226" i="25"/>
  <c r="K220" i="25"/>
  <c r="K216" i="25"/>
  <c r="K212" i="25"/>
  <c r="K208" i="25"/>
  <c r="K204" i="25"/>
  <c r="K200" i="25"/>
  <c r="K196" i="25"/>
  <c r="K192" i="25"/>
  <c r="K188" i="25"/>
  <c r="K184" i="25"/>
  <c r="K180" i="25"/>
  <c r="K176" i="25"/>
  <c r="K172" i="25"/>
  <c r="K168" i="25"/>
  <c r="K164" i="25"/>
  <c r="K160" i="25"/>
  <c r="K156" i="25"/>
  <c r="K152" i="25"/>
  <c r="K148" i="25"/>
  <c r="K144" i="25"/>
  <c r="K140" i="25"/>
  <c r="K136" i="25"/>
  <c r="K132" i="25"/>
  <c r="K128" i="25"/>
  <c r="K124" i="25"/>
  <c r="K120" i="25"/>
  <c r="K119" i="25"/>
  <c r="L118" i="25"/>
  <c r="K112" i="25"/>
  <c r="K111" i="25"/>
  <c r="L110" i="25"/>
  <c r="K104" i="25"/>
  <c r="K103" i="25"/>
  <c r="L102" i="25"/>
  <c r="K96" i="25"/>
  <c r="K95" i="25"/>
  <c r="L94" i="25"/>
  <c r="K88" i="25"/>
  <c r="K87" i="25"/>
  <c r="L86" i="25"/>
  <c r="K80" i="25"/>
  <c r="K79" i="25"/>
  <c r="L78" i="25"/>
  <c r="K72" i="25"/>
  <c r="K71" i="25"/>
  <c r="L70" i="25"/>
  <c r="K64" i="25"/>
  <c r="K63" i="25"/>
  <c r="L62" i="25"/>
  <c r="K56" i="25"/>
  <c r="K55" i="25"/>
  <c r="L54" i="25"/>
  <c r="K48" i="25"/>
  <c r="K47" i="25"/>
  <c r="L46" i="25"/>
  <c r="K40" i="25"/>
  <c r="K39" i="25"/>
  <c r="L38" i="25"/>
  <c r="K32" i="25"/>
  <c r="K31" i="25"/>
  <c r="L30" i="25"/>
  <c r="L27" i="25"/>
  <c r="L25" i="25"/>
  <c r="L23" i="25"/>
  <c r="L21" i="25"/>
  <c r="L19" i="25"/>
  <c r="L17" i="25"/>
  <c r="L15" i="25"/>
  <c r="L13" i="25"/>
  <c r="K54" i="25"/>
  <c r="L52" i="25"/>
  <c r="K46" i="25"/>
  <c r="L44" i="25"/>
  <c r="K38" i="25"/>
  <c r="L36" i="25"/>
  <c r="K29" i="25"/>
  <c r="K25" i="25"/>
  <c r="K349" i="25"/>
  <c r="L257" i="25"/>
  <c r="L212" i="25"/>
  <c r="L196" i="25"/>
  <c r="L180" i="25"/>
  <c r="L164" i="25"/>
  <c r="L148" i="25"/>
  <c r="L132" i="25"/>
  <c r="K113" i="25"/>
  <c r="K106" i="25"/>
  <c r="L104" i="25"/>
  <c r="K81" i="25"/>
  <c r="K74" i="25"/>
  <c r="L72" i="25"/>
  <c r="K49" i="25"/>
  <c r="K42" i="25"/>
  <c r="L40" i="25"/>
  <c r="K35" i="25"/>
  <c r="K34" i="25"/>
  <c r="K33" i="25"/>
  <c r="K26" i="25"/>
  <c r="K20" i="25"/>
  <c r="K23" i="25"/>
  <c r="L22" i="25"/>
  <c r="K260" i="25"/>
  <c r="L216" i="25"/>
  <c r="L200" i="25"/>
  <c r="L184" i="25"/>
  <c r="L168" i="25"/>
  <c r="L152" i="25"/>
  <c r="L136" i="25"/>
  <c r="L120" i="25"/>
  <c r="K105" i="25"/>
  <c r="K98" i="25"/>
  <c r="L96" i="25"/>
  <c r="K73" i="25"/>
  <c r="K66" i="25"/>
  <c r="L64" i="25"/>
  <c r="K41" i="25"/>
  <c r="L28" i="25"/>
  <c r="L24" i="25"/>
  <c r="K18" i="25"/>
  <c r="K17" i="25"/>
  <c r="L16" i="25"/>
  <c r="L234" i="25"/>
  <c r="K228" i="25"/>
  <c r="L188" i="25"/>
  <c r="K97" i="25"/>
  <c r="L88" i="25"/>
  <c r="K65" i="25"/>
  <c r="K28" i="25"/>
  <c r="L338" i="25"/>
  <c r="L208" i="25"/>
  <c r="L192" i="25"/>
  <c r="L176" i="25"/>
  <c r="L160" i="25"/>
  <c r="L144" i="25"/>
  <c r="L128" i="25"/>
  <c r="K114" i="25"/>
  <c r="L112" i="25"/>
  <c r="K89" i="25"/>
  <c r="K82" i="25"/>
  <c r="L80" i="25"/>
  <c r="K57" i="25"/>
  <c r="K50" i="25"/>
  <c r="L48" i="25"/>
  <c r="K36" i="25"/>
  <c r="L34" i="25"/>
  <c r="L32" i="25"/>
  <c r="L26" i="25"/>
  <c r="K22" i="25"/>
  <c r="K21" i="25"/>
  <c r="L20" i="25"/>
  <c r="K14" i="25"/>
  <c r="K13" i="25"/>
  <c r="K19" i="25"/>
  <c r="L18" i="25"/>
  <c r="L204" i="25"/>
  <c r="L172" i="25"/>
  <c r="L156" i="25"/>
  <c r="L140" i="25"/>
  <c r="L124" i="25"/>
  <c r="K90" i="25"/>
  <c r="K58" i="25"/>
  <c r="L56" i="25"/>
  <c r="K24" i="25"/>
  <c r="K16" i="25"/>
  <c r="K15" i="25"/>
  <c r="L14" i="25"/>
  <c r="L628" i="25"/>
  <c r="L626" i="25"/>
  <c r="K628" i="25"/>
  <c r="K626" i="25"/>
  <c r="L623" i="25"/>
  <c r="K623" i="25"/>
  <c r="L622" i="25"/>
  <c r="K622" i="25"/>
  <c r="J613" i="25"/>
  <c r="J611" i="25"/>
  <c r="J609" i="25"/>
  <c r="A624" i="25"/>
  <c r="I613" i="25"/>
  <c r="I611" i="25"/>
  <c r="I609" i="25"/>
  <c r="W624" i="25"/>
  <c r="I612" i="25"/>
  <c r="I610" i="25"/>
  <c r="I608" i="25"/>
  <c r="C634" i="25"/>
  <c r="I605" i="25"/>
  <c r="I603" i="25"/>
  <c r="I601" i="25"/>
  <c r="I599" i="25"/>
  <c r="I597" i="25"/>
  <c r="J607" i="25"/>
  <c r="J606" i="25"/>
  <c r="J604" i="25"/>
  <c r="J602" i="25"/>
  <c r="J600" i="25"/>
  <c r="J598" i="25"/>
  <c r="J612" i="25"/>
  <c r="J605" i="25"/>
  <c r="J603" i="25"/>
  <c r="J601" i="25"/>
  <c r="J599" i="25"/>
  <c r="J597" i="25"/>
  <c r="J595" i="25"/>
  <c r="J593" i="25"/>
  <c r="J608" i="25"/>
  <c r="I602" i="25"/>
  <c r="I594" i="25"/>
  <c r="I593" i="25"/>
  <c r="J592" i="25"/>
  <c r="J590" i="25"/>
  <c r="J588" i="25"/>
  <c r="J586" i="25"/>
  <c r="I607" i="25"/>
  <c r="I604" i="25"/>
  <c r="I592" i="25"/>
  <c r="I590" i="25"/>
  <c r="I588" i="25"/>
  <c r="I586" i="25"/>
  <c r="I584" i="25"/>
  <c r="I600" i="25"/>
  <c r="I596" i="25"/>
  <c r="I595" i="25"/>
  <c r="J594" i="25"/>
  <c r="I591" i="25"/>
  <c r="I589" i="25"/>
  <c r="I587" i="25"/>
  <c r="I585" i="25"/>
  <c r="I583" i="25"/>
  <c r="I581" i="25"/>
  <c r="I579" i="25"/>
  <c r="I598" i="25"/>
  <c r="J596" i="25"/>
  <c r="J589" i="25"/>
  <c r="J584" i="25"/>
  <c r="J583" i="25"/>
  <c r="I582" i="25"/>
  <c r="J580" i="25"/>
  <c r="I577" i="25"/>
  <c r="I575" i="25"/>
  <c r="I573" i="25"/>
  <c r="I571" i="25"/>
  <c r="I569" i="25"/>
  <c r="I567" i="25"/>
  <c r="I565" i="25"/>
  <c r="I563" i="25"/>
  <c r="I561" i="25"/>
  <c r="I559" i="25"/>
  <c r="I557" i="25"/>
  <c r="J610" i="25"/>
  <c r="I606" i="25"/>
  <c r="J591" i="25"/>
  <c r="J581" i="25"/>
  <c r="I580" i="25"/>
  <c r="J578" i="25"/>
  <c r="J576" i="25"/>
  <c r="J574" i="25"/>
  <c r="J572" i="25"/>
  <c r="J570" i="25"/>
  <c r="J568" i="25"/>
  <c r="J566" i="25"/>
  <c r="J587" i="25"/>
  <c r="J582" i="25"/>
  <c r="J577" i="25"/>
  <c r="J575" i="25"/>
  <c r="J573" i="25"/>
  <c r="J571" i="25"/>
  <c r="J569" i="25"/>
  <c r="J567" i="25"/>
  <c r="I578" i="25"/>
  <c r="I574" i="25"/>
  <c r="I566" i="25"/>
  <c r="J561" i="25"/>
  <c r="I560" i="25"/>
  <c r="J558" i="25"/>
  <c r="I556" i="25"/>
  <c r="I554" i="25"/>
  <c r="I552" i="25"/>
  <c r="I550" i="25"/>
  <c r="I548" i="25"/>
  <c r="I546" i="25"/>
  <c r="I544" i="25"/>
  <c r="I542" i="25"/>
  <c r="I540" i="25"/>
  <c r="I538" i="25"/>
  <c r="I536" i="25"/>
  <c r="I534" i="25"/>
  <c r="I532" i="25"/>
  <c r="I530" i="25"/>
  <c r="I528" i="25"/>
  <c r="I526" i="25"/>
  <c r="I576" i="25"/>
  <c r="I568" i="25"/>
  <c r="J565" i="25"/>
  <c r="J564" i="25"/>
  <c r="J559" i="25"/>
  <c r="I558" i="25"/>
  <c r="J555" i="25"/>
  <c r="J553" i="25"/>
  <c r="J551" i="25"/>
  <c r="J549" i="25"/>
  <c r="J547" i="25"/>
  <c r="J545" i="25"/>
  <c r="J543" i="25"/>
  <c r="J541" i="25"/>
  <c r="J539" i="25"/>
  <c r="J585" i="25"/>
  <c r="J579" i="25"/>
  <c r="I572" i="25"/>
  <c r="J563" i="25"/>
  <c r="I562" i="25"/>
  <c r="J560" i="25"/>
  <c r="J556" i="25"/>
  <c r="J554" i="25"/>
  <c r="J552" i="25"/>
  <c r="J550" i="25"/>
  <c r="J548" i="25"/>
  <c r="J546" i="25"/>
  <c r="J544" i="25"/>
  <c r="J542" i="25"/>
  <c r="J540" i="25"/>
  <c r="I570" i="25"/>
  <c r="I555" i="25"/>
  <c r="I547" i="25"/>
  <c r="I539" i="25"/>
  <c r="J537" i="25"/>
  <c r="J532" i="25"/>
  <c r="I531" i="25"/>
  <c r="J529" i="25"/>
  <c r="J524" i="25"/>
  <c r="I549" i="25"/>
  <c r="I541" i="25"/>
  <c r="J538" i="25"/>
  <c r="I537" i="25"/>
  <c r="J535" i="25"/>
  <c r="J530" i="25"/>
  <c r="I529" i="25"/>
  <c r="J527" i="25"/>
  <c r="I524" i="25"/>
  <c r="I553" i="25"/>
  <c r="I545" i="25"/>
  <c r="J534" i="25"/>
  <c r="I533" i="25"/>
  <c r="J531" i="25"/>
  <c r="J526" i="25"/>
  <c r="I525" i="25"/>
  <c r="I523" i="25"/>
  <c r="I521" i="25"/>
  <c r="I519" i="25"/>
  <c r="I517" i="25"/>
  <c r="I515" i="25"/>
  <c r="I513" i="25"/>
  <c r="I551" i="25"/>
  <c r="I535" i="25"/>
  <c r="J533" i="25"/>
  <c r="J528" i="25"/>
  <c r="J519" i="25"/>
  <c r="I518" i="25"/>
  <c r="J516" i="25"/>
  <c r="I510" i="25"/>
  <c r="I508" i="25"/>
  <c r="I506" i="25"/>
  <c r="I504" i="25"/>
  <c r="I502" i="25"/>
  <c r="I500" i="25"/>
  <c r="I498" i="25"/>
  <c r="I496" i="25"/>
  <c r="I494" i="25"/>
  <c r="I492" i="25"/>
  <c r="I490" i="25"/>
  <c r="I488" i="25"/>
  <c r="I486" i="25"/>
  <c r="I484" i="25"/>
  <c r="I482" i="25"/>
  <c r="I480" i="25"/>
  <c r="I478" i="25"/>
  <c r="I476" i="25"/>
  <c r="I474" i="25"/>
  <c r="I472" i="25"/>
  <c r="I470" i="25"/>
  <c r="I468" i="25"/>
  <c r="I466" i="25"/>
  <c r="J562" i="25"/>
  <c r="I527" i="25"/>
  <c r="J525" i="25"/>
  <c r="J522" i="25"/>
  <c r="J517" i="25"/>
  <c r="I516" i="25"/>
  <c r="J514" i="25"/>
  <c r="J511" i="25"/>
  <c r="J509" i="25"/>
  <c r="J507" i="25"/>
  <c r="J505" i="25"/>
  <c r="J503" i="25"/>
  <c r="J501" i="25"/>
  <c r="J499" i="25"/>
  <c r="J497" i="25"/>
  <c r="J495" i="25"/>
  <c r="J493" i="25"/>
  <c r="J491" i="25"/>
  <c r="J489" i="25"/>
  <c r="J487" i="25"/>
  <c r="J485" i="25"/>
  <c r="J483" i="25"/>
  <c r="I564" i="25"/>
  <c r="J557" i="25"/>
  <c r="I543" i="25"/>
  <c r="J536" i="25"/>
  <c r="J521" i="25"/>
  <c r="I520" i="25"/>
  <c r="J518" i="25"/>
  <c r="J513" i="25"/>
  <c r="I512" i="25"/>
  <c r="J510" i="25"/>
  <c r="J508" i="25"/>
  <c r="J506" i="25"/>
  <c r="J504" i="25"/>
  <c r="J502" i="25"/>
  <c r="J500" i="25"/>
  <c r="J498" i="25"/>
  <c r="J496" i="25"/>
  <c r="J494" i="25"/>
  <c r="J492" i="25"/>
  <c r="J490" i="25"/>
  <c r="J488" i="25"/>
  <c r="J486" i="25"/>
  <c r="I514" i="25"/>
  <c r="J512" i="25"/>
  <c r="I507" i="25"/>
  <c r="I499" i="25"/>
  <c r="I491" i="25"/>
  <c r="I483" i="25"/>
  <c r="J481" i="25"/>
  <c r="J476" i="25"/>
  <c r="I475" i="25"/>
  <c r="J473" i="25"/>
  <c r="J468" i="25"/>
  <c r="I467" i="25"/>
  <c r="J465" i="25"/>
  <c r="J463" i="25"/>
  <c r="J461" i="25"/>
  <c r="J459" i="25"/>
  <c r="J457" i="25"/>
  <c r="J455" i="25"/>
  <c r="J453" i="25"/>
  <c r="J451" i="25"/>
  <c r="J449" i="25"/>
  <c r="J447" i="25"/>
  <c r="J445" i="25"/>
  <c r="J443" i="25"/>
  <c r="J441" i="25"/>
  <c r="J439" i="25"/>
  <c r="J437" i="25"/>
  <c r="J435" i="25"/>
  <c r="J433" i="25"/>
  <c r="J431" i="25"/>
  <c r="J429" i="25"/>
  <c r="J427" i="25"/>
  <c r="J425" i="25"/>
  <c r="J423" i="25"/>
  <c r="J421" i="25"/>
  <c r="J419" i="25"/>
  <c r="J417" i="25"/>
  <c r="J415" i="25"/>
  <c r="J413" i="25"/>
  <c r="J411" i="25"/>
  <c r="J409" i="25"/>
  <c r="J407" i="25"/>
  <c r="J405" i="25"/>
  <c r="J403" i="25"/>
  <c r="J401" i="25"/>
  <c r="I509" i="25"/>
  <c r="I501" i="25"/>
  <c r="I493" i="25"/>
  <c r="I485" i="25"/>
  <c r="J482" i="25"/>
  <c r="I481" i="25"/>
  <c r="J479" i="25"/>
  <c r="J474" i="25"/>
  <c r="I473" i="25"/>
  <c r="J471" i="25"/>
  <c r="J466" i="25"/>
  <c r="I465" i="25"/>
  <c r="I463" i="25"/>
  <c r="I461" i="25"/>
  <c r="I459" i="25"/>
  <c r="I457" i="25"/>
  <c r="I455" i="25"/>
  <c r="I453" i="25"/>
  <c r="I451" i="25"/>
  <c r="I449" i="25"/>
  <c r="I447" i="25"/>
  <c r="I445" i="25"/>
  <c r="I443" i="25"/>
  <c r="I441" i="25"/>
  <c r="I439" i="25"/>
  <c r="I437" i="25"/>
  <c r="I435" i="25"/>
  <c r="I433" i="25"/>
  <c r="I431" i="25"/>
  <c r="I429" i="25"/>
  <c r="I522" i="25"/>
  <c r="J520" i="25"/>
  <c r="J515" i="25"/>
  <c r="I505" i="25"/>
  <c r="I497" i="25"/>
  <c r="I489" i="25"/>
  <c r="J478" i="25"/>
  <c r="I477" i="25"/>
  <c r="J475" i="25"/>
  <c r="J470" i="25"/>
  <c r="I469" i="25"/>
  <c r="J467" i="25"/>
  <c r="I464" i="25"/>
  <c r="I462" i="25"/>
  <c r="I460" i="25"/>
  <c r="I458" i="25"/>
  <c r="I456" i="25"/>
  <c r="I454" i="25"/>
  <c r="I452" i="25"/>
  <c r="I450" i="25"/>
  <c r="I448" i="25"/>
  <c r="I446" i="25"/>
  <c r="I444" i="25"/>
  <c r="I442" i="25"/>
  <c r="I440" i="25"/>
  <c r="I438" i="25"/>
  <c r="I436" i="25"/>
  <c r="I434" i="25"/>
  <c r="I432" i="25"/>
  <c r="I430" i="25"/>
  <c r="J523" i="25"/>
  <c r="I495" i="25"/>
  <c r="J480" i="25"/>
  <c r="J460" i="25"/>
  <c r="J452" i="25"/>
  <c r="J444" i="25"/>
  <c r="J436" i="25"/>
  <c r="I424" i="25"/>
  <c r="I423" i="25"/>
  <c r="J422" i="25"/>
  <c r="I416" i="25"/>
  <c r="I415" i="25"/>
  <c r="J414" i="25"/>
  <c r="I408" i="25"/>
  <c r="I407" i="25"/>
  <c r="J406" i="25"/>
  <c r="I503" i="25"/>
  <c r="I479" i="25"/>
  <c r="J477" i="25"/>
  <c r="J472" i="25"/>
  <c r="J462" i="25"/>
  <c r="J454" i="25"/>
  <c r="J446" i="25"/>
  <c r="J438" i="25"/>
  <c r="J430" i="25"/>
  <c r="I422" i="25"/>
  <c r="I421" i="25"/>
  <c r="J420" i="25"/>
  <c r="I414" i="25"/>
  <c r="I413" i="25"/>
  <c r="J412" i="25"/>
  <c r="I406" i="25"/>
  <c r="I405" i="25"/>
  <c r="J404" i="25"/>
  <c r="I487" i="25"/>
  <c r="J484" i="25"/>
  <c r="J458" i="25"/>
  <c r="J450" i="25"/>
  <c r="J442" i="25"/>
  <c r="J434" i="25"/>
  <c r="I428" i="25"/>
  <c r="I426" i="25"/>
  <c r="I425" i="25"/>
  <c r="J424" i="25"/>
  <c r="I418" i="25"/>
  <c r="I417" i="25"/>
  <c r="J416" i="25"/>
  <c r="I410" i="25"/>
  <c r="I409" i="25"/>
  <c r="J408" i="25"/>
  <c r="I402" i="25"/>
  <c r="I401" i="25"/>
  <c r="J400" i="25"/>
  <c r="J398" i="25"/>
  <c r="J396" i="25"/>
  <c r="J394" i="25"/>
  <c r="J392" i="25"/>
  <c r="J390" i="25"/>
  <c r="J388" i="25"/>
  <c r="J386" i="25"/>
  <c r="J384" i="25"/>
  <c r="J382" i="25"/>
  <c r="J380" i="25"/>
  <c r="J378" i="25"/>
  <c r="J376" i="25"/>
  <c r="J456" i="25"/>
  <c r="I427" i="25"/>
  <c r="J426" i="25"/>
  <c r="I420" i="25"/>
  <c r="I397" i="25"/>
  <c r="I396" i="25"/>
  <c r="J395" i="25"/>
  <c r="I389" i="25"/>
  <c r="I388" i="25"/>
  <c r="J387" i="25"/>
  <c r="I381" i="25"/>
  <c r="I380" i="25"/>
  <c r="J379" i="25"/>
  <c r="J374" i="25"/>
  <c r="J372" i="25"/>
  <c r="J370" i="25"/>
  <c r="J368" i="25"/>
  <c r="J366" i="25"/>
  <c r="J364" i="25"/>
  <c r="J362" i="25"/>
  <c r="J360" i="25"/>
  <c r="J358" i="25"/>
  <c r="J356" i="25"/>
  <c r="J354" i="25"/>
  <c r="J352" i="25"/>
  <c r="J350" i="25"/>
  <c r="J348" i="25"/>
  <c r="J346" i="25"/>
  <c r="J344" i="25"/>
  <c r="J342" i="25"/>
  <c r="J340" i="25"/>
  <c r="J338" i="25"/>
  <c r="J336" i="25"/>
  <c r="J334" i="25"/>
  <c r="J332" i="25"/>
  <c r="J330" i="25"/>
  <c r="J328" i="25"/>
  <c r="J326" i="25"/>
  <c r="J324" i="25"/>
  <c r="J322" i="25"/>
  <c r="J320" i="25"/>
  <c r="J318" i="25"/>
  <c r="J316" i="25"/>
  <c r="J314" i="25"/>
  <c r="J312" i="25"/>
  <c r="J310" i="25"/>
  <c r="J308" i="25"/>
  <c r="J306" i="25"/>
  <c r="J304" i="25"/>
  <c r="J302" i="25"/>
  <c r="J300" i="25"/>
  <c r="J298" i="25"/>
  <c r="J296" i="25"/>
  <c r="J294" i="25"/>
  <c r="J292" i="25"/>
  <c r="J290" i="25"/>
  <c r="J288" i="25"/>
  <c r="J286" i="25"/>
  <c r="J284" i="25"/>
  <c r="J282" i="25"/>
  <c r="J280" i="25"/>
  <c r="I511" i="25"/>
  <c r="I471" i="25"/>
  <c r="J464" i="25"/>
  <c r="J432" i="25"/>
  <c r="I419" i="25"/>
  <c r="J418" i="25"/>
  <c r="I412" i="25"/>
  <c r="I395" i="25"/>
  <c r="I394" i="25"/>
  <c r="J393" i="25"/>
  <c r="I387" i="25"/>
  <c r="I386" i="25"/>
  <c r="J385" i="25"/>
  <c r="I379" i="25"/>
  <c r="I378" i="25"/>
  <c r="J377" i="25"/>
  <c r="I374" i="25"/>
  <c r="I372" i="25"/>
  <c r="I370" i="25"/>
  <c r="I368" i="25"/>
  <c r="I366" i="25"/>
  <c r="J469" i="25"/>
  <c r="J448" i="25"/>
  <c r="J428" i="25"/>
  <c r="I403" i="25"/>
  <c r="J402" i="25"/>
  <c r="I399" i="25"/>
  <c r="I398" i="25"/>
  <c r="J397" i="25"/>
  <c r="I391" i="25"/>
  <c r="I390" i="25"/>
  <c r="J389" i="25"/>
  <c r="I383" i="25"/>
  <c r="I382" i="25"/>
  <c r="J381" i="25"/>
  <c r="I375" i="25"/>
  <c r="I373" i="25"/>
  <c r="I371" i="25"/>
  <c r="I369" i="25"/>
  <c r="I367" i="25"/>
  <c r="I365" i="25"/>
  <c r="I363" i="25"/>
  <c r="I361" i="25"/>
  <c r="I359" i="25"/>
  <c r="I357" i="25"/>
  <c r="I355" i="25"/>
  <c r="I353" i="25"/>
  <c r="I351" i="25"/>
  <c r="I349" i="25"/>
  <c r="I347" i="25"/>
  <c r="I345" i="25"/>
  <c r="J440" i="25"/>
  <c r="J410" i="25"/>
  <c r="I400" i="25"/>
  <c r="J399" i="25"/>
  <c r="I393" i="25"/>
  <c r="J369" i="25"/>
  <c r="I339" i="25"/>
  <c r="I338" i="25"/>
  <c r="J337" i="25"/>
  <c r="I331" i="25"/>
  <c r="I330" i="25"/>
  <c r="J329" i="25"/>
  <c r="I323" i="25"/>
  <c r="I322" i="25"/>
  <c r="J321" i="25"/>
  <c r="I315" i="25"/>
  <c r="I314" i="25"/>
  <c r="J313" i="25"/>
  <c r="I307" i="25"/>
  <c r="I306" i="25"/>
  <c r="J305" i="25"/>
  <c r="I299" i="25"/>
  <c r="I298" i="25"/>
  <c r="J297" i="25"/>
  <c r="I291" i="25"/>
  <c r="I290" i="25"/>
  <c r="J289" i="25"/>
  <c r="I283" i="25"/>
  <c r="I282" i="25"/>
  <c r="J281" i="25"/>
  <c r="J277" i="25"/>
  <c r="J275" i="25"/>
  <c r="J273" i="25"/>
  <c r="J271" i="25"/>
  <c r="J269" i="25"/>
  <c r="J267" i="25"/>
  <c r="J265" i="25"/>
  <c r="I392" i="25"/>
  <c r="J391" i="25"/>
  <c r="I385" i="25"/>
  <c r="J371" i="25"/>
  <c r="I364" i="25"/>
  <c r="J363" i="25"/>
  <c r="I360" i="25"/>
  <c r="J359" i="25"/>
  <c r="I356" i="25"/>
  <c r="J355" i="25"/>
  <c r="I352" i="25"/>
  <c r="J351" i="25"/>
  <c r="I348" i="25"/>
  <c r="J347" i="25"/>
  <c r="I344" i="25"/>
  <c r="J343" i="25"/>
  <c r="I337" i="25"/>
  <c r="I336" i="25"/>
  <c r="J335" i="25"/>
  <c r="I329" i="25"/>
  <c r="I328" i="25"/>
  <c r="J327" i="25"/>
  <c r="I321" i="25"/>
  <c r="I320" i="25"/>
  <c r="J319" i="25"/>
  <c r="I313" i="25"/>
  <c r="I312" i="25"/>
  <c r="J311" i="25"/>
  <c r="I305" i="25"/>
  <c r="I304" i="25"/>
  <c r="J303" i="25"/>
  <c r="I297" i="25"/>
  <c r="I296" i="25"/>
  <c r="J295" i="25"/>
  <c r="I289" i="25"/>
  <c r="I288" i="25"/>
  <c r="J287" i="25"/>
  <c r="I281" i="25"/>
  <c r="I280" i="25"/>
  <c r="J279" i="25"/>
  <c r="I277" i="25"/>
  <c r="I275" i="25"/>
  <c r="I273" i="25"/>
  <c r="I271" i="25"/>
  <c r="I269" i="25"/>
  <c r="I267" i="25"/>
  <c r="I265" i="25"/>
  <c r="I411" i="25"/>
  <c r="I404" i="25"/>
  <c r="I376" i="25"/>
  <c r="J375" i="25"/>
  <c r="J367" i="25"/>
  <c r="I362" i="25"/>
  <c r="J361" i="25"/>
  <c r="I358" i="25"/>
  <c r="J357" i="25"/>
  <c r="I354" i="25"/>
  <c r="J353" i="25"/>
  <c r="I350" i="25"/>
  <c r="J349" i="25"/>
  <c r="I346" i="25"/>
  <c r="J345" i="25"/>
  <c r="I341" i="25"/>
  <c r="I340" i="25"/>
  <c r="J339" i="25"/>
  <c r="I333" i="25"/>
  <c r="I332" i="25"/>
  <c r="J331" i="25"/>
  <c r="I325" i="25"/>
  <c r="I324" i="25"/>
  <c r="J323" i="25"/>
  <c r="I317" i="25"/>
  <c r="I316" i="25"/>
  <c r="J315" i="25"/>
  <c r="I309" i="25"/>
  <c r="I308" i="25"/>
  <c r="J307" i="25"/>
  <c r="I301" i="25"/>
  <c r="I300" i="25"/>
  <c r="J299" i="25"/>
  <c r="I293" i="25"/>
  <c r="I292" i="25"/>
  <c r="J291" i="25"/>
  <c r="I285" i="25"/>
  <c r="I284" i="25"/>
  <c r="J283" i="25"/>
  <c r="I278" i="25"/>
  <c r="I276" i="25"/>
  <c r="I274" i="25"/>
  <c r="I272" i="25"/>
  <c r="I270" i="25"/>
  <c r="I268" i="25"/>
  <c r="I266" i="25"/>
  <c r="I264" i="25"/>
  <c r="I262" i="25"/>
  <c r="I260" i="25"/>
  <c r="I258" i="25"/>
  <c r="I256" i="25"/>
  <c r="I254" i="25"/>
  <c r="I252" i="25"/>
  <c r="I250" i="25"/>
  <c r="I248" i="25"/>
  <c r="I246" i="25"/>
  <c r="I244" i="25"/>
  <c r="I242" i="25"/>
  <c r="I240" i="25"/>
  <c r="I238" i="25"/>
  <c r="I236" i="25"/>
  <c r="I234" i="25"/>
  <c r="I232" i="25"/>
  <c r="I230" i="25"/>
  <c r="I228" i="25"/>
  <c r="I226" i="25"/>
  <c r="J365" i="25"/>
  <c r="I326" i="25"/>
  <c r="J325" i="25"/>
  <c r="I319" i="25"/>
  <c r="I294" i="25"/>
  <c r="J293" i="25"/>
  <c r="I287" i="25"/>
  <c r="J272" i="25"/>
  <c r="J263" i="25"/>
  <c r="J258" i="25"/>
  <c r="I257" i="25"/>
  <c r="J255" i="25"/>
  <c r="J250" i="25"/>
  <c r="I249" i="25"/>
  <c r="J247" i="25"/>
  <c r="J242" i="25"/>
  <c r="I241" i="25"/>
  <c r="J239" i="25"/>
  <c r="J234" i="25"/>
  <c r="I233" i="25"/>
  <c r="J231" i="25"/>
  <c r="J226" i="25"/>
  <c r="I224" i="25"/>
  <c r="I222" i="25"/>
  <c r="I220" i="25"/>
  <c r="I218" i="25"/>
  <c r="I216" i="25"/>
  <c r="I214" i="25"/>
  <c r="I212" i="25"/>
  <c r="I210" i="25"/>
  <c r="I208" i="25"/>
  <c r="I206" i="25"/>
  <c r="I204" i="25"/>
  <c r="I202" i="25"/>
  <c r="I200" i="25"/>
  <c r="I198" i="25"/>
  <c r="I196" i="25"/>
  <c r="I194" i="25"/>
  <c r="I192" i="25"/>
  <c r="I190" i="25"/>
  <c r="I188" i="25"/>
  <c r="I186" i="25"/>
  <c r="I184" i="25"/>
  <c r="I182" i="25"/>
  <c r="I180" i="25"/>
  <c r="I178" i="25"/>
  <c r="I176" i="25"/>
  <c r="I174" i="25"/>
  <c r="I172" i="25"/>
  <c r="I170" i="25"/>
  <c r="I168" i="25"/>
  <c r="I166" i="25"/>
  <c r="I164" i="25"/>
  <c r="I162" i="25"/>
  <c r="I160" i="25"/>
  <c r="I158" i="25"/>
  <c r="I156" i="25"/>
  <c r="I154" i="25"/>
  <c r="I152" i="25"/>
  <c r="I150" i="25"/>
  <c r="I148" i="25"/>
  <c r="I146" i="25"/>
  <c r="I144" i="25"/>
  <c r="I142" i="25"/>
  <c r="I140" i="25"/>
  <c r="I138" i="25"/>
  <c r="I136" i="25"/>
  <c r="I134" i="25"/>
  <c r="I132" i="25"/>
  <c r="I130" i="25"/>
  <c r="I128" i="25"/>
  <c r="I126" i="25"/>
  <c r="I124" i="25"/>
  <c r="I122" i="25"/>
  <c r="I120" i="25"/>
  <c r="J373" i="25"/>
  <c r="I343" i="25"/>
  <c r="I318" i="25"/>
  <c r="J317" i="25"/>
  <c r="I311" i="25"/>
  <c r="I286" i="25"/>
  <c r="J285" i="25"/>
  <c r="I279" i="25"/>
  <c r="J274" i="25"/>
  <c r="J266" i="25"/>
  <c r="J264" i="25"/>
  <c r="I263" i="25"/>
  <c r="J261" i="25"/>
  <c r="J256" i="25"/>
  <c r="I255" i="25"/>
  <c r="J253" i="25"/>
  <c r="J248" i="25"/>
  <c r="I247" i="25"/>
  <c r="J245" i="25"/>
  <c r="J240" i="25"/>
  <c r="I239" i="25"/>
  <c r="J237" i="25"/>
  <c r="J232" i="25"/>
  <c r="I231" i="25"/>
  <c r="J229" i="25"/>
  <c r="J225" i="25"/>
  <c r="J223" i="25"/>
  <c r="J221" i="25"/>
  <c r="J383" i="25"/>
  <c r="I334" i="25"/>
  <c r="J333" i="25"/>
  <c r="I327" i="25"/>
  <c r="I302" i="25"/>
  <c r="J301" i="25"/>
  <c r="I295" i="25"/>
  <c r="J278" i="25"/>
  <c r="J270" i="25"/>
  <c r="J260" i="25"/>
  <c r="I259" i="25"/>
  <c r="J257" i="25"/>
  <c r="J252" i="25"/>
  <c r="I251" i="25"/>
  <c r="J249" i="25"/>
  <c r="J244" i="25"/>
  <c r="I243" i="25"/>
  <c r="J241" i="25"/>
  <c r="J236" i="25"/>
  <c r="I235" i="25"/>
  <c r="J233" i="25"/>
  <c r="J228" i="25"/>
  <c r="I227" i="25"/>
  <c r="J224" i="25"/>
  <c r="J222" i="25"/>
  <c r="J220" i="25"/>
  <c r="J218" i="25"/>
  <c r="J216" i="25"/>
  <c r="J214" i="25"/>
  <c r="J212" i="25"/>
  <c r="J210" i="25"/>
  <c r="J208" i="25"/>
  <c r="J206" i="25"/>
  <c r="J204" i="25"/>
  <c r="J202" i="25"/>
  <c r="J200" i="25"/>
  <c r="J198" i="25"/>
  <c r="J196" i="25"/>
  <c r="J194" i="25"/>
  <c r="J192" i="25"/>
  <c r="J190" i="25"/>
  <c r="J188" i="25"/>
  <c r="J186" i="25"/>
  <c r="J184" i="25"/>
  <c r="J182" i="25"/>
  <c r="J180" i="25"/>
  <c r="J178" i="25"/>
  <c r="J176" i="25"/>
  <c r="J174" i="25"/>
  <c r="J172" i="25"/>
  <c r="J170" i="25"/>
  <c r="J168" i="25"/>
  <c r="J166" i="25"/>
  <c r="J164" i="25"/>
  <c r="J162" i="25"/>
  <c r="J160" i="25"/>
  <c r="J158" i="25"/>
  <c r="J156" i="25"/>
  <c r="J154" i="25"/>
  <c r="J152" i="25"/>
  <c r="J150" i="25"/>
  <c r="J148" i="25"/>
  <c r="J146" i="25"/>
  <c r="J144" i="25"/>
  <c r="J142" i="25"/>
  <c r="J140" i="25"/>
  <c r="J138" i="25"/>
  <c r="J136" i="25"/>
  <c r="J134" i="25"/>
  <c r="J132" i="25"/>
  <c r="J130" i="25"/>
  <c r="J128" i="25"/>
  <c r="J126" i="25"/>
  <c r="J124" i="25"/>
  <c r="J122" i="25"/>
  <c r="J120" i="25"/>
  <c r="J118" i="25"/>
  <c r="J116" i="25"/>
  <c r="J114" i="25"/>
  <c r="J112" i="25"/>
  <c r="J110" i="25"/>
  <c r="J108" i="25"/>
  <c r="J106" i="25"/>
  <c r="J104" i="25"/>
  <c r="J102" i="25"/>
  <c r="J100" i="25"/>
  <c r="J98" i="25"/>
  <c r="J96" i="25"/>
  <c r="J94" i="25"/>
  <c r="J92" i="25"/>
  <c r="J90" i="25"/>
  <c r="J88" i="25"/>
  <c r="J86" i="25"/>
  <c r="J84" i="25"/>
  <c r="J82" i="25"/>
  <c r="J80" i="25"/>
  <c r="J78" i="25"/>
  <c r="J76" i="25"/>
  <c r="J74" i="25"/>
  <c r="J72" i="25"/>
  <c r="J70" i="25"/>
  <c r="J68" i="25"/>
  <c r="J66" i="25"/>
  <c r="J64" i="25"/>
  <c r="J62" i="25"/>
  <c r="J60" i="25"/>
  <c r="J58" i="25"/>
  <c r="J56" i="25"/>
  <c r="J54" i="25"/>
  <c r="J52" i="25"/>
  <c r="J50" i="25"/>
  <c r="J48" i="25"/>
  <c r="J46" i="25"/>
  <c r="J44" i="25"/>
  <c r="J42" i="25"/>
  <c r="J40" i="25"/>
  <c r="J38" i="25"/>
  <c r="J36" i="25"/>
  <c r="J34" i="25"/>
  <c r="J32" i="25"/>
  <c r="J30" i="25"/>
  <c r="J309" i="25"/>
  <c r="J276" i="25"/>
  <c r="I245" i="25"/>
  <c r="J243" i="25"/>
  <c r="J238" i="25"/>
  <c r="I217" i="25"/>
  <c r="I213" i="25"/>
  <c r="I209" i="25"/>
  <c r="I205" i="25"/>
  <c r="I201" i="25"/>
  <c r="I197" i="25"/>
  <c r="I193" i="25"/>
  <c r="I189" i="25"/>
  <c r="I185" i="25"/>
  <c r="I181" i="25"/>
  <c r="I177" i="25"/>
  <c r="I173" i="25"/>
  <c r="I169" i="25"/>
  <c r="I165" i="25"/>
  <c r="I161" i="25"/>
  <c r="I157" i="25"/>
  <c r="I153" i="25"/>
  <c r="I149" i="25"/>
  <c r="I145" i="25"/>
  <c r="I141" i="25"/>
  <c r="I137" i="25"/>
  <c r="I133" i="25"/>
  <c r="I129" i="25"/>
  <c r="I125" i="25"/>
  <c r="I121" i="25"/>
  <c r="J119" i="25"/>
  <c r="I113" i="25"/>
  <c r="I112" i="25"/>
  <c r="J111" i="25"/>
  <c r="I105" i="25"/>
  <c r="I104" i="25"/>
  <c r="J103" i="25"/>
  <c r="I97" i="25"/>
  <c r="I96" i="25"/>
  <c r="J95" i="25"/>
  <c r="I89" i="25"/>
  <c r="I88" i="25"/>
  <c r="J87" i="25"/>
  <c r="I81" i="25"/>
  <c r="I80" i="25"/>
  <c r="J79" i="25"/>
  <c r="I73" i="25"/>
  <c r="I72" i="25"/>
  <c r="J71" i="25"/>
  <c r="I65" i="25"/>
  <c r="I64" i="25"/>
  <c r="I49" i="25"/>
  <c r="I40" i="25"/>
  <c r="I26" i="25"/>
  <c r="I377" i="25"/>
  <c r="J262" i="25"/>
  <c r="I237" i="25"/>
  <c r="J235" i="25"/>
  <c r="J230" i="25"/>
  <c r="I221" i="25"/>
  <c r="J219" i="25"/>
  <c r="J215" i="25"/>
  <c r="J211" i="25"/>
  <c r="J207" i="25"/>
  <c r="J203" i="25"/>
  <c r="J199" i="25"/>
  <c r="J195" i="25"/>
  <c r="J191" i="25"/>
  <c r="J187" i="25"/>
  <c r="J183" i="25"/>
  <c r="J179" i="25"/>
  <c r="J175" i="25"/>
  <c r="J171" i="25"/>
  <c r="J167" i="25"/>
  <c r="J163" i="25"/>
  <c r="J159" i="25"/>
  <c r="J155" i="25"/>
  <c r="J151" i="25"/>
  <c r="J147" i="25"/>
  <c r="J143" i="25"/>
  <c r="J139" i="25"/>
  <c r="J135" i="25"/>
  <c r="J131" i="25"/>
  <c r="J127" i="25"/>
  <c r="J123" i="25"/>
  <c r="I119" i="25"/>
  <c r="I118" i="25"/>
  <c r="J117" i="25"/>
  <c r="I111" i="25"/>
  <c r="I110" i="25"/>
  <c r="J109" i="25"/>
  <c r="I103" i="25"/>
  <c r="I102" i="25"/>
  <c r="J101" i="25"/>
  <c r="I95" i="25"/>
  <c r="I94" i="25"/>
  <c r="J93" i="25"/>
  <c r="I87" i="25"/>
  <c r="I86" i="25"/>
  <c r="J85" i="25"/>
  <c r="I79" i="25"/>
  <c r="I78" i="25"/>
  <c r="J77" i="25"/>
  <c r="I71" i="25"/>
  <c r="I70" i="25"/>
  <c r="J69" i="25"/>
  <c r="I63" i="25"/>
  <c r="I62" i="25"/>
  <c r="J61" i="25"/>
  <c r="I55" i="25"/>
  <c r="I54" i="25"/>
  <c r="J53" i="25"/>
  <c r="I47" i="25"/>
  <c r="I46" i="25"/>
  <c r="J45" i="25"/>
  <c r="J341" i="25"/>
  <c r="I310" i="25"/>
  <c r="I303" i="25"/>
  <c r="J268" i="25"/>
  <c r="I253" i="25"/>
  <c r="J251" i="25"/>
  <c r="J246" i="25"/>
  <c r="I225" i="25"/>
  <c r="J217" i="25"/>
  <c r="J213" i="25"/>
  <c r="J209" i="25"/>
  <c r="J205" i="25"/>
  <c r="J201" i="25"/>
  <c r="J197" i="25"/>
  <c r="J193" i="25"/>
  <c r="J189" i="25"/>
  <c r="J185" i="25"/>
  <c r="J181" i="25"/>
  <c r="J177" i="25"/>
  <c r="J173" i="25"/>
  <c r="J169" i="25"/>
  <c r="J165" i="25"/>
  <c r="J161" i="25"/>
  <c r="J157" i="25"/>
  <c r="J153" i="25"/>
  <c r="J149" i="25"/>
  <c r="J145" i="25"/>
  <c r="J141" i="25"/>
  <c r="J137" i="25"/>
  <c r="J133" i="25"/>
  <c r="J129" i="25"/>
  <c r="J125" i="25"/>
  <c r="J121" i="25"/>
  <c r="I115" i="25"/>
  <c r="I114" i="25"/>
  <c r="J113" i="25"/>
  <c r="I107" i="25"/>
  <c r="I106" i="25"/>
  <c r="J105" i="25"/>
  <c r="I99" i="25"/>
  <c r="I98" i="25"/>
  <c r="J97" i="25"/>
  <c r="I91" i="25"/>
  <c r="I90" i="25"/>
  <c r="J89" i="25"/>
  <c r="I83" i="25"/>
  <c r="I82" i="25"/>
  <c r="J81" i="25"/>
  <c r="I75" i="25"/>
  <c r="I74" i="25"/>
  <c r="J73" i="25"/>
  <c r="I67" i="25"/>
  <c r="I66" i="25"/>
  <c r="J65" i="25"/>
  <c r="I59" i="25"/>
  <c r="I58" i="25"/>
  <c r="J57" i="25"/>
  <c r="I51" i="25"/>
  <c r="I50" i="25"/>
  <c r="J49" i="25"/>
  <c r="I43" i="25"/>
  <c r="I42" i="25"/>
  <c r="J41" i="25"/>
  <c r="I35" i="25"/>
  <c r="I34" i="25"/>
  <c r="J33" i="25"/>
  <c r="J28" i="25"/>
  <c r="J26" i="25"/>
  <c r="J24" i="25"/>
  <c r="J22" i="25"/>
  <c r="J20" i="25"/>
  <c r="J18" i="25"/>
  <c r="J16" i="25"/>
  <c r="J14" i="25"/>
  <c r="J63" i="25"/>
  <c r="I57" i="25"/>
  <c r="I56" i="25"/>
  <c r="J55" i="25"/>
  <c r="I48" i="25"/>
  <c r="J47" i="25"/>
  <c r="I41" i="25"/>
  <c r="J39" i="25"/>
  <c r="I33" i="25"/>
  <c r="I32" i="25"/>
  <c r="J31" i="25"/>
  <c r="I28" i="25"/>
  <c r="I261" i="25"/>
  <c r="J254" i="25"/>
  <c r="I223" i="25"/>
  <c r="I211" i="25"/>
  <c r="I195" i="25"/>
  <c r="I179" i="25"/>
  <c r="I163" i="25"/>
  <c r="I147" i="25"/>
  <c r="I131" i="25"/>
  <c r="I108" i="25"/>
  <c r="J107" i="25"/>
  <c r="I101" i="25"/>
  <c r="I76" i="25"/>
  <c r="J75" i="25"/>
  <c r="I69" i="25"/>
  <c r="I44" i="25"/>
  <c r="J43" i="25"/>
  <c r="I36" i="25"/>
  <c r="I30" i="25"/>
  <c r="J29" i="25"/>
  <c r="J27" i="25"/>
  <c r="I23" i="25"/>
  <c r="I22" i="25"/>
  <c r="I187" i="25"/>
  <c r="I155" i="25"/>
  <c r="I92" i="25"/>
  <c r="I85" i="25"/>
  <c r="J59" i="25"/>
  <c r="I18" i="25"/>
  <c r="I335" i="25"/>
  <c r="I229" i="25"/>
  <c r="I215" i="25"/>
  <c r="I199" i="25"/>
  <c r="I183" i="25"/>
  <c r="I167" i="25"/>
  <c r="I151" i="25"/>
  <c r="I135" i="25"/>
  <c r="I100" i="25"/>
  <c r="J99" i="25"/>
  <c r="I93" i="25"/>
  <c r="I68" i="25"/>
  <c r="J67" i="25"/>
  <c r="I61" i="25"/>
  <c r="I39" i="25"/>
  <c r="J35" i="25"/>
  <c r="I29" i="25"/>
  <c r="I27" i="25"/>
  <c r="I21" i="25"/>
  <c r="I20" i="25"/>
  <c r="J19" i="25"/>
  <c r="I342" i="25"/>
  <c r="J259" i="25"/>
  <c r="I203" i="25"/>
  <c r="I123" i="25"/>
  <c r="J91" i="25"/>
  <c r="I60" i="25"/>
  <c r="I38" i="25"/>
  <c r="J37" i="25"/>
  <c r="I19" i="25"/>
  <c r="I384" i="25"/>
  <c r="J227" i="25"/>
  <c r="I207" i="25"/>
  <c r="I191" i="25"/>
  <c r="I175" i="25"/>
  <c r="I159" i="25"/>
  <c r="I143" i="25"/>
  <c r="I127" i="25"/>
  <c r="I116" i="25"/>
  <c r="J115" i="25"/>
  <c r="I109" i="25"/>
  <c r="I84" i="25"/>
  <c r="J83" i="25"/>
  <c r="I77" i="25"/>
  <c r="I52" i="25"/>
  <c r="J51" i="25"/>
  <c r="I45" i="25"/>
  <c r="I37" i="25"/>
  <c r="I31" i="25"/>
  <c r="I25" i="25"/>
  <c r="I24" i="25"/>
  <c r="J23" i="25"/>
  <c r="I17" i="25"/>
  <c r="I16" i="25"/>
  <c r="J15" i="25"/>
  <c r="J21" i="25"/>
  <c r="I15" i="25"/>
  <c r="I14" i="25"/>
  <c r="J13" i="25"/>
  <c r="I13" i="25"/>
  <c r="I219" i="25"/>
  <c r="I171" i="25"/>
  <c r="I139" i="25"/>
  <c r="I117" i="25"/>
  <c r="I53" i="25"/>
  <c r="J25" i="25"/>
  <c r="J17" i="25"/>
  <c r="I628" i="25"/>
  <c r="J626" i="25"/>
  <c r="I626" i="25"/>
  <c r="J628" i="25"/>
  <c r="J623" i="25"/>
  <c r="I623" i="25"/>
  <c r="J622" i="25"/>
  <c r="I622" i="25"/>
  <c r="B355" i="2"/>
  <c r="F71" i="1"/>
  <c r="F70" i="1"/>
  <c r="A355" i="2"/>
  <c r="B220" i="2"/>
  <c r="B236" i="2"/>
  <c r="C5" i="17"/>
  <c r="E64" i="1"/>
  <c r="C4" i="17"/>
  <c r="D49" i="16" l="1"/>
  <c r="O625" i="25"/>
  <c r="P625" i="25"/>
  <c r="O624" i="25"/>
  <c r="P624" i="25"/>
  <c r="L625" i="25"/>
  <c r="D625" i="25"/>
  <c r="K625" i="25"/>
  <c r="C625" i="25"/>
  <c r="I625" i="25"/>
  <c r="E625" i="25"/>
  <c r="F625" i="25"/>
  <c r="J625" i="25"/>
  <c r="A629" i="25"/>
  <c r="A627" i="25"/>
  <c r="K624" i="25"/>
  <c r="C624" i="25"/>
  <c r="N624" i="25"/>
  <c r="J624" i="25"/>
  <c r="F624" i="25"/>
  <c r="L624" i="25"/>
  <c r="D624" i="25"/>
  <c r="E624" i="25"/>
  <c r="I624" i="25"/>
  <c r="C7" i="17"/>
  <c r="M81" i="17" s="1"/>
  <c r="F72" i="1"/>
  <c r="A629" i="17"/>
  <c r="A627" i="17"/>
  <c r="H627" i="17" s="1"/>
  <c r="J628" i="17"/>
  <c r="I628" i="17"/>
  <c r="K628" i="17"/>
  <c r="L628" i="17"/>
  <c r="J610" i="17"/>
  <c r="I613" i="17"/>
  <c r="J606" i="17"/>
  <c r="J602" i="17"/>
  <c r="J598" i="17"/>
  <c r="C634" i="17"/>
  <c r="I612" i="17"/>
  <c r="I608" i="17"/>
  <c r="I604" i="17"/>
  <c r="I600" i="17"/>
  <c r="I596" i="17"/>
  <c r="J592" i="17"/>
  <c r="J588" i="17"/>
  <c r="J584" i="17"/>
  <c r="J580" i="17"/>
  <c r="J576" i="17"/>
  <c r="J572" i="17"/>
  <c r="J568" i="17"/>
  <c r="J564" i="17"/>
  <c r="J560" i="17"/>
  <c r="J556" i="17"/>
  <c r="J552" i="17"/>
  <c r="J548" i="17"/>
  <c r="J544" i="17"/>
  <c r="J587" i="17"/>
  <c r="J579" i="17"/>
  <c r="J571" i="17"/>
  <c r="J563" i="17"/>
  <c r="J555" i="17"/>
  <c r="J547" i="17"/>
  <c r="J541" i="17"/>
  <c r="J537" i="17"/>
  <c r="J533" i="17"/>
  <c r="J529" i="17"/>
  <c r="J525" i="17"/>
  <c r="J521" i="17"/>
  <c r="I588" i="17"/>
  <c r="I580" i="17"/>
  <c r="I572" i="17"/>
  <c r="I564" i="17"/>
  <c r="I556" i="17"/>
  <c r="I548" i="17"/>
  <c r="J542" i="17"/>
  <c r="J538" i="17"/>
  <c r="J534" i="17"/>
  <c r="J530" i="17"/>
  <c r="J526" i="17"/>
  <c r="J522" i="17"/>
  <c r="I520" i="17"/>
  <c r="I515" i="17"/>
  <c r="I511" i="17"/>
  <c r="I507" i="17"/>
  <c r="I503" i="17"/>
  <c r="I499" i="17"/>
  <c r="I495" i="17"/>
  <c r="I491" i="17"/>
  <c r="I487" i="17"/>
  <c r="I483" i="17"/>
  <c r="I479" i="17"/>
  <c r="I475" i="17"/>
  <c r="I471" i="17"/>
  <c r="I467" i="17"/>
  <c r="I463" i="17"/>
  <c r="I459" i="17"/>
  <c r="I455" i="17"/>
  <c r="I451" i="17"/>
  <c r="I447" i="17"/>
  <c r="I443" i="17"/>
  <c r="I439" i="17"/>
  <c r="I435" i="17"/>
  <c r="I431" i="17"/>
  <c r="I427" i="17"/>
  <c r="I423" i="17"/>
  <c r="I419" i="17"/>
  <c r="I518" i="17"/>
  <c r="I514" i="17"/>
  <c r="I510" i="17"/>
  <c r="I506" i="17"/>
  <c r="I502" i="17"/>
  <c r="I498" i="17"/>
  <c r="I494" i="17"/>
  <c r="I490" i="17"/>
  <c r="I486" i="17"/>
  <c r="I482" i="17"/>
  <c r="I478" i="17"/>
  <c r="I474" i="17"/>
  <c r="I470" i="17"/>
  <c r="I466" i="17"/>
  <c r="I462" i="17"/>
  <c r="I458" i="17"/>
  <c r="I454" i="17"/>
  <c r="I450" i="17"/>
  <c r="I446" i="17"/>
  <c r="I442" i="17"/>
  <c r="I438" i="17"/>
  <c r="I434" i="17"/>
  <c r="I430" i="17"/>
  <c r="I426" i="17"/>
  <c r="I422" i="17"/>
  <c r="I418" i="17"/>
  <c r="I414" i="17"/>
  <c r="I410" i="17"/>
  <c r="I406" i="17"/>
  <c r="I402" i="17"/>
  <c r="I398" i="17"/>
  <c r="I394" i="17"/>
  <c r="I390" i="17"/>
  <c r="I386" i="17"/>
  <c r="I382" i="17"/>
  <c r="I378" i="17"/>
  <c r="I374" i="17"/>
  <c r="I370" i="17"/>
  <c r="I366" i="17"/>
  <c r="I362" i="17"/>
  <c r="I358" i="17"/>
  <c r="I354" i="17"/>
  <c r="I350" i="17"/>
  <c r="I346" i="17"/>
  <c r="I342" i="17"/>
  <c r="I338" i="17"/>
  <c r="I334" i="17"/>
  <c r="I330" i="17"/>
  <c r="I326" i="17"/>
  <c r="I322" i="17"/>
  <c r="I318" i="17"/>
  <c r="J416" i="17"/>
  <c r="J412" i="17"/>
  <c r="J408" i="17"/>
  <c r="J404" i="17"/>
  <c r="J400" i="17"/>
  <c r="J396" i="17"/>
  <c r="J392" i="17"/>
  <c r="J388" i="17"/>
  <c r="J384" i="17"/>
  <c r="J380" i="17"/>
  <c r="J376" i="17"/>
  <c r="J372" i="17"/>
  <c r="J368" i="17"/>
  <c r="J364" i="17"/>
  <c r="J360" i="17"/>
  <c r="J356" i="17"/>
  <c r="J352" i="17"/>
  <c r="J348" i="17"/>
  <c r="J344" i="17"/>
  <c r="J340" i="17"/>
  <c r="J336" i="17"/>
  <c r="J332" i="17"/>
  <c r="J328" i="17"/>
  <c r="J324" i="17"/>
  <c r="J320" i="17"/>
  <c r="J316" i="17"/>
  <c r="I312" i="17"/>
  <c r="I308" i="17"/>
  <c r="I304" i="17"/>
  <c r="I300" i="17"/>
  <c r="I296" i="17"/>
  <c r="I292" i="17"/>
  <c r="I288" i="17"/>
  <c r="I284" i="17"/>
  <c r="I280" i="17"/>
  <c r="I276" i="17"/>
  <c r="I272" i="17"/>
  <c r="I268" i="17"/>
  <c r="I264" i="17"/>
  <c r="I260" i="17"/>
  <c r="I256" i="17"/>
  <c r="I252" i="17"/>
  <c r="I248" i="17"/>
  <c r="I244" i="17"/>
  <c r="I240" i="17"/>
  <c r="I236" i="17"/>
  <c r="I232" i="17"/>
  <c r="I228" i="17"/>
  <c r="I224" i="17"/>
  <c r="I220" i="17"/>
  <c r="I216" i="17"/>
  <c r="I212" i="17"/>
  <c r="I208" i="17"/>
  <c r="I204" i="17"/>
  <c r="I200" i="17"/>
  <c r="I196" i="17"/>
  <c r="I192" i="17"/>
  <c r="I188" i="17"/>
  <c r="I184" i="17"/>
  <c r="I180" i="17"/>
  <c r="I176" i="17"/>
  <c r="I172" i="17"/>
  <c r="I168" i="17"/>
  <c r="I164" i="17"/>
  <c r="I160" i="17"/>
  <c r="I156" i="17"/>
  <c r="I152" i="17"/>
  <c r="I148" i="17"/>
  <c r="I144" i="17"/>
  <c r="I140" i="17"/>
  <c r="I136" i="17"/>
  <c r="I132" i="17"/>
  <c r="I128" i="17"/>
  <c r="I124" i="17"/>
  <c r="I120" i="17"/>
  <c r="I116" i="17"/>
  <c r="I112" i="17"/>
  <c r="I313" i="17"/>
  <c r="I309" i="17"/>
  <c r="I305" i="17"/>
  <c r="I301" i="17"/>
  <c r="I297" i="17"/>
  <c r="I293" i="17"/>
  <c r="I289" i="17"/>
  <c r="I285" i="17"/>
  <c r="I281" i="17"/>
  <c r="I277" i="17"/>
  <c r="I273" i="17"/>
  <c r="I269" i="17"/>
  <c r="I265" i="17"/>
  <c r="I261" i="17"/>
  <c r="I257" i="17"/>
  <c r="I253" i="17"/>
  <c r="I249" i="17"/>
  <c r="I245" i="17"/>
  <c r="I241" i="17"/>
  <c r="I237" i="17"/>
  <c r="I233" i="17"/>
  <c r="I229" i="17"/>
  <c r="I225" i="17"/>
  <c r="I221" i="17"/>
  <c r="I217" i="17"/>
  <c r="I213" i="17"/>
  <c r="I209" i="17"/>
  <c r="I205" i="17"/>
  <c r="I201" i="17"/>
  <c r="I197" i="17"/>
  <c r="I193" i="17"/>
  <c r="I189" i="17"/>
  <c r="I185" i="17"/>
  <c r="I181" i="17"/>
  <c r="I177" i="17"/>
  <c r="I173" i="17"/>
  <c r="I169" i="17"/>
  <c r="I165" i="17"/>
  <c r="I161" i="17"/>
  <c r="I157" i="17"/>
  <c r="I153" i="17"/>
  <c r="I149" i="17"/>
  <c r="I145" i="17"/>
  <c r="I141" i="17"/>
  <c r="I611" i="17"/>
  <c r="I605" i="17"/>
  <c r="I601" i="17"/>
  <c r="I597" i="17"/>
  <c r="W624" i="17"/>
  <c r="J611" i="17"/>
  <c r="J607" i="17"/>
  <c r="J603" i="17"/>
  <c r="J599" i="17"/>
  <c r="J612" i="17"/>
  <c r="J608" i="17"/>
  <c r="I609" i="17"/>
  <c r="J604" i="17"/>
  <c r="J600" i="17"/>
  <c r="J596" i="17"/>
  <c r="A624" i="17"/>
  <c r="I610" i="17"/>
  <c r="I606" i="17"/>
  <c r="I602" i="17"/>
  <c r="I598" i="17"/>
  <c r="J594" i="17"/>
  <c r="J590" i="17"/>
  <c r="J586" i="17"/>
  <c r="J582" i="17"/>
  <c r="J578" i="17"/>
  <c r="J574" i="17"/>
  <c r="J570" i="17"/>
  <c r="J566" i="17"/>
  <c r="J562" i="17"/>
  <c r="J558" i="17"/>
  <c r="J554" i="17"/>
  <c r="J550" i="17"/>
  <c r="J546" i="17"/>
  <c r="J591" i="17"/>
  <c r="J583" i="17"/>
  <c r="J575" i="17"/>
  <c r="J567" i="17"/>
  <c r="J559" i="17"/>
  <c r="J551" i="17"/>
  <c r="J543" i="17"/>
  <c r="J539" i="17"/>
  <c r="J535" i="17"/>
  <c r="J531" i="17"/>
  <c r="J527" i="17"/>
  <c r="J523" i="17"/>
  <c r="I592" i="17"/>
  <c r="I584" i="17"/>
  <c r="I576" i="17"/>
  <c r="I568" i="17"/>
  <c r="I560" i="17"/>
  <c r="I552" i="17"/>
  <c r="I544" i="17"/>
  <c r="J540" i="17"/>
  <c r="J536" i="17"/>
  <c r="J532" i="17"/>
  <c r="J528" i="17"/>
  <c r="J524" i="17"/>
  <c r="J520" i="17"/>
  <c r="I517" i="17"/>
  <c r="I513" i="17"/>
  <c r="I509" i="17"/>
  <c r="I505" i="17"/>
  <c r="I501" i="17"/>
  <c r="I497" i="17"/>
  <c r="I493" i="17"/>
  <c r="I489" i="17"/>
  <c r="I485" i="17"/>
  <c r="I481" i="17"/>
  <c r="I477" i="17"/>
  <c r="I473" i="17"/>
  <c r="I469" i="17"/>
  <c r="I465" i="17"/>
  <c r="I461" i="17"/>
  <c r="I457" i="17"/>
  <c r="I453" i="17"/>
  <c r="I449" i="17"/>
  <c r="I445" i="17"/>
  <c r="I441" i="17"/>
  <c r="I437" i="17"/>
  <c r="I433" i="17"/>
  <c r="I429" i="17"/>
  <c r="I425" i="17"/>
  <c r="I421" i="17"/>
  <c r="I417" i="17"/>
  <c r="I516" i="17"/>
  <c r="I512" i="17"/>
  <c r="I508" i="17"/>
  <c r="I504" i="17"/>
  <c r="I500" i="17"/>
  <c r="I496" i="17"/>
  <c r="I492" i="17"/>
  <c r="I488" i="17"/>
  <c r="I484" i="17"/>
  <c r="I480" i="17"/>
  <c r="I476" i="17"/>
  <c r="I472" i="17"/>
  <c r="I468" i="17"/>
  <c r="I464" i="17"/>
  <c r="I460" i="17"/>
  <c r="I456" i="17"/>
  <c r="I452" i="17"/>
  <c r="I448" i="17"/>
  <c r="I444" i="17"/>
  <c r="I440" i="17"/>
  <c r="I436" i="17"/>
  <c r="I432" i="17"/>
  <c r="I428" i="17"/>
  <c r="I424" i="17"/>
  <c r="I420" i="17"/>
  <c r="I416" i="17"/>
  <c r="I412" i="17"/>
  <c r="I408" i="17"/>
  <c r="I404" i="17"/>
  <c r="I400" i="17"/>
  <c r="I396" i="17"/>
  <c r="I392" i="17"/>
  <c r="I388" i="17"/>
  <c r="I384" i="17"/>
  <c r="I380" i="17"/>
  <c r="I376" i="17"/>
  <c r="I372" i="17"/>
  <c r="I368" i="17"/>
  <c r="I364" i="17"/>
  <c r="I360" i="17"/>
  <c r="I356" i="17"/>
  <c r="I352" i="17"/>
  <c r="I348" i="17"/>
  <c r="I344" i="17"/>
  <c r="I340" i="17"/>
  <c r="I336" i="17"/>
  <c r="I332" i="17"/>
  <c r="I328" i="17"/>
  <c r="I324" i="17"/>
  <c r="I320" i="17"/>
  <c r="I316" i="17"/>
  <c r="J414" i="17"/>
  <c r="J410" i="17"/>
  <c r="J406" i="17"/>
  <c r="J402" i="17"/>
  <c r="J398" i="17"/>
  <c r="J394" i="17"/>
  <c r="J390" i="17"/>
  <c r="J386" i="17"/>
  <c r="J382" i="17"/>
  <c r="J378" i="17"/>
  <c r="J374" i="17"/>
  <c r="J370" i="17"/>
  <c r="J366" i="17"/>
  <c r="J362" i="17"/>
  <c r="J358" i="17"/>
  <c r="J354" i="17"/>
  <c r="J350" i="17"/>
  <c r="J346" i="17"/>
  <c r="J342" i="17"/>
  <c r="J338" i="17"/>
  <c r="J334" i="17"/>
  <c r="J330" i="17"/>
  <c r="J326" i="17"/>
  <c r="J322" i="17"/>
  <c r="J318" i="17"/>
  <c r="I314" i="17"/>
  <c r="I310" i="17"/>
  <c r="I306" i="17"/>
  <c r="I302" i="17"/>
  <c r="I298" i="17"/>
  <c r="I294" i="17"/>
  <c r="I290" i="17"/>
  <c r="I286" i="17"/>
  <c r="I282" i="17"/>
  <c r="I278" i="17"/>
  <c r="I274" i="17"/>
  <c r="I270" i="17"/>
  <c r="I266" i="17"/>
  <c r="I262" i="17"/>
  <c r="I258" i="17"/>
  <c r="I254" i="17"/>
  <c r="I250" i="17"/>
  <c r="I246" i="17"/>
  <c r="I242" i="17"/>
  <c r="I238" i="17"/>
  <c r="I234" i="17"/>
  <c r="I230" i="17"/>
  <c r="I226" i="17"/>
  <c r="I222" i="17"/>
  <c r="I218" i="17"/>
  <c r="I214" i="17"/>
  <c r="I210" i="17"/>
  <c r="I206" i="17"/>
  <c r="I202" i="17"/>
  <c r="I198" i="17"/>
  <c r="I194" i="17"/>
  <c r="I190" i="17"/>
  <c r="I186" i="17"/>
  <c r="I182" i="17"/>
  <c r="I178" i="17"/>
  <c r="I174" i="17"/>
  <c r="I170" i="17"/>
  <c r="I166" i="17"/>
  <c r="I162" i="17"/>
  <c r="I158" i="17"/>
  <c r="I154" i="17"/>
  <c r="I150" i="17"/>
  <c r="I146" i="17"/>
  <c r="I142" i="17"/>
  <c r="I138" i="17"/>
  <c r="I134" i="17"/>
  <c r="I130" i="17"/>
  <c r="I126" i="17"/>
  <c r="I122" i="17"/>
  <c r="I118" i="17"/>
  <c r="I114" i="17"/>
  <c r="I110" i="17"/>
  <c r="I311" i="17"/>
  <c r="I307" i="17"/>
  <c r="I303" i="17"/>
  <c r="I299" i="17"/>
  <c r="I295" i="17"/>
  <c r="I291" i="17"/>
  <c r="I287" i="17"/>
  <c r="I283" i="17"/>
  <c r="I279" i="17"/>
  <c r="I275" i="17"/>
  <c r="I271" i="17"/>
  <c r="I267" i="17"/>
  <c r="I259" i="17"/>
  <c r="I251" i="17"/>
  <c r="I243" i="17"/>
  <c r="I235" i="17"/>
  <c r="I227" i="17"/>
  <c r="I219" i="17"/>
  <c r="I211" i="17"/>
  <c r="I203" i="17"/>
  <c r="I195" i="17"/>
  <c r="I187" i="17"/>
  <c r="I179" i="17"/>
  <c r="I171" i="17"/>
  <c r="I163" i="17"/>
  <c r="I155" i="17"/>
  <c r="I147" i="17"/>
  <c r="I139" i="17"/>
  <c r="I603" i="17"/>
  <c r="I595" i="17"/>
  <c r="J609" i="17"/>
  <c r="J601" i="17"/>
  <c r="J595" i="17"/>
  <c r="I591" i="17"/>
  <c r="I587" i="17"/>
  <c r="I583" i="17"/>
  <c r="I579" i="17"/>
  <c r="I575" i="17"/>
  <c r="I571" i="17"/>
  <c r="I567" i="17"/>
  <c r="I563" i="17"/>
  <c r="I559" i="17"/>
  <c r="I555" i="17"/>
  <c r="I551" i="17"/>
  <c r="I547" i="17"/>
  <c r="J593" i="17"/>
  <c r="J585" i="17"/>
  <c r="J577" i="17"/>
  <c r="J569" i="17"/>
  <c r="J561" i="17"/>
  <c r="J553" i="17"/>
  <c r="J545" i="17"/>
  <c r="I540" i="17"/>
  <c r="I536" i="17"/>
  <c r="I532" i="17"/>
  <c r="I528" i="17"/>
  <c r="I524" i="17"/>
  <c r="I594" i="17"/>
  <c r="I586" i="17"/>
  <c r="I578" i="17"/>
  <c r="I570" i="17"/>
  <c r="I562" i="17"/>
  <c r="I554" i="17"/>
  <c r="I546" i="17"/>
  <c r="I541" i="17"/>
  <c r="I537" i="17"/>
  <c r="I533" i="17"/>
  <c r="I529" i="17"/>
  <c r="I525" i="17"/>
  <c r="I521" i="17"/>
  <c r="J518" i="17"/>
  <c r="J514" i="17"/>
  <c r="J510" i="17"/>
  <c r="J506" i="17"/>
  <c r="J502" i="17"/>
  <c r="J498" i="17"/>
  <c r="J494" i="17"/>
  <c r="J490" i="17"/>
  <c r="J486" i="17"/>
  <c r="J482" i="17"/>
  <c r="J478" i="17"/>
  <c r="J474" i="17"/>
  <c r="J470" i="17"/>
  <c r="J466" i="17"/>
  <c r="J462" i="17"/>
  <c r="J458" i="17"/>
  <c r="J454" i="17"/>
  <c r="J450" i="17"/>
  <c r="J446" i="17"/>
  <c r="J442" i="17"/>
  <c r="J438" i="17"/>
  <c r="J434" i="17"/>
  <c r="J430" i="17"/>
  <c r="J426" i="17"/>
  <c r="J422" i="17"/>
  <c r="J418" i="17"/>
  <c r="J517" i="17"/>
  <c r="J513" i="17"/>
  <c r="J509" i="17"/>
  <c r="J505" i="17"/>
  <c r="J501" i="17"/>
  <c r="J497" i="17"/>
  <c r="J493" i="17"/>
  <c r="J489" i="17"/>
  <c r="J485" i="17"/>
  <c r="J481" i="17"/>
  <c r="J477" i="17"/>
  <c r="J473" i="17"/>
  <c r="J469" i="17"/>
  <c r="J465" i="17"/>
  <c r="J461" i="17"/>
  <c r="J457" i="17"/>
  <c r="J453" i="17"/>
  <c r="J449" i="17"/>
  <c r="J445" i="17"/>
  <c r="J441" i="17"/>
  <c r="J437" i="17"/>
  <c r="J433" i="17"/>
  <c r="J429" i="17"/>
  <c r="J425" i="17"/>
  <c r="J421" i="17"/>
  <c r="J417" i="17"/>
  <c r="J413" i="17"/>
  <c r="J409" i="17"/>
  <c r="J405" i="17"/>
  <c r="J401" i="17"/>
  <c r="J397" i="17"/>
  <c r="J393" i="17"/>
  <c r="J389" i="17"/>
  <c r="J385" i="17"/>
  <c r="J381" i="17"/>
  <c r="J377" i="17"/>
  <c r="J373" i="17"/>
  <c r="J369" i="17"/>
  <c r="J365" i="17"/>
  <c r="J361" i="17"/>
  <c r="J357" i="17"/>
  <c r="J353" i="17"/>
  <c r="J349" i="17"/>
  <c r="J345" i="17"/>
  <c r="J341" i="17"/>
  <c r="J337" i="17"/>
  <c r="J333" i="17"/>
  <c r="J329" i="17"/>
  <c r="J325" i="17"/>
  <c r="J321" i="17"/>
  <c r="J317" i="17"/>
  <c r="I415" i="17"/>
  <c r="I411" i="17"/>
  <c r="I407" i="17"/>
  <c r="I403" i="17"/>
  <c r="I399" i="17"/>
  <c r="I395" i="17"/>
  <c r="I391" i="17"/>
  <c r="I387" i="17"/>
  <c r="I383" i="17"/>
  <c r="I379" i="17"/>
  <c r="I375" i="17"/>
  <c r="I371" i="17"/>
  <c r="I367" i="17"/>
  <c r="I363" i="17"/>
  <c r="I359" i="17"/>
  <c r="I355" i="17"/>
  <c r="I351" i="17"/>
  <c r="I347" i="17"/>
  <c r="I343" i="17"/>
  <c r="I339" i="17"/>
  <c r="I335" i="17"/>
  <c r="I331" i="17"/>
  <c r="I327" i="17"/>
  <c r="I323" i="17"/>
  <c r="I319" i="17"/>
  <c r="I315" i="17"/>
  <c r="J311" i="17"/>
  <c r="J307" i="17"/>
  <c r="J303" i="17"/>
  <c r="J299" i="17"/>
  <c r="J295" i="17"/>
  <c r="J291" i="17"/>
  <c r="J287" i="17"/>
  <c r="J283" i="17"/>
  <c r="J279" i="17"/>
  <c r="J275" i="17"/>
  <c r="J271" i="17"/>
  <c r="J267" i="17"/>
  <c r="J263" i="17"/>
  <c r="J259" i="17"/>
  <c r="J255" i="17"/>
  <c r="J251" i="17"/>
  <c r="J247" i="17"/>
  <c r="J243" i="17"/>
  <c r="J239" i="17"/>
  <c r="J235" i="17"/>
  <c r="J231" i="17"/>
  <c r="J227" i="17"/>
  <c r="J223" i="17"/>
  <c r="J219" i="17"/>
  <c r="J215" i="17"/>
  <c r="J211" i="17"/>
  <c r="J207" i="17"/>
  <c r="J203" i="17"/>
  <c r="J199" i="17"/>
  <c r="J195" i="17"/>
  <c r="J191" i="17"/>
  <c r="J187" i="17"/>
  <c r="J183" i="17"/>
  <c r="J179" i="17"/>
  <c r="J175" i="17"/>
  <c r="J171" i="17"/>
  <c r="J167" i="17"/>
  <c r="J163" i="17"/>
  <c r="J159" i="17"/>
  <c r="J155" i="17"/>
  <c r="J151" i="17"/>
  <c r="J147" i="17"/>
  <c r="J143" i="17"/>
  <c r="J139" i="17"/>
  <c r="J135" i="17"/>
  <c r="J131" i="17"/>
  <c r="J127" i="17"/>
  <c r="J123" i="17"/>
  <c r="J119" i="17"/>
  <c r="J115" i="17"/>
  <c r="J111" i="17"/>
  <c r="J312" i="17"/>
  <c r="J308" i="17"/>
  <c r="J304" i="17"/>
  <c r="J300" i="17"/>
  <c r="J296" i="17"/>
  <c r="J292" i="17"/>
  <c r="J288" i="17"/>
  <c r="J284" i="17"/>
  <c r="J280" i="17"/>
  <c r="J276" i="17"/>
  <c r="J272" i="17"/>
  <c r="J268" i="17"/>
  <c r="J264" i="17"/>
  <c r="J260" i="17"/>
  <c r="J256" i="17"/>
  <c r="J252" i="17"/>
  <c r="J248" i="17"/>
  <c r="J244" i="17"/>
  <c r="J240" i="17"/>
  <c r="J236" i="17"/>
  <c r="J232" i="17"/>
  <c r="J228" i="17"/>
  <c r="J224" i="17"/>
  <c r="J220" i="17"/>
  <c r="J216" i="17"/>
  <c r="J212" i="17"/>
  <c r="J208" i="17"/>
  <c r="J204" i="17"/>
  <c r="J200" i="17"/>
  <c r="J196" i="17"/>
  <c r="J192" i="17"/>
  <c r="J188" i="17"/>
  <c r="J184" i="17"/>
  <c r="J180" i="17"/>
  <c r="J176" i="17"/>
  <c r="J172" i="17"/>
  <c r="J168" i="17"/>
  <c r="J164" i="17"/>
  <c r="J160" i="17"/>
  <c r="J156" i="17"/>
  <c r="J152" i="17"/>
  <c r="J148" i="17"/>
  <c r="J144" i="17"/>
  <c r="J140" i="17"/>
  <c r="J136" i="17"/>
  <c r="J132" i="17"/>
  <c r="J128" i="17"/>
  <c r="J124" i="17"/>
  <c r="J120" i="17"/>
  <c r="J116" i="17"/>
  <c r="J112" i="17"/>
  <c r="I135" i="17"/>
  <c r="I127" i="17"/>
  <c r="I119" i="17"/>
  <c r="I111" i="17"/>
  <c r="J16" i="17"/>
  <c r="J20" i="17"/>
  <c r="J24" i="17"/>
  <c r="J28" i="17"/>
  <c r="J32" i="17"/>
  <c r="J36" i="17"/>
  <c r="J40" i="17"/>
  <c r="J44" i="17"/>
  <c r="J48" i="17"/>
  <c r="J52" i="17"/>
  <c r="J56" i="17"/>
  <c r="J60" i="17"/>
  <c r="J64" i="17"/>
  <c r="J68" i="17"/>
  <c r="J72" i="17"/>
  <c r="J76" i="17"/>
  <c r="J80" i="17"/>
  <c r="J84" i="17"/>
  <c r="J88" i="17"/>
  <c r="J92" i="17"/>
  <c r="J96" i="17"/>
  <c r="J100" i="17"/>
  <c r="J104" i="17"/>
  <c r="J108" i="17"/>
  <c r="I133" i="17"/>
  <c r="I125" i="17"/>
  <c r="I117" i="17"/>
  <c r="I13" i="17"/>
  <c r="I17" i="17"/>
  <c r="I21" i="17"/>
  <c r="I25" i="17"/>
  <c r="I29" i="17"/>
  <c r="I33" i="17"/>
  <c r="I37" i="17"/>
  <c r="I41" i="17"/>
  <c r="I45" i="17"/>
  <c r="I49" i="17"/>
  <c r="I53" i="17"/>
  <c r="I57" i="17"/>
  <c r="I61" i="17"/>
  <c r="I65" i="17"/>
  <c r="I69" i="17"/>
  <c r="I73" i="17"/>
  <c r="I77" i="17"/>
  <c r="I81" i="17"/>
  <c r="I85" i="17"/>
  <c r="I89" i="17"/>
  <c r="I93" i="17"/>
  <c r="I97" i="17"/>
  <c r="I101" i="17"/>
  <c r="I105" i="17"/>
  <c r="I109" i="17"/>
  <c r="I106" i="17"/>
  <c r="I102" i="17"/>
  <c r="I98" i="17"/>
  <c r="I94" i="17"/>
  <c r="I90" i="17"/>
  <c r="I86" i="17"/>
  <c r="I82" i="17"/>
  <c r="I78" i="17"/>
  <c r="I74" i="17"/>
  <c r="I70" i="17"/>
  <c r="I66" i="17"/>
  <c r="I62" i="17"/>
  <c r="I58" i="17"/>
  <c r="I54" i="17"/>
  <c r="I50" i="17"/>
  <c r="I46" i="17"/>
  <c r="I42" i="17"/>
  <c r="I38" i="17"/>
  <c r="I34" i="17"/>
  <c r="I30" i="17"/>
  <c r="I26" i="17"/>
  <c r="I22" i="17"/>
  <c r="I18" i="17"/>
  <c r="I14" i="17"/>
  <c r="J107" i="17"/>
  <c r="J103" i="17"/>
  <c r="J99" i="17"/>
  <c r="J95" i="17"/>
  <c r="J91" i="17"/>
  <c r="J87" i="17"/>
  <c r="J83" i="17"/>
  <c r="J79" i="17"/>
  <c r="J75" i="17"/>
  <c r="J71" i="17"/>
  <c r="J67" i="17"/>
  <c r="J63" i="17"/>
  <c r="J59" i="17"/>
  <c r="J55" i="17"/>
  <c r="J51" i="17"/>
  <c r="J47" i="17"/>
  <c r="J43" i="17"/>
  <c r="J39" i="17"/>
  <c r="J35" i="17"/>
  <c r="J31" i="17"/>
  <c r="J27" i="17"/>
  <c r="J23" i="17"/>
  <c r="J19" i="17"/>
  <c r="J15" i="17"/>
  <c r="I622" i="17"/>
  <c r="J626" i="17"/>
  <c r="I623" i="17"/>
  <c r="I263" i="17"/>
  <c r="I255" i="17"/>
  <c r="I247" i="17"/>
  <c r="I239" i="17"/>
  <c r="I231" i="17"/>
  <c r="I223" i="17"/>
  <c r="I215" i="17"/>
  <c r="I207" i="17"/>
  <c r="I199" i="17"/>
  <c r="I191" i="17"/>
  <c r="I183" i="17"/>
  <c r="I175" i="17"/>
  <c r="I167" i="17"/>
  <c r="I159" i="17"/>
  <c r="I151" i="17"/>
  <c r="I143" i="17"/>
  <c r="I607" i="17"/>
  <c r="I599" i="17"/>
  <c r="J613" i="17"/>
  <c r="J605" i="17"/>
  <c r="J597" i="17"/>
  <c r="I593" i="17"/>
  <c r="I589" i="17"/>
  <c r="I585" i="17"/>
  <c r="I581" i="17"/>
  <c r="I577" i="17"/>
  <c r="I573" i="17"/>
  <c r="I569" i="17"/>
  <c r="I565" i="17"/>
  <c r="I561" i="17"/>
  <c r="I557" i="17"/>
  <c r="I553" i="17"/>
  <c r="I549" i="17"/>
  <c r="I545" i="17"/>
  <c r="J589" i="17"/>
  <c r="J581" i="17"/>
  <c r="J573" i="17"/>
  <c r="J565" i="17"/>
  <c r="J557" i="17"/>
  <c r="J549" i="17"/>
  <c r="I542" i="17"/>
  <c r="I538" i="17"/>
  <c r="I534" i="17"/>
  <c r="I530" i="17"/>
  <c r="I526" i="17"/>
  <c r="I522" i="17"/>
  <c r="I590" i="17"/>
  <c r="I582" i="17"/>
  <c r="I574" i="17"/>
  <c r="I566" i="17"/>
  <c r="I558" i="17"/>
  <c r="I550" i="17"/>
  <c r="I543" i="17"/>
  <c r="I539" i="17"/>
  <c r="I535" i="17"/>
  <c r="I531" i="17"/>
  <c r="I527" i="17"/>
  <c r="I523" i="17"/>
  <c r="I519" i="17"/>
  <c r="J516" i="17"/>
  <c r="J512" i="17"/>
  <c r="J508" i="17"/>
  <c r="J504" i="17"/>
  <c r="J500" i="17"/>
  <c r="J496" i="17"/>
  <c r="J492" i="17"/>
  <c r="J488" i="17"/>
  <c r="J484" i="17"/>
  <c r="J480" i="17"/>
  <c r="J476" i="17"/>
  <c r="J472" i="17"/>
  <c r="J468" i="17"/>
  <c r="J464" i="17"/>
  <c r="J460" i="17"/>
  <c r="J456" i="17"/>
  <c r="J452" i="17"/>
  <c r="J448" i="17"/>
  <c r="J444" i="17"/>
  <c r="J440" i="17"/>
  <c r="J436" i="17"/>
  <c r="J432" i="17"/>
  <c r="J428" i="17"/>
  <c r="J424" i="17"/>
  <c r="J420" i="17"/>
  <c r="J519" i="17"/>
  <c r="J515" i="17"/>
  <c r="J511" i="17"/>
  <c r="J507" i="17"/>
  <c r="J503" i="17"/>
  <c r="J499" i="17"/>
  <c r="J495" i="17"/>
  <c r="J491" i="17"/>
  <c r="J487" i="17"/>
  <c r="J483" i="17"/>
  <c r="J479" i="17"/>
  <c r="J475" i="17"/>
  <c r="J471" i="17"/>
  <c r="J467" i="17"/>
  <c r="J463" i="17"/>
  <c r="J459" i="17"/>
  <c r="J455" i="17"/>
  <c r="J451" i="17"/>
  <c r="J447" i="17"/>
  <c r="J443" i="17"/>
  <c r="J439" i="17"/>
  <c r="J435" i="17"/>
  <c r="J431" i="17"/>
  <c r="J427" i="17"/>
  <c r="J423" i="17"/>
  <c r="J419" i="17"/>
  <c r="J415" i="17"/>
  <c r="J411" i="17"/>
  <c r="J407" i="17"/>
  <c r="J403" i="17"/>
  <c r="J399" i="17"/>
  <c r="J395" i="17"/>
  <c r="J391" i="17"/>
  <c r="J387" i="17"/>
  <c r="J383" i="17"/>
  <c r="J379" i="17"/>
  <c r="J375" i="17"/>
  <c r="J371" i="17"/>
  <c r="J367" i="17"/>
  <c r="J363" i="17"/>
  <c r="J359" i="17"/>
  <c r="J355" i="17"/>
  <c r="J351" i="17"/>
  <c r="J347" i="17"/>
  <c r="J343" i="17"/>
  <c r="J339" i="17"/>
  <c r="J335" i="17"/>
  <c r="J331" i="17"/>
  <c r="J327" i="17"/>
  <c r="J323" i="17"/>
  <c r="J319" i="17"/>
  <c r="J315" i="17"/>
  <c r="I413" i="17"/>
  <c r="I409" i="17"/>
  <c r="I405" i="17"/>
  <c r="I401" i="17"/>
  <c r="I397" i="17"/>
  <c r="I393" i="17"/>
  <c r="I385" i="17"/>
  <c r="I377" i="17"/>
  <c r="I369" i="17"/>
  <c r="I361" i="17"/>
  <c r="I353" i="17"/>
  <c r="I345" i="17"/>
  <c r="I337" i="17"/>
  <c r="I329" i="17"/>
  <c r="I321" i="17"/>
  <c r="J313" i="17"/>
  <c r="J305" i="17"/>
  <c r="J297" i="17"/>
  <c r="J289" i="17"/>
  <c r="J281" i="17"/>
  <c r="J273" i="17"/>
  <c r="J265" i="17"/>
  <c r="J257" i="17"/>
  <c r="J249" i="17"/>
  <c r="J241" i="17"/>
  <c r="J233" i="17"/>
  <c r="J225" i="17"/>
  <c r="J217" i="17"/>
  <c r="J209" i="17"/>
  <c r="J201" i="17"/>
  <c r="J193" i="17"/>
  <c r="J185" i="17"/>
  <c r="J177" i="17"/>
  <c r="J169" i="17"/>
  <c r="J161" i="17"/>
  <c r="J153" i="17"/>
  <c r="J145" i="17"/>
  <c r="J137" i="17"/>
  <c r="J129" i="17"/>
  <c r="J121" i="17"/>
  <c r="J113" i="17"/>
  <c r="J310" i="17"/>
  <c r="J302" i="17"/>
  <c r="J294" i="17"/>
  <c r="J286" i="17"/>
  <c r="J278" i="17"/>
  <c r="J270" i="17"/>
  <c r="J262" i="17"/>
  <c r="J254" i="17"/>
  <c r="J246" i="17"/>
  <c r="J238" i="17"/>
  <c r="J230" i="17"/>
  <c r="J222" i="17"/>
  <c r="J214" i="17"/>
  <c r="J206" i="17"/>
  <c r="J198" i="17"/>
  <c r="J190" i="17"/>
  <c r="J182" i="17"/>
  <c r="J174" i="17"/>
  <c r="J166" i="17"/>
  <c r="J158" i="17"/>
  <c r="J150" i="17"/>
  <c r="J142" i="17"/>
  <c r="J134" i="17"/>
  <c r="J126" i="17"/>
  <c r="J118" i="17"/>
  <c r="J110" i="17"/>
  <c r="I123" i="17"/>
  <c r="J14" i="17"/>
  <c r="J22" i="17"/>
  <c r="J30" i="17"/>
  <c r="J38" i="17"/>
  <c r="J46" i="17"/>
  <c r="J54" i="17"/>
  <c r="J62" i="17"/>
  <c r="J70" i="17"/>
  <c r="J78" i="17"/>
  <c r="J86" i="17"/>
  <c r="J94" i="17"/>
  <c r="J102" i="17"/>
  <c r="I137" i="17"/>
  <c r="I121" i="17"/>
  <c r="I15" i="17"/>
  <c r="I23" i="17"/>
  <c r="I31" i="17"/>
  <c r="I39" i="17"/>
  <c r="I47" i="17"/>
  <c r="I55" i="17"/>
  <c r="I63" i="17"/>
  <c r="I71" i="17"/>
  <c r="I79" i="17"/>
  <c r="I87" i="17"/>
  <c r="I95" i="17"/>
  <c r="I103" i="17"/>
  <c r="I108" i="17"/>
  <c r="I100" i="17"/>
  <c r="I92" i="17"/>
  <c r="I84" i="17"/>
  <c r="I76" i="17"/>
  <c r="I68" i="17"/>
  <c r="I60" i="17"/>
  <c r="I52" i="17"/>
  <c r="I44" i="17"/>
  <c r="I36" i="17"/>
  <c r="I28" i="17"/>
  <c r="I20" i="17"/>
  <c r="J109" i="17"/>
  <c r="J101" i="17"/>
  <c r="J93" i="17"/>
  <c r="J85" i="17"/>
  <c r="J77" i="17"/>
  <c r="J69" i="17"/>
  <c r="J61" i="17"/>
  <c r="J53" i="17"/>
  <c r="J45" i="17"/>
  <c r="J37" i="17"/>
  <c r="J29" i="17"/>
  <c r="J21" i="17"/>
  <c r="J13" i="17"/>
  <c r="I626" i="17"/>
  <c r="J622" i="17"/>
  <c r="I389" i="17"/>
  <c r="I381" i="17"/>
  <c r="I373" i="17"/>
  <c r="I365" i="17"/>
  <c r="I357" i="17"/>
  <c r="I349" i="17"/>
  <c r="I341" i="17"/>
  <c r="I333" i="17"/>
  <c r="I325" i="17"/>
  <c r="I317" i="17"/>
  <c r="J309" i="17"/>
  <c r="J301" i="17"/>
  <c r="J293" i="17"/>
  <c r="J285" i="17"/>
  <c r="J277" i="17"/>
  <c r="J269" i="17"/>
  <c r="J261" i="17"/>
  <c r="J253" i="17"/>
  <c r="J245" i="17"/>
  <c r="J237" i="17"/>
  <c r="J229" i="17"/>
  <c r="J221" i="17"/>
  <c r="J213" i="17"/>
  <c r="J205" i="17"/>
  <c r="J197" i="17"/>
  <c r="J189" i="17"/>
  <c r="J181" i="17"/>
  <c r="J173" i="17"/>
  <c r="J165" i="17"/>
  <c r="J157" i="17"/>
  <c r="J149" i="17"/>
  <c r="J141" i="17"/>
  <c r="J133" i="17"/>
  <c r="J125" i="17"/>
  <c r="J117" i="17"/>
  <c r="J314" i="17"/>
  <c r="J306" i="17"/>
  <c r="J298" i="17"/>
  <c r="J290" i="17"/>
  <c r="J282" i="17"/>
  <c r="J274" i="17"/>
  <c r="J266" i="17"/>
  <c r="J258" i="17"/>
  <c r="J250" i="17"/>
  <c r="J242" i="17"/>
  <c r="J234" i="17"/>
  <c r="J226" i="17"/>
  <c r="J218" i="17"/>
  <c r="J210" i="17"/>
  <c r="J202" i="17"/>
  <c r="J194" i="17"/>
  <c r="J186" i="17"/>
  <c r="J178" i="17"/>
  <c r="J170" i="17"/>
  <c r="J162" i="17"/>
  <c r="J154" i="17"/>
  <c r="J146" i="17"/>
  <c r="J138" i="17"/>
  <c r="J130" i="17"/>
  <c r="J122" i="17"/>
  <c r="J114" i="17"/>
  <c r="I131" i="17"/>
  <c r="I115" i="17"/>
  <c r="J18" i="17"/>
  <c r="J26" i="17"/>
  <c r="J34" i="17"/>
  <c r="J42" i="17"/>
  <c r="J50" i="17"/>
  <c r="J58" i="17"/>
  <c r="J66" i="17"/>
  <c r="J74" i="17"/>
  <c r="J82" i="17"/>
  <c r="J90" i="17"/>
  <c r="J98" i="17"/>
  <c r="J106" i="17"/>
  <c r="I129" i="17"/>
  <c r="I113" i="17"/>
  <c r="I19" i="17"/>
  <c r="I27" i="17"/>
  <c r="I35" i="17"/>
  <c r="I43" i="17"/>
  <c r="I51" i="17"/>
  <c r="I59" i="17"/>
  <c r="I67" i="17"/>
  <c r="I75" i="17"/>
  <c r="I83" i="17"/>
  <c r="I91" i="17"/>
  <c r="I99" i="17"/>
  <c r="I107" i="17"/>
  <c r="I104" i="17"/>
  <c r="I96" i="17"/>
  <c r="I88" i="17"/>
  <c r="I80" i="17"/>
  <c r="I72" i="17"/>
  <c r="I64" i="17"/>
  <c r="I56" i="17"/>
  <c r="I48" i="17"/>
  <c r="I40" i="17"/>
  <c r="I32" i="17"/>
  <c r="I24" i="17"/>
  <c r="I16" i="17"/>
  <c r="J105" i="17"/>
  <c r="J97" i="17"/>
  <c r="J89" i="17"/>
  <c r="J81" i="17"/>
  <c r="J73" i="17"/>
  <c r="J65" i="17"/>
  <c r="J57" i="17"/>
  <c r="J49" i="17"/>
  <c r="J41" i="17"/>
  <c r="J33" i="17"/>
  <c r="J25" i="17"/>
  <c r="J17" i="17"/>
  <c r="J623" i="17"/>
  <c r="L610" i="17"/>
  <c r="K379" i="17"/>
  <c r="L386" i="17"/>
  <c r="L123" i="17"/>
  <c r="W625" i="17"/>
  <c r="L200" i="17"/>
  <c r="K207" i="17"/>
  <c r="K453" i="17"/>
  <c r="L66" i="17"/>
  <c r="K95" i="17"/>
  <c r="L264" i="17"/>
  <c r="K315" i="17"/>
  <c r="K271" i="17"/>
  <c r="L322" i="17"/>
  <c r="K532" i="17"/>
  <c r="L535" i="17"/>
  <c r="L34" i="17"/>
  <c r="K56" i="17"/>
  <c r="K63" i="17"/>
  <c r="L168" i="17"/>
  <c r="L296" i="17"/>
  <c r="L219" i="17"/>
  <c r="K347" i="17"/>
  <c r="K175" i="17"/>
  <c r="K303" i="17"/>
  <c r="K226" i="17"/>
  <c r="L354" i="17"/>
  <c r="K492" i="17"/>
  <c r="L570" i="17"/>
  <c r="L495" i="17"/>
  <c r="K573" i="17"/>
  <c r="L82" i="17"/>
  <c r="L18" i="17"/>
  <c r="K80" i="17"/>
  <c r="K48" i="17"/>
  <c r="L13" i="17"/>
  <c r="K47" i="17"/>
  <c r="L120" i="17"/>
  <c r="L184" i="17"/>
  <c r="L248" i="17"/>
  <c r="L312" i="17"/>
  <c r="L171" i="17"/>
  <c r="L235" i="17"/>
  <c r="L299" i="17"/>
  <c r="K363" i="17"/>
  <c r="K127" i="17"/>
  <c r="K191" i="17"/>
  <c r="K255" i="17"/>
  <c r="K114" i="17"/>
  <c r="K178" i="17"/>
  <c r="K242" i="17"/>
  <c r="K306" i="17"/>
  <c r="L370" i="17"/>
  <c r="K396" i="17"/>
  <c r="K421" i="17"/>
  <c r="L553" i="17"/>
  <c r="K602" i="17"/>
  <c r="L399" i="17"/>
  <c r="L424" i="17"/>
  <c r="L559" i="17"/>
  <c r="L605" i="17"/>
  <c r="L90" i="17"/>
  <c r="L58" i="17"/>
  <c r="L26" i="17"/>
  <c r="K100" i="17"/>
  <c r="K84" i="17"/>
  <c r="K68" i="17"/>
  <c r="K52" i="17"/>
  <c r="K36" i="17"/>
  <c r="K20" i="17"/>
  <c r="K87" i="17"/>
  <c r="K55" i="17"/>
  <c r="K23" i="17"/>
  <c r="K115" i="17"/>
  <c r="L144" i="17"/>
  <c r="L176" i="17"/>
  <c r="L208" i="17"/>
  <c r="L240" i="17"/>
  <c r="L272" i="17"/>
  <c r="L304" i="17"/>
  <c r="L131" i="17"/>
  <c r="L163" i="17"/>
  <c r="L195" i="17"/>
  <c r="L227" i="17"/>
  <c r="L259" i="17"/>
  <c r="L291" i="17"/>
  <c r="K323" i="17"/>
  <c r="K355" i="17"/>
  <c r="K387" i="17"/>
  <c r="K330" i="17"/>
  <c r="K151" i="17"/>
  <c r="K183" i="17"/>
  <c r="K215" i="17"/>
  <c r="K247" i="17"/>
  <c r="K279" i="17"/>
  <c r="K311" i="17"/>
  <c r="K138" i="17"/>
  <c r="K170" i="17"/>
  <c r="K202" i="17"/>
  <c r="K234" i="17"/>
  <c r="K266" i="17"/>
  <c r="K298" i="17"/>
  <c r="L330" i="17"/>
  <c r="L362" i="17"/>
  <c r="L402" i="17"/>
  <c r="K380" i="17"/>
  <c r="K444" i="17"/>
  <c r="K508" i="17"/>
  <c r="K469" i="17"/>
  <c r="L532" i="17"/>
  <c r="K552" i="17"/>
  <c r="L586" i="17"/>
  <c r="L319" i="17"/>
  <c r="L383" i="17"/>
  <c r="L447" i="17"/>
  <c r="L511" i="17"/>
  <c r="L472" i="17"/>
  <c r="K535" i="17"/>
  <c r="K558" i="17"/>
  <c r="K589" i="17"/>
  <c r="K623" i="17"/>
  <c r="L102" i="17"/>
  <c r="L86" i="17"/>
  <c r="L70" i="17"/>
  <c r="L54" i="17"/>
  <c r="L38" i="17"/>
  <c r="L22" i="17"/>
  <c r="K106" i="17"/>
  <c r="K98" i="17"/>
  <c r="K90" i="17"/>
  <c r="K82" i="17"/>
  <c r="K74" i="17"/>
  <c r="K66" i="17"/>
  <c r="K58" i="17"/>
  <c r="K50" i="17"/>
  <c r="K42" i="17"/>
  <c r="K34" i="17"/>
  <c r="K26" i="17"/>
  <c r="L17" i="17"/>
  <c r="K99" i="17"/>
  <c r="K83" i="17"/>
  <c r="K67" i="17"/>
  <c r="K51" i="17"/>
  <c r="K35" i="17"/>
  <c r="K19" i="17"/>
  <c r="L112" i="17"/>
  <c r="L116" i="17"/>
  <c r="L132" i="17"/>
  <c r="L148" i="17"/>
  <c r="L164" i="17"/>
  <c r="L180" i="17"/>
  <c r="L196" i="17"/>
  <c r="L212" i="17"/>
  <c r="L228" i="17"/>
  <c r="L244" i="17"/>
  <c r="L260" i="17"/>
  <c r="L276" i="17"/>
  <c r="L292" i="17"/>
  <c r="L308" i="17"/>
  <c r="L119" i="17"/>
  <c r="L135" i="17"/>
  <c r="L151" i="17"/>
  <c r="L167" i="17"/>
  <c r="L183" i="17"/>
  <c r="L199" i="17"/>
  <c r="L215" i="17"/>
  <c r="L231" i="17"/>
  <c r="L247" i="17"/>
  <c r="L263" i="17"/>
  <c r="L279" i="17"/>
  <c r="L295" i="17"/>
  <c r="L311" i="17"/>
  <c r="K327" i="17"/>
  <c r="K343" i="17"/>
  <c r="K359" i="17"/>
  <c r="K375" i="17"/>
  <c r="K391" i="17"/>
  <c r="L408" i="17"/>
  <c r="K123" i="17"/>
  <c r="K139" i="17"/>
  <c r="K155" i="17"/>
  <c r="K171" i="17"/>
  <c r="K187" i="17"/>
  <c r="K203" i="17"/>
  <c r="K219" i="17"/>
  <c r="K235" i="17"/>
  <c r="K251" i="17"/>
  <c r="K267" i="17"/>
  <c r="K283" i="17"/>
  <c r="K299" i="17"/>
  <c r="K110" i="17"/>
  <c r="K126" i="17"/>
  <c r="K142" i="17"/>
  <c r="K158" i="17"/>
  <c r="K174" i="17"/>
  <c r="K190" i="17"/>
  <c r="K206" i="17"/>
  <c r="K222" i="17"/>
  <c r="K238" i="17"/>
  <c r="K254" i="17"/>
  <c r="K270" i="17"/>
  <c r="K286" i="17"/>
  <c r="K302" i="17"/>
  <c r="L318" i="17"/>
  <c r="L334" i="17"/>
  <c r="L350" i="17"/>
  <c r="L366" i="17"/>
  <c r="L382" i="17"/>
  <c r="L414" i="17"/>
  <c r="K356" i="17"/>
  <c r="K388" i="17"/>
  <c r="K420" i="17"/>
  <c r="K452" i="17"/>
  <c r="K484" i="17"/>
  <c r="K516" i="17"/>
  <c r="K445" i="17"/>
  <c r="K477" i="17"/>
  <c r="K509" i="17"/>
  <c r="L540" i="17"/>
  <c r="K524" i="17"/>
  <c r="K568" i="17"/>
  <c r="L562" i="17"/>
  <c r="L594" i="17"/>
  <c r="K607" i="17"/>
  <c r="L327" i="17"/>
  <c r="L359" i="17"/>
  <c r="L391" i="17"/>
  <c r="L423" i="17"/>
  <c r="L455" i="17"/>
  <c r="L487" i="17"/>
  <c r="K520" i="17"/>
  <c r="L448" i="17"/>
  <c r="L480" i="17"/>
  <c r="L512" i="17"/>
  <c r="K543" i="17"/>
  <c r="L527" i="17"/>
  <c r="K574" i="17"/>
  <c r="K565" i="17"/>
  <c r="L597" i="17"/>
  <c r="C635" i="17"/>
  <c r="L608" i="17"/>
  <c r="L600" i="17"/>
  <c r="L611" i="17"/>
  <c r="L603" i="17"/>
  <c r="L595" i="17"/>
  <c r="K587" i="17"/>
  <c r="K579" i="17"/>
  <c r="K571" i="17"/>
  <c r="K563" i="17"/>
  <c r="K555" i="17"/>
  <c r="K547" i="17"/>
  <c r="K586" i="17"/>
  <c r="K570" i="17"/>
  <c r="K554" i="17"/>
  <c r="L541" i="17"/>
  <c r="L533" i="17"/>
  <c r="K31" i="17"/>
  <c r="K104" i="17"/>
  <c r="K130" i="17"/>
  <c r="K40" i="17"/>
  <c r="L251" i="17"/>
  <c r="K258" i="17"/>
  <c r="L456" i="17"/>
  <c r="K72" i="17"/>
  <c r="L136" i="17"/>
  <c r="L187" i="17"/>
  <c r="K143" i="17"/>
  <c r="K194" i="17"/>
  <c r="K428" i="17"/>
  <c r="L431" i="17"/>
  <c r="L98" i="17"/>
  <c r="K88" i="17"/>
  <c r="K24" i="17"/>
  <c r="K117" i="17"/>
  <c r="L232" i="17"/>
  <c r="L155" i="17"/>
  <c r="L283" i="17"/>
  <c r="L416" i="17"/>
  <c r="K239" i="17"/>
  <c r="K162" i="17"/>
  <c r="K290" i="17"/>
  <c r="K364" i="17"/>
  <c r="K517" i="17"/>
  <c r="L367" i="17"/>
  <c r="K519" i="17"/>
  <c r="K626" i="17"/>
  <c r="L50" i="17"/>
  <c r="K96" i="17"/>
  <c r="K64" i="17"/>
  <c r="K32" i="17"/>
  <c r="K79" i="17"/>
  <c r="K15" i="17"/>
  <c r="L152" i="17"/>
  <c r="L216" i="17"/>
  <c r="L280" i="17"/>
  <c r="L139" i="17"/>
  <c r="L203" i="17"/>
  <c r="L267" i="17"/>
  <c r="K331" i="17"/>
  <c r="K395" i="17"/>
  <c r="K159" i="17"/>
  <c r="K223" i="17"/>
  <c r="K287" i="17"/>
  <c r="K146" i="17"/>
  <c r="K210" i="17"/>
  <c r="K274" i="17"/>
  <c r="L338" i="17"/>
  <c r="K328" i="17"/>
  <c r="K460" i="17"/>
  <c r="K485" i="17"/>
  <c r="K584" i="17"/>
  <c r="L335" i="17"/>
  <c r="L463" i="17"/>
  <c r="L488" i="17"/>
  <c r="K590" i="17"/>
  <c r="L106" i="17"/>
  <c r="L74" i="17"/>
  <c r="L42" i="17"/>
  <c r="K108" i="17"/>
  <c r="K92" i="17"/>
  <c r="K76" i="17"/>
  <c r="K60" i="17"/>
  <c r="K44" i="17"/>
  <c r="K28" i="17"/>
  <c r="K103" i="17"/>
  <c r="K71" i="17"/>
  <c r="K39" i="17"/>
  <c r="K14" i="17"/>
  <c r="L128" i="17"/>
  <c r="L160" i="17"/>
  <c r="L192" i="17"/>
  <c r="L224" i="17"/>
  <c r="L256" i="17"/>
  <c r="L288" i="17"/>
  <c r="L115" i="17"/>
  <c r="L147" i="17"/>
  <c r="L179" i="17"/>
  <c r="L211" i="17"/>
  <c r="L243" i="17"/>
  <c r="L275" i="17"/>
  <c r="L307" i="17"/>
  <c r="K339" i="17"/>
  <c r="K371" i="17"/>
  <c r="K403" i="17"/>
  <c r="K135" i="17"/>
  <c r="K167" i="17"/>
  <c r="K199" i="17"/>
  <c r="K231" i="17"/>
  <c r="K263" i="17"/>
  <c r="K295" i="17"/>
  <c r="K122" i="17"/>
  <c r="K154" i="17"/>
  <c r="K186" i="17"/>
  <c r="K218" i="17"/>
  <c r="K250" i="17"/>
  <c r="K282" i="17"/>
  <c r="K314" i="17"/>
  <c r="L346" i="17"/>
  <c r="L378" i="17"/>
  <c r="K348" i="17"/>
  <c r="K412" i="17"/>
  <c r="K476" i="17"/>
  <c r="K437" i="17"/>
  <c r="K501" i="17"/>
  <c r="L585" i="17"/>
  <c r="L554" i="17"/>
  <c r="K599" i="17"/>
  <c r="L351" i="17"/>
  <c r="L415" i="17"/>
  <c r="L479" i="17"/>
  <c r="L440" i="17"/>
  <c r="L504" i="17"/>
  <c r="L591" i="17"/>
  <c r="K557" i="17"/>
  <c r="L602" i="17"/>
  <c r="L622" i="17"/>
  <c r="L94" i="17"/>
  <c r="L78" i="17"/>
  <c r="L62" i="17"/>
  <c r="L46" i="17"/>
  <c r="L30" i="17"/>
  <c r="L14" i="17"/>
  <c r="K102" i="17"/>
  <c r="K94" i="17"/>
  <c r="K86" i="17"/>
  <c r="K78" i="17"/>
  <c r="K70" i="17"/>
  <c r="K62" i="17"/>
  <c r="K54" i="17"/>
  <c r="K46" i="17"/>
  <c r="K38" i="17"/>
  <c r="K30" i="17"/>
  <c r="K22" i="17"/>
  <c r="K107" i="17"/>
  <c r="K91" i="17"/>
  <c r="K75" i="17"/>
  <c r="K59" i="17"/>
  <c r="K43" i="17"/>
  <c r="K27" i="17"/>
  <c r="K18" i="17"/>
  <c r="K111" i="17"/>
  <c r="L124" i="17"/>
  <c r="L140" i="17"/>
  <c r="L156" i="17"/>
  <c r="L172" i="17"/>
  <c r="L188" i="17"/>
  <c r="L204" i="17"/>
  <c r="L220" i="17"/>
  <c r="L236" i="17"/>
  <c r="L252" i="17"/>
  <c r="L268" i="17"/>
  <c r="L284" i="17"/>
  <c r="L300" i="17"/>
  <c r="L111" i="17"/>
  <c r="L127" i="17"/>
  <c r="L143" i="17"/>
  <c r="L159" i="17"/>
  <c r="L175" i="17"/>
  <c r="L191" i="17"/>
  <c r="L207" i="17"/>
  <c r="L223" i="17"/>
  <c r="L239" i="17"/>
  <c r="L255" i="17"/>
  <c r="L271" i="17"/>
  <c r="L287" i="17"/>
  <c r="L303" i="17"/>
  <c r="K319" i="17"/>
  <c r="K335" i="17"/>
  <c r="K351" i="17"/>
  <c r="K367" i="17"/>
  <c r="K383" i="17"/>
  <c r="K399" i="17"/>
  <c r="K322" i="17"/>
  <c r="K131" i="17"/>
  <c r="K147" i="17"/>
  <c r="K163" i="17"/>
  <c r="K179" i="17"/>
  <c r="K195" i="17"/>
  <c r="K211" i="17"/>
  <c r="K227" i="17"/>
  <c r="K243" i="17"/>
  <c r="K259" i="17"/>
  <c r="K275" i="17"/>
  <c r="K291" i="17"/>
  <c r="K307" i="17"/>
  <c r="K118" i="17"/>
  <c r="K134" i="17"/>
  <c r="K150" i="17"/>
  <c r="K166" i="17"/>
  <c r="K182" i="17"/>
  <c r="K198" i="17"/>
  <c r="K214" i="17"/>
  <c r="K230" i="17"/>
  <c r="K246" i="17"/>
  <c r="K262" i="17"/>
  <c r="K278" i="17"/>
  <c r="K294" i="17"/>
  <c r="K310" i="17"/>
  <c r="L326" i="17"/>
  <c r="L342" i="17"/>
  <c r="L358" i="17"/>
  <c r="L374" i="17"/>
  <c r="L394" i="17"/>
  <c r="K340" i="17"/>
  <c r="K372" i="17"/>
  <c r="K404" i="17"/>
  <c r="K436" i="17"/>
  <c r="K468" i="17"/>
  <c r="K500" i="17"/>
  <c r="K429" i="17"/>
  <c r="K461" i="17"/>
  <c r="K493" i="17"/>
  <c r="L524" i="17"/>
  <c r="L569" i="17"/>
  <c r="K540" i="17"/>
  <c r="L546" i="17"/>
  <c r="L578" i="17"/>
  <c r="K610" i="17"/>
  <c r="K413" i="17"/>
  <c r="L343" i="17"/>
  <c r="L375" i="17"/>
  <c r="L407" i="17"/>
  <c r="L439" i="17"/>
  <c r="L471" i="17"/>
  <c r="L503" i="17"/>
  <c r="L432" i="17"/>
  <c r="L464" i="17"/>
  <c r="L496" i="17"/>
  <c r="K527" i="17"/>
  <c r="L575" i="17"/>
  <c r="L543" i="17"/>
  <c r="K549" i="17"/>
  <c r="K581" i="17"/>
  <c r="L613" i="17"/>
  <c r="L612" i="17"/>
  <c r="L604" i="17"/>
  <c r="L596" i="17"/>
  <c r="L607" i="17"/>
  <c r="L599" i="17"/>
  <c r="K591" i="17"/>
  <c r="K583" i="17"/>
  <c r="K575" i="17"/>
  <c r="K567" i="17"/>
  <c r="K559" i="17"/>
  <c r="K551" i="17"/>
  <c r="K594" i="17"/>
  <c r="K578" i="17"/>
  <c r="K562" i="17"/>
  <c r="K546" i="17"/>
  <c r="L537" i="17"/>
  <c r="L529" i="17"/>
  <c r="L521" i="17"/>
  <c r="L525" i="17"/>
  <c r="L579" i="17"/>
  <c r="L563" i="17"/>
  <c r="L547" i="17"/>
  <c r="K537" i="17"/>
  <c r="K529" i="17"/>
  <c r="K521" i="17"/>
  <c r="L514" i="17"/>
  <c r="L506" i="17"/>
  <c r="L498" i="17"/>
  <c r="L490" i="17"/>
  <c r="L482" i="17"/>
  <c r="L474" i="17"/>
  <c r="L466" i="17"/>
  <c r="L458" i="17"/>
  <c r="L450" i="17"/>
  <c r="L442" i="17"/>
  <c r="L434" i="17"/>
  <c r="L426" i="17"/>
  <c r="L418" i="17"/>
  <c r="L513" i="17"/>
  <c r="L505" i="17"/>
  <c r="L497" i="17"/>
  <c r="L489" i="17"/>
  <c r="L481" i="17"/>
  <c r="L473" i="17"/>
  <c r="L465" i="17"/>
  <c r="L457" i="17"/>
  <c r="L449" i="17"/>
  <c r="L441" i="17"/>
  <c r="L433" i="17"/>
  <c r="L425" i="17"/>
  <c r="L417" i="17"/>
  <c r="L409" i="17"/>
  <c r="L401" i="17"/>
  <c r="L393" i="17"/>
  <c r="L385" i="17"/>
  <c r="L377" i="17"/>
  <c r="L369" i="17"/>
  <c r="L361" i="17"/>
  <c r="L353" i="17"/>
  <c r="L345" i="17"/>
  <c r="L337" i="17"/>
  <c r="L329" i="17"/>
  <c r="L321" i="17"/>
  <c r="K415" i="17"/>
  <c r="K407" i="17"/>
  <c r="K609" i="17"/>
  <c r="K601" i="17"/>
  <c r="K612" i="17"/>
  <c r="K604" i="17"/>
  <c r="K596" i="17"/>
  <c r="L588" i="17"/>
  <c r="L580" i="17"/>
  <c r="L572" i="17"/>
  <c r="L564" i="17"/>
  <c r="L556" i="17"/>
  <c r="L548" i="17"/>
  <c r="K588" i="17"/>
  <c r="K572" i="17"/>
  <c r="K556" i="17"/>
  <c r="K542" i="17"/>
  <c r="K534" i="17"/>
  <c r="K526" i="17"/>
  <c r="L589" i="17"/>
  <c r="L573" i="17"/>
  <c r="L557" i="17"/>
  <c r="L542" i="17"/>
  <c r="L534" i="17"/>
  <c r="L526" i="17"/>
  <c r="L518" i="17"/>
  <c r="K511" i="17"/>
  <c r="K503" i="17"/>
  <c r="K495" i="17"/>
  <c r="K487" i="17"/>
  <c r="K479" i="17"/>
  <c r="K471" i="17"/>
  <c r="K463" i="17"/>
  <c r="K455" i="17"/>
  <c r="K447" i="17"/>
  <c r="K439" i="17"/>
  <c r="K431" i="17"/>
  <c r="K423" i="17"/>
  <c r="K518" i="17"/>
  <c r="K510" i="17"/>
  <c r="K502" i="17"/>
  <c r="K494" i="17"/>
  <c r="K486" i="17"/>
  <c r="K478" i="17"/>
  <c r="K470" i="17"/>
  <c r="K462" i="17"/>
  <c r="K454" i="17"/>
  <c r="K446" i="17"/>
  <c r="K438" i="17"/>
  <c r="K430" i="17"/>
  <c r="K422" i="17"/>
  <c r="K414" i="17"/>
  <c r="K406" i="17"/>
  <c r="K398" i="17"/>
  <c r="K390" i="17"/>
  <c r="K382" i="17"/>
  <c r="K374" i="17"/>
  <c r="K366" i="17"/>
  <c r="K358" i="17"/>
  <c r="K350" i="17"/>
  <c r="K342" i="17"/>
  <c r="K332" i="17"/>
  <c r="K316" i="17"/>
  <c r="L404" i="17"/>
  <c r="L396" i="17"/>
  <c r="L388" i="17"/>
  <c r="L626" i="17"/>
  <c r="L108" i="17"/>
  <c r="L100" i="17"/>
  <c r="L92" i="17"/>
  <c r="L84" i="17"/>
  <c r="L76" i="17"/>
  <c r="L68" i="17"/>
  <c r="L60" i="17"/>
  <c r="L52" i="17"/>
  <c r="L44" i="17"/>
  <c r="L36" i="17"/>
  <c r="L28" i="17"/>
  <c r="L20" i="17"/>
  <c r="L109" i="17"/>
  <c r="L105" i="17"/>
  <c r="L101" i="17"/>
  <c r="L97" i="17"/>
  <c r="L93" i="17"/>
  <c r="L89" i="17"/>
  <c r="L85" i="17"/>
  <c r="L81" i="17"/>
  <c r="L77" i="17"/>
  <c r="L73" i="17"/>
  <c r="L69" i="17"/>
  <c r="L65" i="17"/>
  <c r="L61" i="17"/>
  <c r="L57" i="17"/>
  <c r="L53" i="17"/>
  <c r="L49" i="17"/>
  <c r="L45" i="17"/>
  <c r="L41" i="17"/>
  <c r="L37" i="17"/>
  <c r="L33" i="17"/>
  <c r="L29" i="17"/>
  <c r="L25" i="17"/>
  <c r="L21" i="17"/>
  <c r="L15" i="17"/>
  <c r="K105" i="17"/>
  <c r="K97" i="17"/>
  <c r="K89" i="17"/>
  <c r="K81" i="17"/>
  <c r="K73" i="17"/>
  <c r="K65" i="17"/>
  <c r="K57" i="17"/>
  <c r="K49" i="17"/>
  <c r="K41" i="17"/>
  <c r="K33" i="17"/>
  <c r="K25" i="17"/>
  <c r="K17" i="17"/>
  <c r="K16" i="17"/>
  <c r="L114" i="17"/>
  <c r="K113" i="17"/>
  <c r="L118" i="17"/>
  <c r="L126" i="17"/>
  <c r="L134" i="17"/>
  <c r="L142" i="17"/>
  <c r="L150" i="17"/>
  <c r="L158" i="17"/>
  <c r="L166" i="17"/>
  <c r="L174" i="17"/>
  <c r="L182" i="17"/>
  <c r="L190" i="17"/>
  <c r="L198" i="17"/>
  <c r="L206" i="17"/>
  <c r="L214" i="17"/>
  <c r="L222" i="17"/>
  <c r="L230" i="17"/>
  <c r="L238" i="17"/>
  <c r="L246" i="17"/>
  <c r="L254" i="17"/>
  <c r="L262" i="17"/>
  <c r="L270" i="17"/>
  <c r="L278" i="17"/>
  <c r="L286" i="17"/>
  <c r="L294" i="17"/>
  <c r="L302" i="17"/>
  <c r="L310" i="17"/>
  <c r="L113" i="17"/>
  <c r="L121" i="17"/>
  <c r="L129" i="17"/>
  <c r="L137" i="17"/>
  <c r="L145" i="17"/>
  <c r="L153" i="17"/>
  <c r="L161" i="17"/>
  <c r="L169" i="17"/>
  <c r="L177" i="17"/>
  <c r="L185" i="17"/>
  <c r="L193" i="17"/>
  <c r="L201" i="17"/>
  <c r="L209" i="17"/>
  <c r="L217" i="17"/>
  <c r="L225" i="17"/>
  <c r="L233" i="17"/>
  <c r="L241" i="17"/>
  <c r="L249" i="17"/>
  <c r="L257" i="17"/>
  <c r="L265" i="17"/>
  <c r="L273" i="17"/>
  <c r="L281" i="17"/>
  <c r="L289" i="17"/>
  <c r="L297" i="17"/>
  <c r="L305" i="17"/>
  <c r="L313" i="17"/>
  <c r="K321" i="17"/>
  <c r="K329" i="17"/>
  <c r="K337" i="17"/>
  <c r="K345" i="17"/>
  <c r="K353" i="17"/>
  <c r="K361" i="17"/>
  <c r="K369" i="17"/>
  <c r="K377" i="17"/>
  <c r="K385" i="17"/>
  <c r="K393" i="17"/>
  <c r="K401" i="17"/>
  <c r="L412" i="17"/>
  <c r="K326" i="17"/>
  <c r="K125" i="17"/>
  <c r="K133" i="17"/>
  <c r="K141" i="17"/>
  <c r="K149" i="17"/>
  <c r="K157" i="17"/>
  <c r="K165" i="17"/>
  <c r="K173" i="17"/>
  <c r="K181" i="17"/>
  <c r="K189" i="17"/>
  <c r="K197" i="17"/>
  <c r="K205" i="17"/>
  <c r="K213" i="17"/>
  <c r="K221" i="17"/>
  <c r="K229" i="17"/>
  <c r="K237" i="17"/>
  <c r="K245" i="17"/>
  <c r="K253" i="17"/>
  <c r="K261" i="17"/>
  <c r="K269" i="17"/>
  <c r="K277" i="17"/>
  <c r="K285" i="17"/>
  <c r="K293" i="17"/>
  <c r="K301" i="17"/>
  <c r="K309" i="17"/>
  <c r="K112" i="17"/>
  <c r="K120" i="17"/>
  <c r="K128" i="17"/>
  <c r="K136" i="17"/>
  <c r="K144" i="17"/>
  <c r="K152" i="17"/>
  <c r="K160" i="17"/>
  <c r="K168" i="17"/>
  <c r="K176" i="17"/>
  <c r="K184" i="17"/>
  <c r="K192" i="17"/>
  <c r="K200" i="17"/>
  <c r="K208" i="17"/>
  <c r="K216" i="17"/>
  <c r="K224" i="17"/>
  <c r="K232" i="17"/>
  <c r="K240" i="17"/>
  <c r="K248" i="17"/>
  <c r="K256" i="17"/>
  <c r="K264" i="17"/>
  <c r="K272" i="17"/>
  <c r="K280" i="17"/>
  <c r="K288" i="17"/>
  <c r="K296" i="17"/>
  <c r="K304" i="17"/>
  <c r="K312" i="17"/>
  <c r="L320" i="17"/>
  <c r="L328" i="17"/>
  <c r="L336" i="17"/>
  <c r="L344" i="17"/>
  <c r="L352" i="17"/>
  <c r="L360" i="17"/>
  <c r="L368" i="17"/>
  <c r="L376" i="17"/>
  <c r="L384" i="17"/>
  <c r="L398" i="17"/>
  <c r="K320" i="17"/>
  <c r="K344" i="17"/>
  <c r="K360" i="17"/>
  <c r="K376" i="17"/>
  <c r="K392" i="17"/>
  <c r="K408" i="17"/>
  <c r="K424" i="17"/>
  <c r="K440" i="17"/>
  <c r="K456" i="17"/>
  <c r="K472" i="17"/>
  <c r="K488" i="17"/>
  <c r="K504" i="17"/>
  <c r="K417" i="17"/>
  <c r="K433" i="17"/>
  <c r="K449" i="17"/>
  <c r="K465" i="17"/>
  <c r="K481" i="17"/>
  <c r="K497" i="17"/>
  <c r="K513" i="17"/>
  <c r="L528" i="17"/>
  <c r="L545" i="17"/>
  <c r="L577" i="17"/>
  <c r="K528" i="17"/>
  <c r="K544" i="17"/>
  <c r="K576" i="17"/>
  <c r="L550" i="17"/>
  <c r="L566" i="17"/>
  <c r="L582" i="17"/>
  <c r="K598" i="17"/>
  <c r="K595" i="17"/>
  <c r="K611" i="17"/>
  <c r="L315" i="17"/>
  <c r="L331" i="17"/>
  <c r="L347" i="17"/>
  <c r="L363" i="17"/>
  <c r="L379" i="17"/>
  <c r="L395" i="17"/>
  <c r="L411" i="17"/>
  <c r="L427" i="17"/>
  <c r="L443" i="17"/>
  <c r="L459" i="17"/>
  <c r="L475" i="17"/>
  <c r="L491" i="17"/>
  <c r="L507" i="17"/>
  <c r="L420" i="17"/>
  <c r="L436" i="17"/>
  <c r="L452" i="17"/>
  <c r="L468" i="17"/>
  <c r="L484" i="17"/>
  <c r="L500" i="17"/>
  <c r="L516" i="17"/>
  <c r="K531" i="17"/>
  <c r="L551" i="17"/>
  <c r="L583" i="17"/>
  <c r="L531" i="17"/>
  <c r="K550" i="17"/>
  <c r="K582" i="17"/>
  <c r="K553" i="17"/>
  <c r="K569" i="17"/>
  <c r="K585" i="17"/>
  <c r="L601" i="17"/>
  <c r="L598" i="17"/>
  <c r="A625" i="17"/>
  <c r="L587" i="17"/>
  <c r="L571" i="17"/>
  <c r="L555" i="17"/>
  <c r="K541" i="17"/>
  <c r="K533" i="17"/>
  <c r="K525" i="17"/>
  <c r="L519" i="17"/>
  <c r="L510" i="17"/>
  <c r="L502" i="17"/>
  <c r="L494" i="17"/>
  <c r="L486" i="17"/>
  <c r="L478" i="17"/>
  <c r="L470" i="17"/>
  <c r="L462" i="17"/>
  <c r="L454" i="17"/>
  <c r="L446" i="17"/>
  <c r="L438" i="17"/>
  <c r="L430" i="17"/>
  <c r="L422" i="17"/>
  <c r="L517" i="17"/>
  <c r="L509" i="17"/>
  <c r="L501" i="17"/>
  <c r="L493" i="17"/>
  <c r="L485" i="17"/>
  <c r="L477" i="17"/>
  <c r="L469" i="17"/>
  <c r="L461" i="17"/>
  <c r="L453" i="17"/>
  <c r="L445" i="17"/>
  <c r="L437" i="17"/>
  <c r="L429" i="17"/>
  <c r="L421" i="17"/>
  <c r="L413" i="17"/>
  <c r="L405" i="17"/>
  <c r="L397" i="17"/>
  <c r="L389" i="17"/>
  <c r="L381" i="17"/>
  <c r="L373" i="17"/>
  <c r="L365" i="17"/>
  <c r="L357" i="17"/>
  <c r="L349" i="17"/>
  <c r="L341" i="17"/>
  <c r="L333" i="17"/>
  <c r="L325" i="17"/>
  <c r="L317" i="17"/>
  <c r="K411" i="17"/>
  <c r="K613" i="17"/>
  <c r="K605" i="17"/>
  <c r="K597" i="17"/>
  <c r="K608" i="17"/>
  <c r="K600" i="17"/>
  <c r="L592" i="17"/>
  <c r="L584" i="17"/>
  <c r="L576" i="17"/>
  <c r="L568" i="17"/>
  <c r="L560" i="17"/>
  <c r="L552" i="17"/>
  <c r="L544" i="17"/>
  <c r="K580" i="17"/>
  <c r="K564" i="17"/>
  <c r="K548" i="17"/>
  <c r="K538" i="17"/>
  <c r="K530" i="17"/>
  <c r="K522" i="17"/>
  <c r="L581" i="17"/>
  <c r="L565" i="17"/>
  <c r="L549" i="17"/>
  <c r="L538" i="17"/>
  <c r="L530" i="17"/>
  <c r="L522" i="17"/>
  <c r="K515" i="17"/>
  <c r="K507" i="17"/>
  <c r="K499" i="17"/>
  <c r="K491" i="17"/>
  <c r="K483" i="17"/>
  <c r="K475" i="17"/>
  <c r="K467" i="17"/>
  <c r="K459" i="17"/>
  <c r="K451" i="17"/>
  <c r="K443" i="17"/>
  <c r="K435" i="17"/>
  <c r="K427" i="17"/>
  <c r="K419" i="17"/>
  <c r="K514" i="17"/>
  <c r="K506" i="17"/>
  <c r="K498" i="17"/>
  <c r="K490" i="17"/>
  <c r="K482" i="17"/>
  <c r="K474" i="17"/>
  <c r="K466" i="17"/>
  <c r="K458" i="17"/>
  <c r="K450" i="17"/>
  <c r="K442" i="17"/>
  <c r="K434" i="17"/>
  <c r="K426" i="17"/>
  <c r="K418" i="17"/>
  <c r="K410" i="17"/>
  <c r="K402" i="17"/>
  <c r="K394" i="17"/>
  <c r="K386" i="17"/>
  <c r="K378" i="17"/>
  <c r="K370" i="17"/>
  <c r="K362" i="17"/>
  <c r="K354" i="17"/>
  <c r="K346" i="17"/>
  <c r="K338" i="17"/>
  <c r="K324" i="17"/>
  <c r="L410" i="17"/>
  <c r="L400" i="17"/>
  <c r="L392" i="17"/>
  <c r="L623" i="17"/>
  <c r="K622" i="17"/>
  <c r="L104" i="17"/>
  <c r="L96" i="17"/>
  <c r="L88" i="17"/>
  <c r="L80" i="17"/>
  <c r="L72" i="17"/>
  <c r="L64" i="17"/>
  <c r="L56" i="17"/>
  <c r="L48" i="17"/>
  <c r="L40" i="17"/>
  <c r="L32" i="17"/>
  <c r="L24" i="17"/>
  <c r="L16" i="17"/>
  <c r="L107" i="17"/>
  <c r="L103" i="17"/>
  <c r="L99" i="17"/>
  <c r="L95" i="17"/>
  <c r="L91" i="17"/>
  <c r="L87" i="17"/>
  <c r="L83" i="17"/>
  <c r="L79" i="17"/>
  <c r="L75" i="17"/>
  <c r="L71" i="17"/>
  <c r="L67" i="17"/>
  <c r="L63" i="17"/>
  <c r="L59" i="17"/>
  <c r="L55" i="17"/>
  <c r="L51" i="17"/>
  <c r="L47" i="17"/>
  <c r="L43" i="17"/>
  <c r="L39" i="17"/>
  <c r="L35" i="17"/>
  <c r="L31" i="17"/>
  <c r="L27" i="17"/>
  <c r="L23" i="17"/>
  <c r="L19" i="17"/>
  <c r="K109" i="17"/>
  <c r="K101" i="17"/>
  <c r="K93" i="17"/>
  <c r="K85" i="17"/>
  <c r="K77" i="17"/>
  <c r="K69" i="17"/>
  <c r="K61" i="17"/>
  <c r="K53" i="17"/>
  <c r="K45" i="17"/>
  <c r="K37" i="17"/>
  <c r="K29" i="17"/>
  <c r="K21" i="17"/>
  <c r="K13" i="17"/>
  <c r="L110" i="17"/>
  <c r="K121" i="17"/>
  <c r="K119" i="17"/>
  <c r="L122" i="17"/>
  <c r="L130" i="17"/>
  <c r="L138" i="17"/>
  <c r="L146" i="17"/>
  <c r="L154" i="17"/>
  <c r="L162" i="17"/>
  <c r="L170" i="17"/>
  <c r="L178" i="17"/>
  <c r="L186" i="17"/>
  <c r="L194" i="17"/>
  <c r="L202" i="17"/>
  <c r="L210" i="17"/>
  <c r="L218" i="17"/>
  <c r="L226" i="17"/>
  <c r="L234" i="17"/>
  <c r="L242" i="17"/>
  <c r="L250" i="17"/>
  <c r="L258" i="17"/>
  <c r="L266" i="17"/>
  <c r="L274" i="17"/>
  <c r="L282" i="17"/>
  <c r="L290" i="17"/>
  <c r="L298" i="17"/>
  <c r="L306" i="17"/>
  <c r="L314" i="17"/>
  <c r="L117" i="17"/>
  <c r="L125" i="17"/>
  <c r="L133" i="17"/>
  <c r="L141" i="17"/>
  <c r="L149" i="17"/>
  <c r="L157" i="17"/>
  <c r="L165" i="17"/>
  <c r="L173" i="17"/>
  <c r="L181" i="17"/>
  <c r="L189" i="17"/>
  <c r="L197" i="17"/>
  <c r="L205" i="17"/>
  <c r="L213" i="17"/>
  <c r="L221" i="17"/>
  <c r="L229" i="17"/>
  <c r="L237" i="17"/>
  <c r="L245" i="17"/>
  <c r="L253" i="17"/>
  <c r="L261" i="17"/>
  <c r="L269" i="17"/>
  <c r="L277" i="17"/>
  <c r="L285" i="17"/>
  <c r="L293" i="17"/>
  <c r="L301" i="17"/>
  <c r="L309" i="17"/>
  <c r="K317" i="17"/>
  <c r="K325" i="17"/>
  <c r="K333" i="17"/>
  <c r="K341" i="17"/>
  <c r="K349" i="17"/>
  <c r="K357" i="17"/>
  <c r="K365" i="17"/>
  <c r="K373" i="17"/>
  <c r="K381" i="17"/>
  <c r="K389" i="17"/>
  <c r="K397" i="17"/>
  <c r="K405" i="17"/>
  <c r="K318" i="17"/>
  <c r="K334" i="17"/>
  <c r="K129" i="17"/>
  <c r="K137" i="17"/>
  <c r="K145" i="17"/>
  <c r="K153" i="17"/>
  <c r="K161" i="17"/>
  <c r="K169" i="17"/>
  <c r="K177" i="17"/>
  <c r="K185" i="17"/>
  <c r="K193" i="17"/>
  <c r="K201" i="17"/>
  <c r="K209" i="17"/>
  <c r="K217" i="17"/>
  <c r="K225" i="17"/>
  <c r="K233" i="17"/>
  <c r="K241" i="17"/>
  <c r="K249" i="17"/>
  <c r="K257" i="17"/>
  <c r="K265" i="17"/>
  <c r="K273" i="17"/>
  <c r="K281" i="17"/>
  <c r="K289" i="17"/>
  <c r="K297" i="17"/>
  <c r="K305" i="17"/>
  <c r="K313" i="17"/>
  <c r="K116" i="17"/>
  <c r="K124" i="17"/>
  <c r="K132" i="17"/>
  <c r="K140" i="17"/>
  <c r="K148" i="17"/>
  <c r="K156" i="17"/>
  <c r="K164" i="17"/>
  <c r="K172" i="17"/>
  <c r="K180" i="17"/>
  <c r="K188" i="17"/>
  <c r="K196" i="17"/>
  <c r="K204" i="17"/>
  <c r="K212" i="17"/>
  <c r="K220" i="17"/>
  <c r="K228" i="17"/>
  <c r="K236" i="17"/>
  <c r="K244" i="17"/>
  <c r="K252" i="17"/>
  <c r="K260" i="17"/>
  <c r="K268" i="17"/>
  <c r="K276" i="17"/>
  <c r="K284" i="17"/>
  <c r="K292" i="17"/>
  <c r="K300" i="17"/>
  <c r="K308" i="17"/>
  <c r="L316" i="17"/>
  <c r="L324" i="17"/>
  <c r="L332" i="17"/>
  <c r="L340" i="17"/>
  <c r="L348" i="17"/>
  <c r="L356" i="17"/>
  <c r="L364" i="17"/>
  <c r="L372" i="17"/>
  <c r="L380" i="17"/>
  <c r="L390" i="17"/>
  <c r="L406" i="17"/>
  <c r="K336" i="17"/>
  <c r="K352" i="17"/>
  <c r="K368" i="17"/>
  <c r="K384" i="17"/>
  <c r="K400" i="17"/>
  <c r="K416" i="17"/>
  <c r="K432" i="17"/>
  <c r="K448" i="17"/>
  <c r="K464" i="17"/>
  <c r="K480" i="17"/>
  <c r="K496" i="17"/>
  <c r="K512" i="17"/>
  <c r="K425" i="17"/>
  <c r="K441" i="17"/>
  <c r="K457" i="17"/>
  <c r="K473" i="17"/>
  <c r="K489" i="17"/>
  <c r="K505" i="17"/>
  <c r="L520" i="17"/>
  <c r="L536" i="17"/>
  <c r="L561" i="17"/>
  <c r="L593" i="17"/>
  <c r="K536" i="17"/>
  <c r="K560" i="17"/>
  <c r="K592" i="17"/>
  <c r="L558" i="17"/>
  <c r="L574" i="17"/>
  <c r="L590" i="17"/>
  <c r="K606" i="17"/>
  <c r="K603" i="17"/>
  <c r="K409" i="17"/>
  <c r="L323" i="17"/>
  <c r="L339" i="17"/>
  <c r="L355" i="17"/>
  <c r="L371" i="17"/>
  <c r="L387" i="17"/>
  <c r="L403" i="17"/>
  <c r="L419" i="17"/>
  <c r="L435" i="17"/>
  <c r="L451" i="17"/>
  <c r="L467" i="17"/>
  <c r="L483" i="17"/>
  <c r="L499" i="17"/>
  <c r="L515" i="17"/>
  <c r="L428" i="17"/>
  <c r="L444" i="17"/>
  <c r="L460" i="17"/>
  <c r="L476" i="17"/>
  <c r="L492" i="17"/>
  <c r="L508" i="17"/>
  <c r="K523" i="17"/>
  <c r="K539" i="17"/>
  <c r="L567" i="17"/>
  <c r="L523" i="17"/>
  <c r="L539" i="17"/>
  <c r="K566" i="17"/>
  <c r="K545" i="17"/>
  <c r="K561" i="17"/>
  <c r="K577" i="17"/>
  <c r="K593" i="17"/>
  <c r="L609" i="17"/>
  <c r="L606" i="17"/>
  <c r="H627" i="25" l="1"/>
  <c r="G627" i="25"/>
  <c r="P627" i="25"/>
  <c r="O627" i="25"/>
  <c r="Y624" i="25"/>
  <c r="N613" i="25"/>
  <c r="N611" i="25"/>
  <c r="N609" i="25"/>
  <c r="M613" i="25"/>
  <c r="M611" i="25"/>
  <c r="M609" i="25"/>
  <c r="M612" i="25"/>
  <c r="M610" i="25"/>
  <c r="M608" i="25"/>
  <c r="M605" i="25"/>
  <c r="M603" i="25"/>
  <c r="M601" i="25"/>
  <c r="M599" i="25"/>
  <c r="M597" i="25"/>
  <c r="N610" i="25"/>
  <c r="N606" i="25"/>
  <c r="N604" i="25"/>
  <c r="N602" i="25"/>
  <c r="N600" i="25"/>
  <c r="N598" i="25"/>
  <c r="N608" i="25"/>
  <c r="M607" i="25"/>
  <c r="N605" i="25"/>
  <c r="N603" i="25"/>
  <c r="N601" i="25"/>
  <c r="N599" i="25"/>
  <c r="N597" i="25"/>
  <c r="N595" i="25"/>
  <c r="N593" i="25"/>
  <c r="N607" i="25"/>
  <c r="M604" i="25"/>
  <c r="M596" i="25"/>
  <c r="M595" i="25"/>
  <c r="N594" i="25"/>
  <c r="N590" i="25"/>
  <c r="N588" i="25"/>
  <c r="N586" i="25"/>
  <c r="M606" i="25"/>
  <c r="M598" i="25"/>
  <c r="M594" i="25"/>
  <c r="M593" i="25"/>
  <c r="N592" i="25"/>
  <c r="M590" i="25"/>
  <c r="M588" i="25"/>
  <c r="M586" i="25"/>
  <c r="M584" i="25"/>
  <c r="M602" i="25"/>
  <c r="N596" i="25"/>
  <c r="M591" i="25"/>
  <c r="M589" i="25"/>
  <c r="M587" i="25"/>
  <c r="M585" i="25"/>
  <c r="M583" i="25"/>
  <c r="M581" i="25"/>
  <c r="M579" i="25"/>
  <c r="M577" i="25"/>
  <c r="N612" i="25"/>
  <c r="N591" i="25"/>
  <c r="N582" i="25"/>
  <c r="N577" i="25"/>
  <c r="M575" i="25"/>
  <c r="M573" i="25"/>
  <c r="M571" i="25"/>
  <c r="M569" i="25"/>
  <c r="M567" i="25"/>
  <c r="M565" i="25"/>
  <c r="M563" i="25"/>
  <c r="M561" i="25"/>
  <c r="M559" i="25"/>
  <c r="M557" i="25"/>
  <c r="M600" i="25"/>
  <c r="N585" i="25"/>
  <c r="N583" i="25"/>
  <c r="M582" i="25"/>
  <c r="N580" i="25"/>
  <c r="N576" i="25"/>
  <c r="N574" i="25"/>
  <c r="N572" i="25"/>
  <c r="N570" i="25"/>
  <c r="N568" i="25"/>
  <c r="N566" i="25"/>
  <c r="M592" i="25"/>
  <c r="N589" i="25"/>
  <c r="N579" i="25"/>
  <c r="M578" i="25"/>
  <c r="N575" i="25"/>
  <c r="N573" i="25"/>
  <c r="N571" i="25"/>
  <c r="N569" i="25"/>
  <c r="N567" i="25"/>
  <c r="N584" i="25"/>
  <c r="M576" i="25"/>
  <c r="M568" i="25"/>
  <c r="N563" i="25"/>
  <c r="M562" i="25"/>
  <c r="N560" i="25"/>
  <c r="M556" i="25"/>
  <c r="M554" i="25"/>
  <c r="M552" i="25"/>
  <c r="M550" i="25"/>
  <c r="M548" i="25"/>
  <c r="M546" i="25"/>
  <c r="M544" i="25"/>
  <c r="M542" i="25"/>
  <c r="M540" i="25"/>
  <c r="M538" i="25"/>
  <c r="M536" i="25"/>
  <c r="M534" i="25"/>
  <c r="M532" i="25"/>
  <c r="M530" i="25"/>
  <c r="M528" i="25"/>
  <c r="M526" i="25"/>
  <c r="M570" i="25"/>
  <c r="N561" i="25"/>
  <c r="M560" i="25"/>
  <c r="N558" i="25"/>
  <c r="N555" i="25"/>
  <c r="N553" i="25"/>
  <c r="N551" i="25"/>
  <c r="N549" i="25"/>
  <c r="N547" i="25"/>
  <c r="N545" i="25"/>
  <c r="N543" i="25"/>
  <c r="N541" i="25"/>
  <c r="N539" i="25"/>
  <c r="N587" i="25"/>
  <c r="N578" i="25"/>
  <c r="M574" i="25"/>
  <c r="M566" i="25"/>
  <c r="N565" i="25"/>
  <c r="M564" i="25"/>
  <c r="N562" i="25"/>
  <c r="N557" i="25"/>
  <c r="N556" i="25"/>
  <c r="N554" i="25"/>
  <c r="N552" i="25"/>
  <c r="N550" i="25"/>
  <c r="N548" i="25"/>
  <c r="N546" i="25"/>
  <c r="N544" i="25"/>
  <c r="N542" i="25"/>
  <c r="N540" i="25"/>
  <c r="M549" i="25"/>
  <c r="M541" i="25"/>
  <c r="N534" i="25"/>
  <c r="M533" i="25"/>
  <c r="N531" i="25"/>
  <c r="N526" i="25"/>
  <c r="M525" i="25"/>
  <c r="N524" i="25"/>
  <c r="M572" i="25"/>
  <c r="N564" i="25"/>
  <c r="N559" i="25"/>
  <c r="M558" i="25"/>
  <c r="M551" i="25"/>
  <c r="M543" i="25"/>
  <c r="N537" i="25"/>
  <c r="N532" i="25"/>
  <c r="M531" i="25"/>
  <c r="N529" i="25"/>
  <c r="M524" i="25"/>
  <c r="M580" i="25"/>
  <c r="M555" i="25"/>
  <c r="M547" i="25"/>
  <c r="M539" i="25"/>
  <c r="N536" i="25"/>
  <c r="M535" i="25"/>
  <c r="N533" i="25"/>
  <c r="N528" i="25"/>
  <c r="M527" i="25"/>
  <c r="N525" i="25"/>
  <c r="M523" i="25"/>
  <c r="M521" i="25"/>
  <c r="M519" i="25"/>
  <c r="M517" i="25"/>
  <c r="M515" i="25"/>
  <c r="M513" i="25"/>
  <c r="N581" i="25"/>
  <c r="M545" i="25"/>
  <c r="N527" i="25"/>
  <c r="N521" i="25"/>
  <c r="M520" i="25"/>
  <c r="N518" i="25"/>
  <c r="N513" i="25"/>
  <c r="M512" i="25"/>
  <c r="M510" i="25"/>
  <c r="M508" i="25"/>
  <c r="M506" i="25"/>
  <c r="M504" i="25"/>
  <c r="M502" i="25"/>
  <c r="M500" i="25"/>
  <c r="M498" i="25"/>
  <c r="M496" i="25"/>
  <c r="M494" i="25"/>
  <c r="M492" i="25"/>
  <c r="M490" i="25"/>
  <c r="M488" i="25"/>
  <c r="M486" i="25"/>
  <c r="M484" i="25"/>
  <c r="M482" i="25"/>
  <c r="M480" i="25"/>
  <c r="M478" i="25"/>
  <c r="M476" i="25"/>
  <c r="M474" i="25"/>
  <c r="M472" i="25"/>
  <c r="M470" i="25"/>
  <c r="M468" i="25"/>
  <c r="M466" i="25"/>
  <c r="M464" i="25"/>
  <c r="M553" i="25"/>
  <c r="N519" i="25"/>
  <c r="M518" i="25"/>
  <c r="N516" i="25"/>
  <c r="N511" i="25"/>
  <c r="N509" i="25"/>
  <c r="N507" i="25"/>
  <c r="N505" i="25"/>
  <c r="N503" i="25"/>
  <c r="N501" i="25"/>
  <c r="N499" i="25"/>
  <c r="N497" i="25"/>
  <c r="N495" i="25"/>
  <c r="N493" i="25"/>
  <c r="N491" i="25"/>
  <c r="N489" i="25"/>
  <c r="N487" i="25"/>
  <c r="N485" i="25"/>
  <c r="N483" i="25"/>
  <c r="N535" i="25"/>
  <c r="N530" i="25"/>
  <c r="M529" i="25"/>
  <c r="N523" i="25"/>
  <c r="M522" i="25"/>
  <c r="N520" i="25"/>
  <c r="N515" i="25"/>
  <c r="M514" i="25"/>
  <c r="N512" i="25"/>
  <c r="N510" i="25"/>
  <c r="N508" i="25"/>
  <c r="N506" i="25"/>
  <c r="N504" i="25"/>
  <c r="N502" i="25"/>
  <c r="N500" i="25"/>
  <c r="N498" i="25"/>
  <c r="N496" i="25"/>
  <c r="N494" i="25"/>
  <c r="N492" i="25"/>
  <c r="N490" i="25"/>
  <c r="N488" i="25"/>
  <c r="N486" i="25"/>
  <c r="N538" i="25"/>
  <c r="M509" i="25"/>
  <c r="M501" i="25"/>
  <c r="M493" i="25"/>
  <c r="M485" i="25"/>
  <c r="N484" i="25"/>
  <c r="N478" i="25"/>
  <c r="M477" i="25"/>
  <c r="N475" i="25"/>
  <c r="N470" i="25"/>
  <c r="M469" i="25"/>
  <c r="N467" i="25"/>
  <c r="N463" i="25"/>
  <c r="N461" i="25"/>
  <c r="N459" i="25"/>
  <c r="N457" i="25"/>
  <c r="N455" i="25"/>
  <c r="N453" i="25"/>
  <c r="N451" i="25"/>
  <c r="N449" i="25"/>
  <c r="N447" i="25"/>
  <c r="N445" i="25"/>
  <c r="N443" i="25"/>
  <c r="N441" i="25"/>
  <c r="N439" i="25"/>
  <c r="N437" i="25"/>
  <c r="N435" i="25"/>
  <c r="N433" i="25"/>
  <c r="N431" i="25"/>
  <c r="N429" i="25"/>
  <c r="N427" i="25"/>
  <c r="N425" i="25"/>
  <c r="N423" i="25"/>
  <c r="N421" i="25"/>
  <c r="N419" i="25"/>
  <c r="N417" i="25"/>
  <c r="N415" i="25"/>
  <c r="N413" i="25"/>
  <c r="N411" i="25"/>
  <c r="N409" i="25"/>
  <c r="N407" i="25"/>
  <c r="N405" i="25"/>
  <c r="N403" i="25"/>
  <c r="N401" i="25"/>
  <c r="M537" i="25"/>
  <c r="M511" i="25"/>
  <c r="M503" i="25"/>
  <c r="M495" i="25"/>
  <c r="M487" i="25"/>
  <c r="N481" i="25"/>
  <c r="N476" i="25"/>
  <c r="M475" i="25"/>
  <c r="N473" i="25"/>
  <c r="N468" i="25"/>
  <c r="M467" i="25"/>
  <c r="N465" i="25"/>
  <c r="M463" i="25"/>
  <c r="M461" i="25"/>
  <c r="M459" i="25"/>
  <c r="M457" i="25"/>
  <c r="M455" i="25"/>
  <c r="M453" i="25"/>
  <c r="M451" i="25"/>
  <c r="M449" i="25"/>
  <c r="M447" i="25"/>
  <c r="M445" i="25"/>
  <c r="M443" i="25"/>
  <c r="M441" i="25"/>
  <c r="M439" i="25"/>
  <c r="M437" i="25"/>
  <c r="M435" i="25"/>
  <c r="M433" i="25"/>
  <c r="M431" i="25"/>
  <c r="M429" i="25"/>
  <c r="N514" i="25"/>
  <c r="M507" i="25"/>
  <c r="M499" i="25"/>
  <c r="M491" i="25"/>
  <c r="N480" i="25"/>
  <c r="M479" i="25"/>
  <c r="N477" i="25"/>
  <c r="N472" i="25"/>
  <c r="M471" i="25"/>
  <c r="N469" i="25"/>
  <c r="N464" i="25"/>
  <c r="M462" i="25"/>
  <c r="M460" i="25"/>
  <c r="M458" i="25"/>
  <c r="M456" i="25"/>
  <c r="M454" i="25"/>
  <c r="M452" i="25"/>
  <c r="M450" i="25"/>
  <c r="M448" i="25"/>
  <c r="M446" i="25"/>
  <c r="M444" i="25"/>
  <c r="M442" i="25"/>
  <c r="M440" i="25"/>
  <c r="M438" i="25"/>
  <c r="M436" i="25"/>
  <c r="M434" i="25"/>
  <c r="M432" i="25"/>
  <c r="M430" i="25"/>
  <c r="N517" i="25"/>
  <c r="M489" i="25"/>
  <c r="N479" i="25"/>
  <c r="N474" i="25"/>
  <c r="M473" i="25"/>
  <c r="N462" i="25"/>
  <c r="N454" i="25"/>
  <c r="N446" i="25"/>
  <c r="N438" i="25"/>
  <c r="N430" i="25"/>
  <c r="N428" i="25"/>
  <c r="M426" i="25"/>
  <c r="M425" i="25"/>
  <c r="N424" i="25"/>
  <c r="M418" i="25"/>
  <c r="M417" i="25"/>
  <c r="N416" i="25"/>
  <c r="M410" i="25"/>
  <c r="M409" i="25"/>
  <c r="N408" i="25"/>
  <c r="M402" i="25"/>
  <c r="M401" i="25"/>
  <c r="N522" i="25"/>
  <c r="M516" i="25"/>
  <c r="M497" i="25"/>
  <c r="M483" i="25"/>
  <c r="N471" i="25"/>
  <c r="N466" i="25"/>
  <c r="M465" i="25"/>
  <c r="N456" i="25"/>
  <c r="N448" i="25"/>
  <c r="N440" i="25"/>
  <c r="N432" i="25"/>
  <c r="M428" i="25"/>
  <c r="M424" i="25"/>
  <c r="M423" i="25"/>
  <c r="N422" i="25"/>
  <c r="M416" i="25"/>
  <c r="M415" i="25"/>
  <c r="N414" i="25"/>
  <c r="M408" i="25"/>
  <c r="M407" i="25"/>
  <c r="N406" i="25"/>
  <c r="N482" i="25"/>
  <c r="M481" i="25"/>
  <c r="N460" i="25"/>
  <c r="N452" i="25"/>
  <c r="N444" i="25"/>
  <c r="N436" i="25"/>
  <c r="M427" i="25"/>
  <c r="N426" i="25"/>
  <c r="M420" i="25"/>
  <c r="M419" i="25"/>
  <c r="N418" i="25"/>
  <c r="M412" i="25"/>
  <c r="M411" i="25"/>
  <c r="N410" i="25"/>
  <c r="M404" i="25"/>
  <c r="M403" i="25"/>
  <c r="N402" i="25"/>
  <c r="N398" i="25"/>
  <c r="N396" i="25"/>
  <c r="N394" i="25"/>
  <c r="N392" i="25"/>
  <c r="N390" i="25"/>
  <c r="N388" i="25"/>
  <c r="N386" i="25"/>
  <c r="N384" i="25"/>
  <c r="N382" i="25"/>
  <c r="N380" i="25"/>
  <c r="N378" i="25"/>
  <c r="N376" i="25"/>
  <c r="N458" i="25"/>
  <c r="M414" i="25"/>
  <c r="M413" i="25"/>
  <c r="N412" i="25"/>
  <c r="M400" i="25"/>
  <c r="M399" i="25"/>
  <c r="M398" i="25"/>
  <c r="N397" i="25"/>
  <c r="M391" i="25"/>
  <c r="M390" i="25"/>
  <c r="N389" i="25"/>
  <c r="M383" i="25"/>
  <c r="M382" i="25"/>
  <c r="N381" i="25"/>
  <c r="M375" i="25"/>
  <c r="N374" i="25"/>
  <c r="N372" i="25"/>
  <c r="N370" i="25"/>
  <c r="N368" i="25"/>
  <c r="N366" i="25"/>
  <c r="N364" i="25"/>
  <c r="N362" i="25"/>
  <c r="N360" i="25"/>
  <c r="N358" i="25"/>
  <c r="N356" i="25"/>
  <c r="N354" i="25"/>
  <c r="N352" i="25"/>
  <c r="N350" i="25"/>
  <c r="N348" i="25"/>
  <c r="N346" i="25"/>
  <c r="N344" i="25"/>
  <c r="N342" i="25"/>
  <c r="N340" i="25"/>
  <c r="N338" i="25"/>
  <c r="N336" i="25"/>
  <c r="N334" i="25"/>
  <c r="N332" i="25"/>
  <c r="N330" i="25"/>
  <c r="N328" i="25"/>
  <c r="N326" i="25"/>
  <c r="N324" i="25"/>
  <c r="N322" i="25"/>
  <c r="N320" i="25"/>
  <c r="N318" i="25"/>
  <c r="N316" i="25"/>
  <c r="N314" i="25"/>
  <c r="N312" i="25"/>
  <c r="N310" i="25"/>
  <c r="N308" i="25"/>
  <c r="N306" i="25"/>
  <c r="N304" i="25"/>
  <c r="N302" i="25"/>
  <c r="N300" i="25"/>
  <c r="N298" i="25"/>
  <c r="N296" i="25"/>
  <c r="N294" i="25"/>
  <c r="N292" i="25"/>
  <c r="N290" i="25"/>
  <c r="N288" i="25"/>
  <c r="N286" i="25"/>
  <c r="N284" i="25"/>
  <c r="N282" i="25"/>
  <c r="N280" i="25"/>
  <c r="N434" i="25"/>
  <c r="M406" i="25"/>
  <c r="M405" i="25"/>
  <c r="N404" i="25"/>
  <c r="M397" i="25"/>
  <c r="M396" i="25"/>
  <c r="N395" i="25"/>
  <c r="M389" i="25"/>
  <c r="M388" i="25"/>
  <c r="N387" i="25"/>
  <c r="M381" i="25"/>
  <c r="M380" i="25"/>
  <c r="N379" i="25"/>
  <c r="M374" i="25"/>
  <c r="M372" i="25"/>
  <c r="M370" i="25"/>
  <c r="M368" i="25"/>
  <c r="M366" i="25"/>
  <c r="N450" i="25"/>
  <c r="M422" i="25"/>
  <c r="M421" i="25"/>
  <c r="N420" i="25"/>
  <c r="N400" i="25"/>
  <c r="N399" i="25"/>
  <c r="M393" i="25"/>
  <c r="M392" i="25"/>
  <c r="N391" i="25"/>
  <c r="M385" i="25"/>
  <c r="M384" i="25"/>
  <c r="N383" i="25"/>
  <c r="M377" i="25"/>
  <c r="M376" i="25"/>
  <c r="N375" i="25"/>
  <c r="M373" i="25"/>
  <c r="M371" i="25"/>
  <c r="M369" i="25"/>
  <c r="M367" i="25"/>
  <c r="M365" i="25"/>
  <c r="M363" i="25"/>
  <c r="M361" i="25"/>
  <c r="M359" i="25"/>
  <c r="M357" i="25"/>
  <c r="M355" i="25"/>
  <c r="M353" i="25"/>
  <c r="M351" i="25"/>
  <c r="M349" i="25"/>
  <c r="M347" i="25"/>
  <c r="M345" i="25"/>
  <c r="M387" i="25"/>
  <c r="M386" i="25"/>
  <c r="N385" i="25"/>
  <c r="N371" i="25"/>
  <c r="M341" i="25"/>
  <c r="M340" i="25"/>
  <c r="N339" i="25"/>
  <c r="M333" i="25"/>
  <c r="M332" i="25"/>
  <c r="N331" i="25"/>
  <c r="M325" i="25"/>
  <c r="M324" i="25"/>
  <c r="N323" i="25"/>
  <c r="M317" i="25"/>
  <c r="M316" i="25"/>
  <c r="N315" i="25"/>
  <c r="M309" i="25"/>
  <c r="M308" i="25"/>
  <c r="N307" i="25"/>
  <c r="M301" i="25"/>
  <c r="M300" i="25"/>
  <c r="N299" i="25"/>
  <c r="M293" i="25"/>
  <c r="M292" i="25"/>
  <c r="N291" i="25"/>
  <c r="M285" i="25"/>
  <c r="M284" i="25"/>
  <c r="N283" i="25"/>
  <c r="N277" i="25"/>
  <c r="N275" i="25"/>
  <c r="N273" i="25"/>
  <c r="N271" i="25"/>
  <c r="N269" i="25"/>
  <c r="N267" i="25"/>
  <c r="N265" i="25"/>
  <c r="M379" i="25"/>
  <c r="M378" i="25"/>
  <c r="N377" i="25"/>
  <c r="N373" i="25"/>
  <c r="N365" i="25"/>
  <c r="M362" i="25"/>
  <c r="N361" i="25"/>
  <c r="M358" i="25"/>
  <c r="N357" i="25"/>
  <c r="M354" i="25"/>
  <c r="N353" i="25"/>
  <c r="M350" i="25"/>
  <c r="N349" i="25"/>
  <c r="M346" i="25"/>
  <c r="N345" i="25"/>
  <c r="M339" i="25"/>
  <c r="M338" i="25"/>
  <c r="N337" i="25"/>
  <c r="M331" i="25"/>
  <c r="M330" i="25"/>
  <c r="N329" i="25"/>
  <c r="M323" i="25"/>
  <c r="M322" i="25"/>
  <c r="N321" i="25"/>
  <c r="M315" i="25"/>
  <c r="M314" i="25"/>
  <c r="N313" i="25"/>
  <c r="M307" i="25"/>
  <c r="M306" i="25"/>
  <c r="N305" i="25"/>
  <c r="M299" i="25"/>
  <c r="M298" i="25"/>
  <c r="N297" i="25"/>
  <c r="M291" i="25"/>
  <c r="M290" i="25"/>
  <c r="N289" i="25"/>
  <c r="M283" i="25"/>
  <c r="M282" i="25"/>
  <c r="N281" i="25"/>
  <c r="M277" i="25"/>
  <c r="M275" i="25"/>
  <c r="M273" i="25"/>
  <c r="M271" i="25"/>
  <c r="M269" i="25"/>
  <c r="M267" i="25"/>
  <c r="M265" i="25"/>
  <c r="M505" i="25"/>
  <c r="N442" i="25"/>
  <c r="M395" i="25"/>
  <c r="M394" i="25"/>
  <c r="N393" i="25"/>
  <c r="N369" i="25"/>
  <c r="M364" i="25"/>
  <c r="N363" i="25"/>
  <c r="M360" i="25"/>
  <c r="N359" i="25"/>
  <c r="M356" i="25"/>
  <c r="N355" i="25"/>
  <c r="M352" i="25"/>
  <c r="N351" i="25"/>
  <c r="M348" i="25"/>
  <c r="N347" i="25"/>
  <c r="M344" i="25"/>
  <c r="M343" i="25"/>
  <c r="M342" i="25"/>
  <c r="N341" i="25"/>
  <c r="M335" i="25"/>
  <c r="M334" i="25"/>
  <c r="N333" i="25"/>
  <c r="M327" i="25"/>
  <c r="M326" i="25"/>
  <c r="N325" i="25"/>
  <c r="M319" i="25"/>
  <c r="M318" i="25"/>
  <c r="N317" i="25"/>
  <c r="M311" i="25"/>
  <c r="M310" i="25"/>
  <c r="N309" i="25"/>
  <c r="M303" i="25"/>
  <c r="M302" i="25"/>
  <c r="N301" i="25"/>
  <c r="M295" i="25"/>
  <c r="M294" i="25"/>
  <c r="N293" i="25"/>
  <c r="M287" i="25"/>
  <c r="M286" i="25"/>
  <c r="N285" i="25"/>
  <c r="M279" i="25"/>
  <c r="M278" i="25"/>
  <c r="M276" i="25"/>
  <c r="M274" i="25"/>
  <c r="M272" i="25"/>
  <c r="M270" i="25"/>
  <c r="M268" i="25"/>
  <c r="M266" i="25"/>
  <c r="M264" i="25"/>
  <c r="M262" i="25"/>
  <c r="M260" i="25"/>
  <c r="M258" i="25"/>
  <c r="M256" i="25"/>
  <c r="M254" i="25"/>
  <c r="M252" i="25"/>
  <c r="M250" i="25"/>
  <c r="M248" i="25"/>
  <c r="M246" i="25"/>
  <c r="M244" i="25"/>
  <c r="M242" i="25"/>
  <c r="M240" i="25"/>
  <c r="M238" i="25"/>
  <c r="M236" i="25"/>
  <c r="M234" i="25"/>
  <c r="M232" i="25"/>
  <c r="M230" i="25"/>
  <c r="M228" i="25"/>
  <c r="M226" i="25"/>
  <c r="N367" i="25"/>
  <c r="N343" i="25"/>
  <c r="M313" i="25"/>
  <c r="M312" i="25"/>
  <c r="N311" i="25"/>
  <c r="M281" i="25"/>
  <c r="M280" i="25"/>
  <c r="N279" i="25"/>
  <c r="N274" i="25"/>
  <c r="N266" i="25"/>
  <c r="N260" i="25"/>
  <c r="M259" i="25"/>
  <c r="N257" i="25"/>
  <c r="N252" i="25"/>
  <c r="M251" i="25"/>
  <c r="N249" i="25"/>
  <c r="N244" i="25"/>
  <c r="M243" i="25"/>
  <c r="N241" i="25"/>
  <c r="N236" i="25"/>
  <c r="M235" i="25"/>
  <c r="N233" i="25"/>
  <c r="N228" i="25"/>
  <c r="M227" i="25"/>
  <c r="M224" i="25"/>
  <c r="M222" i="25"/>
  <c r="M220" i="25"/>
  <c r="M218" i="25"/>
  <c r="M216" i="25"/>
  <c r="M214" i="25"/>
  <c r="M212" i="25"/>
  <c r="M210" i="25"/>
  <c r="M208" i="25"/>
  <c r="M206" i="25"/>
  <c r="M204" i="25"/>
  <c r="M202" i="25"/>
  <c r="M200" i="25"/>
  <c r="M198" i="25"/>
  <c r="M196" i="25"/>
  <c r="M194" i="25"/>
  <c r="M192" i="25"/>
  <c r="M190" i="25"/>
  <c r="M188" i="25"/>
  <c r="M186" i="25"/>
  <c r="M184" i="25"/>
  <c r="M182" i="25"/>
  <c r="M180" i="25"/>
  <c r="M178" i="25"/>
  <c r="M176" i="25"/>
  <c r="M174" i="25"/>
  <c r="M172" i="25"/>
  <c r="M170" i="25"/>
  <c r="M168" i="25"/>
  <c r="M166" i="25"/>
  <c r="M164" i="25"/>
  <c r="M162" i="25"/>
  <c r="M160" i="25"/>
  <c r="M158" i="25"/>
  <c r="M156" i="25"/>
  <c r="M154" i="25"/>
  <c r="M152" i="25"/>
  <c r="M150" i="25"/>
  <c r="M148" i="25"/>
  <c r="M146" i="25"/>
  <c r="M144" i="25"/>
  <c r="M142" i="25"/>
  <c r="M140" i="25"/>
  <c r="M138" i="25"/>
  <c r="M136" i="25"/>
  <c r="M134" i="25"/>
  <c r="M132" i="25"/>
  <c r="M130" i="25"/>
  <c r="M128" i="25"/>
  <c r="M126" i="25"/>
  <c r="M124" i="25"/>
  <c r="M122" i="25"/>
  <c r="M120" i="25"/>
  <c r="M337" i="25"/>
  <c r="M336" i="25"/>
  <c r="N335" i="25"/>
  <c r="M305" i="25"/>
  <c r="M304" i="25"/>
  <c r="N303" i="25"/>
  <c r="N276" i="25"/>
  <c r="N268" i="25"/>
  <c r="N263" i="25"/>
  <c r="N258" i="25"/>
  <c r="M257" i="25"/>
  <c r="N255" i="25"/>
  <c r="N250" i="25"/>
  <c r="M249" i="25"/>
  <c r="N247" i="25"/>
  <c r="N242" i="25"/>
  <c r="M241" i="25"/>
  <c r="N239" i="25"/>
  <c r="N234" i="25"/>
  <c r="M233" i="25"/>
  <c r="N231" i="25"/>
  <c r="N226" i="25"/>
  <c r="N225" i="25"/>
  <c r="N223" i="25"/>
  <c r="N221" i="25"/>
  <c r="M321" i="25"/>
  <c r="M320" i="25"/>
  <c r="N319" i="25"/>
  <c r="M289" i="25"/>
  <c r="M288" i="25"/>
  <c r="N287" i="25"/>
  <c r="N272" i="25"/>
  <c r="N264" i="25"/>
  <c r="N262" i="25"/>
  <c r="M261" i="25"/>
  <c r="N259" i="25"/>
  <c r="N254" i="25"/>
  <c r="M253" i="25"/>
  <c r="N251" i="25"/>
  <c r="N246" i="25"/>
  <c r="M245" i="25"/>
  <c r="N243" i="25"/>
  <c r="N238" i="25"/>
  <c r="M237" i="25"/>
  <c r="N235" i="25"/>
  <c r="N230" i="25"/>
  <c r="M229" i="25"/>
  <c r="N227" i="25"/>
  <c r="N224" i="25"/>
  <c r="N222" i="25"/>
  <c r="N220" i="25"/>
  <c r="N218" i="25"/>
  <c r="N216" i="25"/>
  <c r="N214" i="25"/>
  <c r="N212" i="25"/>
  <c r="N210" i="25"/>
  <c r="N208" i="25"/>
  <c r="N206" i="25"/>
  <c r="N204" i="25"/>
  <c r="N202" i="25"/>
  <c r="N200" i="25"/>
  <c r="N198" i="25"/>
  <c r="N196" i="25"/>
  <c r="N194" i="25"/>
  <c r="N192" i="25"/>
  <c r="N190" i="25"/>
  <c r="N188" i="25"/>
  <c r="N186" i="25"/>
  <c r="N184" i="25"/>
  <c r="N182" i="25"/>
  <c r="N180" i="25"/>
  <c r="N178" i="25"/>
  <c r="N176" i="25"/>
  <c r="N174" i="25"/>
  <c r="N172" i="25"/>
  <c r="N170" i="25"/>
  <c r="N168" i="25"/>
  <c r="N166" i="25"/>
  <c r="N164" i="25"/>
  <c r="N162" i="25"/>
  <c r="N160" i="25"/>
  <c r="N158" i="25"/>
  <c r="N156" i="25"/>
  <c r="N154" i="25"/>
  <c r="N152" i="25"/>
  <c r="N150" i="25"/>
  <c r="N148" i="25"/>
  <c r="N146" i="25"/>
  <c r="N144" i="25"/>
  <c r="N142" i="25"/>
  <c r="N140" i="25"/>
  <c r="N138" i="25"/>
  <c r="N136" i="25"/>
  <c r="N134" i="25"/>
  <c r="N132" i="25"/>
  <c r="N130" i="25"/>
  <c r="N128" i="25"/>
  <c r="N126" i="25"/>
  <c r="N124" i="25"/>
  <c r="N122" i="25"/>
  <c r="N120" i="25"/>
  <c r="N118" i="25"/>
  <c r="N116" i="25"/>
  <c r="N114" i="25"/>
  <c r="N112" i="25"/>
  <c r="N110" i="25"/>
  <c r="N108" i="25"/>
  <c r="N106" i="25"/>
  <c r="N104" i="25"/>
  <c r="N102" i="25"/>
  <c r="N100" i="25"/>
  <c r="N98" i="25"/>
  <c r="N96" i="25"/>
  <c r="N94" i="25"/>
  <c r="N92" i="25"/>
  <c r="N90" i="25"/>
  <c r="N88" i="25"/>
  <c r="N86" i="25"/>
  <c r="N84" i="25"/>
  <c r="N82" i="25"/>
  <c r="N80" i="25"/>
  <c r="N78" i="25"/>
  <c r="N76" i="25"/>
  <c r="N74" i="25"/>
  <c r="N72" i="25"/>
  <c r="N70" i="25"/>
  <c r="N68" i="25"/>
  <c r="N66" i="25"/>
  <c r="N64" i="25"/>
  <c r="N62" i="25"/>
  <c r="N60" i="25"/>
  <c r="N58" i="25"/>
  <c r="N56" i="25"/>
  <c r="N54" i="25"/>
  <c r="N52" i="25"/>
  <c r="N50" i="25"/>
  <c r="N48" i="25"/>
  <c r="N46" i="25"/>
  <c r="N44" i="25"/>
  <c r="N42" i="25"/>
  <c r="N40" i="25"/>
  <c r="N38" i="25"/>
  <c r="N36" i="25"/>
  <c r="N34" i="25"/>
  <c r="N32" i="25"/>
  <c r="N30" i="25"/>
  <c r="N327" i="25"/>
  <c r="M296" i="25"/>
  <c r="N278" i="25"/>
  <c r="M263" i="25"/>
  <c r="N237" i="25"/>
  <c r="N232" i="25"/>
  <c r="M231" i="25"/>
  <c r="M221" i="25"/>
  <c r="M219" i="25"/>
  <c r="M215" i="25"/>
  <c r="M211" i="25"/>
  <c r="M207" i="25"/>
  <c r="M203" i="25"/>
  <c r="M199" i="25"/>
  <c r="M195" i="25"/>
  <c r="M191" i="25"/>
  <c r="M187" i="25"/>
  <c r="M183" i="25"/>
  <c r="M179" i="25"/>
  <c r="M175" i="25"/>
  <c r="M171" i="25"/>
  <c r="M167" i="25"/>
  <c r="M163" i="25"/>
  <c r="M159" i="25"/>
  <c r="M155" i="25"/>
  <c r="M151" i="25"/>
  <c r="M147" i="25"/>
  <c r="M143" i="25"/>
  <c r="M139" i="25"/>
  <c r="M135" i="25"/>
  <c r="M131" i="25"/>
  <c r="M127" i="25"/>
  <c r="M123" i="25"/>
  <c r="M115" i="25"/>
  <c r="M114" i="25"/>
  <c r="N113" i="25"/>
  <c r="M107" i="25"/>
  <c r="M106" i="25"/>
  <c r="N105" i="25"/>
  <c r="M99" i="25"/>
  <c r="M98" i="25"/>
  <c r="N97" i="25"/>
  <c r="M91" i="25"/>
  <c r="M90" i="25"/>
  <c r="N89" i="25"/>
  <c r="M83" i="25"/>
  <c r="M82" i="25"/>
  <c r="N81" i="25"/>
  <c r="M75" i="25"/>
  <c r="M74" i="25"/>
  <c r="N73" i="25"/>
  <c r="M67" i="25"/>
  <c r="M66" i="25"/>
  <c r="N65" i="25"/>
  <c r="M59" i="25"/>
  <c r="M58" i="25"/>
  <c r="M50" i="25"/>
  <c r="M35" i="25"/>
  <c r="N295" i="25"/>
  <c r="N261" i="25"/>
  <c r="N256" i="25"/>
  <c r="M255" i="25"/>
  <c r="N229" i="25"/>
  <c r="M223" i="25"/>
  <c r="N217" i="25"/>
  <c r="N213" i="25"/>
  <c r="N209" i="25"/>
  <c r="N205" i="25"/>
  <c r="N201" i="25"/>
  <c r="N197" i="25"/>
  <c r="N193" i="25"/>
  <c r="N189" i="25"/>
  <c r="N185" i="25"/>
  <c r="N181" i="25"/>
  <c r="N177" i="25"/>
  <c r="N173" i="25"/>
  <c r="N169" i="25"/>
  <c r="N165" i="25"/>
  <c r="N161" i="25"/>
  <c r="N157" i="25"/>
  <c r="N153" i="25"/>
  <c r="N149" i="25"/>
  <c r="N145" i="25"/>
  <c r="N141" i="25"/>
  <c r="N137" i="25"/>
  <c r="N133" i="25"/>
  <c r="N129" i="25"/>
  <c r="N125" i="25"/>
  <c r="N121" i="25"/>
  <c r="N119" i="25"/>
  <c r="M113" i="25"/>
  <c r="M112" i="25"/>
  <c r="N111" i="25"/>
  <c r="M105" i="25"/>
  <c r="M104" i="25"/>
  <c r="N103" i="25"/>
  <c r="M97" i="25"/>
  <c r="M96" i="25"/>
  <c r="N95" i="25"/>
  <c r="M89" i="25"/>
  <c r="M88" i="25"/>
  <c r="N87" i="25"/>
  <c r="M81" i="25"/>
  <c r="M80" i="25"/>
  <c r="N79" i="25"/>
  <c r="M73" i="25"/>
  <c r="M72" i="25"/>
  <c r="N71" i="25"/>
  <c r="M65" i="25"/>
  <c r="M64" i="25"/>
  <c r="N63" i="25"/>
  <c r="M57" i="25"/>
  <c r="M56" i="25"/>
  <c r="N55" i="25"/>
  <c r="M49" i="25"/>
  <c r="M48" i="25"/>
  <c r="N47" i="25"/>
  <c r="M41" i="25"/>
  <c r="M40" i="25"/>
  <c r="M328" i="25"/>
  <c r="M297" i="25"/>
  <c r="N270" i="25"/>
  <c r="N245" i="25"/>
  <c r="N240" i="25"/>
  <c r="M239" i="25"/>
  <c r="N219" i="25"/>
  <c r="N215" i="25"/>
  <c r="N211" i="25"/>
  <c r="N207" i="25"/>
  <c r="N203" i="25"/>
  <c r="N199" i="25"/>
  <c r="N195" i="25"/>
  <c r="N191" i="25"/>
  <c r="N187" i="25"/>
  <c r="N183" i="25"/>
  <c r="N179" i="25"/>
  <c r="N175" i="25"/>
  <c r="N171" i="25"/>
  <c r="N167" i="25"/>
  <c r="N163" i="25"/>
  <c r="N159" i="25"/>
  <c r="N155" i="25"/>
  <c r="N151" i="25"/>
  <c r="N147" i="25"/>
  <c r="N143" i="25"/>
  <c r="N139" i="25"/>
  <c r="N135" i="25"/>
  <c r="N131" i="25"/>
  <c r="N127" i="25"/>
  <c r="N123" i="25"/>
  <c r="M117" i="25"/>
  <c r="M116" i="25"/>
  <c r="N115" i="25"/>
  <c r="M109" i="25"/>
  <c r="M108" i="25"/>
  <c r="N107" i="25"/>
  <c r="M101" i="25"/>
  <c r="M100" i="25"/>
  <c r="N99" i="25"/>
  <c r="M93" i="25"/>
  <c r="M92" i="25"/>
  <c r="N91" i="25"/>
  <c r="M85" i="25"/>
  <c r="M84" i="25"/>
  <c r="N83" i="25"/>
  <c r="M77" i="25"/>
  <c r="M76" i="25"/>
  <c r="N75" i="25"/>
  <c r="M69" i="25"/>
  <c r="M68" i="25"/>
  <c r="N67" i="25"/>
  <c r="M61" i="25"/>
  <c r="M60" i="25"/>
  <c r="N59" i="25"/>
  <c r="M53" i="25"/>
  <c r="M52" i="25"/>
  <c r="N51" i="25"/>
  <c r="M45" i="25"/>
  <c r="M44" i="25"/>
  <c r="N43" i="25"/>
  <c r="M37" i="25"/>
  <c r="M36" i="25"/>
  <c r="N35" i="25"/>
  <c r="M29" i="25"/>
  <c r="N28" i="25"/>
  <c r="N26" i="25"/>
  <c r="N24" i="25"/>
  <c r="N22" i="25"/>
  <c r="N20" i="25"/>
  <c r="N18" i="25"/>
  <c r="N16" i="25"/>
  <c r="N14" i="25"/>
  <c r="N57" i="25"/>
  <c r="M51" i="25"/>
  <c r="N49" i="25"/>
  <c r="M43" i="25"/>
  <c r="M42" i="25"/>
  <c r="N41" i="25"/>
  <c r="M34" i="25"/>
  <c r="N33" i="25"/>
  <c r="M28" i="25"/>
  <c r="M26" i="25"/>
  <c r="M329" i="25"/>
  <c r="N248" i="25"/>
  <c r="M209" i="25"/>
  <c r="M193" i="25"/>
  <c r="M177" i="25"/>
  <c r="M161" i="25"/>
  <c r="M145" i="25"/>
  <c r="M129" i="25"/>
  <c r="M95" i="25"/>
  <c r="M94" i="25"/>
  <c r="N93" i="25"/>
  <c r="M63" i="25"/>
  <c r="M62" i="25"/>
  <c r="N61" i="25"/>
  <c r="M39" i="25"/>
  <c r="N25" i="25"/>
  <c r="M24" i="25"/>
  <c r="N23" i="25"/>
  <c r="M17" i="25"/>
  <c r="M16" i="25"/>
  <c r="N13" i="25"/>
  <c r="M201" i="25"/>
  <c r="M169" i="25"/>
  <c r="M137" i="25"/>
  <c r="M121" i="25"/>
  <c r="M79" i="25"/>
  <c r="N77" i="25"/>
  <c r="M46" i="25"/>
  <c r="N45" i="25"/>
  <c r="M31" i="25"/>
  <c r="N253" i="25"/>
  <c r="M247" i="25"/>
  <c r="M225" i="25"/>
  <c r="M213" i="25"/>
  <c r="M197" i="25"/>
  <c r="M181" i="25"/>
  <c r="M165" i="25"/>
  <c r="M149" i="25"/>
  <c r="M133" i="25"/>
  <c r="M119" i="25"/>
  <c r="M118" i="25"/>
  <c r="N117" i="25"/>
  <c r="M87" i="25"/>
  <c r="M86" i="25"/>
  <c r="N85" i="25"/>
  <c r="M55" i="25"/>
  <c r="M54" i="25"/>
  <c r="N53" i="25"/>
  <c r="M38" i="25"/>
  <c r="N37" i="25"/>
  <c r="N31" i="25"/>
  <c r="M25" i="25"/>
  <c r="M23" i="25"/>
  <c r="M22" i="25"/>
  <c r="N21" i="25"/>
  <c r="M15" i="25"/>
  <c r="M110" i="25"/>
  <c r="M78" i="25"/>
  <c r="M32" i="25"/>
  <c r="M205" i="25"/>
  <c r="M189" i="25"/>
  <c r="M173" i="25"/>
  <c r="M157" i="25"/>
  <c r="M141" i="25"/>
  <c r="M125" i="25"/>
  <c r="M103" i="25"/>
  <c r="M102" i="25"/>
  <c r="N101" i="25"/>
  <c r="M71" i="25"/>
  <c r="M70" i="25"/>
  <c r="N69" i="25"/>
  <c r="N39" i="25"/>
  <c r="M33" i="25"/>
  <c r="M30" i="25"/>
  <c r="N29" i="25"/>
  <c r="M27" i="25"/>
  <c r="M19" i="25"/>
  <c r="M18" i="25"/>
  <c r="N17" i="25"/>
  <c r="N15" i="25"/>
  <c r="M14" i="25"/>
  <c r="M217" i="25"/>
  <c r="M185" i="25"/>
  <c r="M153" i="25"/>
  <c r="M111" i="25"/>
  <c r="N109" i="25"/>
  <c r="M47" i="25"/>
  <c r="N27" i="25"/>
  <c r="M21" i="25"/>
  <c r="M20" i="25"/>
  <c r="N19" i="25"/>
  <c r="M13" i="25"/>
  <c r="N626" i="25"/>
  <c r="N628" i="25"/>
  <c r="R628" i="25" s="1"/>
  <c r="S628" i="25" s="1"/>
  <c r="M628" i="25"/>
  <c r="Q628" i="25" s="1"/>
  <c r="M626" i="25"/>
  <c r="N623" i="25"/>
  <c r="M623" i="25"/>
  <c r="Q623" i="25" s="1"/>
  <c r="N622" i="25"/>
  <c r="M622" i="25"/>
  <c r="AB625" i="25"/>
  <c r="M625" i="25"/>
  <c r="X625" i="25" s="1"/>
  <c r="AA624" i="25"/>
  <c r="E634" i="25" s="1"/>
  <c r="K627" i="25"/>
  <c r="C627" i="25"/>
  <c r="N627" i="25"/>
  <c r="J627" i="25"/>
  <c r="F627" i="25"/>
  <c r="L627" i="25"/>
  <c r="D627" i="25"/>
  <c r="I627" i="25"/>
  <c r="M627" i="25"/>
  <c r="E627" i="25"/>
  <c r="N625" i="25"/>
  <c r="R625" i="25" s="1"/>
  <c r="S625" i="25" s="1"/>
  <c r="M624" i="25"/>
  <c r="X624" i="25" s="1"/>
  <c r="R624" i="25"/>
  <c r="S624" i="25" s="1"/>
  <c r="AB624" i="25"/>
  <c r="AA625" i="25"/>
  <c r="E635" i="25" s="1"/>
  <c r="N592" i="17"/>
  <c r="R592" i="17" s="1"/>
  <c r="S592" i="17" s="1"/>
  <c r="N295" i="17"/>
  <c r="R295" i="17" s="1"/>
  <c r="S295" i="17" s="1"/>
  <c r="M345" i="17"/>
  <c r="X345" i="17" s="1"/>
  <c r="M572" i="17"/>
  <c r="Q572" i="17" s="1"/>
  <c r="U572" i="17" s="1"/>
  <c r="N40" i="17"/>
  <c r="R40" i="17" s="1"/>
  <c r="S40" i="17" s="1"/>
  <c r="N460" i="17"/>
  <c r="R460" i="17" s="1"/>
  <c r="S460" i="17" s="1"/>
  <c r="M36" i="17"/>
  <c r="Q36" i="17" s="1"/>
  <c r="U36" i="17" s="1"/>
  <c r="M263" i="17"/>
  <c r="X263" i="17" s="1"/>
  <c r="M417" i="17"/>
  <c r="Q417" i="17" s="1"/>
  <c r="U417" i="17" s="1"/>
  <c r="N130" i="17"/>
  <c r="R130" i="17" s="1"/>
  <c r="S130" i="17" s="1"/>
  <c r="M297" i="17"/>
  <c r="X297" i="17" s="1"/>
  <c r="M494" i="17"/>
  <c r="M277" i="17"/>
  <c r="Q277" i="17" s="1"/>
  <c r="U277" i="17" s="1"/>
  <c r="N443" i="17"/>
  <c r="Y443" i="17" s="1"/>
  <c r="N561" i="17"/>
  <c r="R561" i="17" s="1"/>
  <c r="S561" i="17" s="1"/>
  <c r="N127" i="17"/>
  <c r="R127" i="17" s="1"/>
  <c r="S127" i="17" s="1"/>
  <c r="M151" i="17"/>
  <c r="Q151" i="17" s="1"/>
  <c r="U151" i="17" s="1"/>
  <c r="M283" i="17"/>
  <c r="Q283" i="17" s="1"/>
  <c r="U283" i="17" s="1"/>
  <c r="N516" i="17"/>
  <c r="R516" i="17" s="1"/>
  <c r="S516" i="17" s="1"/>
  <c r="M487" i="17"/>
  <c r="Q487" i="17" s="1"/>
  <c r="N25" i="17"/>
  <c r="R25" i="17" s="1"/>
  <c r="S25" i="17" s="1"/>
  <c r="M326" i="17"/>
  <c r="X326" i="17" s="1"/>
  <c r="N524" i="17"/>
  <c r="Y524" i="17" s="1"/>
  <c r="N269" i="17"/>
  <c r="M435" i="17"/>
  <c r="Q435" i="17" s="1"/>
  <c r="U435" i="17" s="1"/>
  <c r="N156" i="17"/>
  <c r="R156" i="17" s="1"/>
  <c r="S156" i="17" s="1"/>
  <c r="N22" i="17"/>
  <c r="R22" i="17" s="1"/>
  <c r="S22" i="17" s="1"/>
  <c r="M320" i="17"/>
  <c r="M237" i="17"/>
  <c r="Q237" i="17" s="1"/>
  <c r="U237" i="17" s="1"/>
  <c r="N37" i="17"/>
  <c r="R37" i="17" s="1"/>
  <c r="S37" i="17" s="1"/>
  <c r="M252" i="17"/>
  <c r="Q252" i="17" s="1"/>
  <c r="U252" i="17" s="1"/>
  <c r="N394" i="17"/>
  <c r="Y394" i="17" s="1"/>
  <c r="N306" i="17"/>
  <c r="R306" i="17" s="1"/>
  <c r="S306" i="17" s="1"/>
  <c r="N361" i="17"/>
  <c r="R361" i="17" s="1"/>
  <c r="S361" i="17" s="1"/>
  <c r="N35" i="17"/>
  <c r="Y35" i="17" s="1"/>
  <c r="M381" i="17"/>
  <c r="M560" i="17"/>
  <c r="Q560" i="17" s="1"/>
  <c r="U560" i="17" s="1"/>
  <c r="N354" i="17"/>
  <c r="R354" i="17" s="1"/>
  <c r="S354" i="17" s="1"/>
  <c r="N206" i="17"/>
  <c r="Y206" i="17" s="1"/>
  <c r="M612" i="17"/>
  <c r="N518" i="17"/>
  <c r="R518" i="17" s="1"/>
  <c r="S518" i="17" s="1"/>
  <c r="M454" i="17"/>
  <c r="Q454" i="17" s="1"/>
  <c r="U454" i="17" s="1"/>
  <c r="N380" i="17"/>
  <c r="M212" i="17"/>
  <c r="M402" i="17"/>
  <c r="Q402" i="17" s="1"/>
  <c r="U402" i="17" s="1"/>
  <c r="N613" i="17"/>
  <c r="R613" i="17" s="1"/>
  <c r="S613" i="17" s="1"/>
  <c r="N446" i="17"/>
  <c r="R446" i="17" s="1"/>
  <c r="S446" i="17" s="1"/>
  <c r="M314" i="17"/>
  <c r="N549" i="17"/>
  <c r="R549" i="17" s="1"/>
  <c r="S549" i="17" s="1"/>
  <c r="N363" i="17"/>
  <c r="N229" i="17"/>
  <c r="N258" i="17"/>
  <c r="R258" i="17" s="1"/>
  <c r="S258" i="17" s="1"/>
  <c r="M161" i="17"/>
  <c r="Q161" i="17" s="1"/>
  <c r="U161" i="17" s="1"/>
  <c r="M578" i="17"/>
  <c r="Q578" i="17" s="1"/>
  <c r="U578" i="17" s="1"/>
  <c r="N489" i="17"/>
  <c r="N321" i="17"/>
  <c r="Y321" i="17" s="1"/>
  <c r="N255" i="17"/>
  <c r="Y255" i="17" s="1"/>
  <c r="N284" i="17"/>
  <c r="Y284" i="17" s="1"/>
  <c r="N116" i="17"/>
  <c r="N55" i="17"/>
  <c r="R55" i="17" s="1"/>
  <c r="S55" i="17" s="1"/>
  <c r="N104" i="17"/>
  <c r="R104" i="17" s="1"/>
  <c r="S104" i="17" s="1"/>
  <c r="M30" i="17"/>
  <c r="N78" i="17"/>
  <c r="R78" i="17" s="1"/>
  <c r="S78" i="17" s="1"/>
  <c r="N343" i="17"/>
  <c r="R343" i="17" s="1"/>
  <c r="S343" i="17" s="1"/>
  <c r="M465" i="17"/>
  <c r="Q465" i="17" s="1"/>
  <c r="U465" i="17" s="1"/>
  <c r="M166" i="17"/>
  <c r="Q166" i="17" s="1"/>
  <c r="U166" i="17" s="1"/>
  <c r="M400" i="17"/>
  <c r="Q400" i="17" s="1"/>
  <c r="U400" i="17" s="1"/>
  <c r="N566" i="17"/>
  <c r="M208" i="17"/>
  <c r="Q208" i="17" s="1"/>
  <c r="U208" i="17" s="1"/>
  <c r="M600" i="17"/>
  <c r="X600" i="17" s="1"/>
  <c r="N586" i="17"/>
  <c r="M178" i="17"/>
  <c r="N233" i="17"/>
  <c r="R233" i="17" s="1"/>
  <c r="S233" i="17" s="1"/>
  <c r="N349" i="17"/>
  <c r="R349" i="17" s="1"/>
  <c r="S349" i="17" s="1"/>
  <c r="N108" i="17"/>
  <c r="M479" i="17"/>
  <c r="M540" i="17"/>
  <c r="M76" i="17"/>
  <c r="X76" i="17" s="1"/>
  <c r="N572" i="17"/>
  <c r="Y572" i="17" s="1"/>
  <c r="M406" i="17"/>
  <c r="Q406" i="17" s="1"/>
  <c r="U406" i="17" s="1"/>
  <c r="M312" i="17"/>
  <c r="Q312" i="17" s="1"/>
  <c r="U312" i="17" s="1"/>
  <c r="M468" i="17"/>
  <c r="Q468" i="17" s="1"/>
  <c r="U468" i="17" s="1"/>
  <c r="M517" i="17"/>
  <c r="N181" i="17"/>
  <c r="Y181" i="17" s="1"/>
  <c r="M515" i="17"/>
  <c r="M383" i="17"/>
  <c r="Q383" i="17" s="1"/>
  <c r="U383" i="17" s="1"/>
  <c r="N244" i="17"/>
  <c r="N79" i="17"/>
  <c r="M58" i="17"/>
  <c r="X58" i="17" s="1"/>
  <c r="N399" i="17"/>
  <c r="R399" i="17" s="1"/>
  <c r="S399" i="17" s="1"/>
  <c r="M488" i="17"/>
  <c r="X488" i="17" s="1"/>
  <c r="N368" i="17"/>
  <c r="R368" i="17" s="1"/>
  <c r="S368" i="17" s="1"/>
  <c r="N565" i="17"/>
  <c r="R565" i="17" s="1"/>
  <c r="S565" i="17" s="1"/>
  <c r="N203" i="17"/>
  <c r="R203" i="17" s="1"/>
  <c r="S203" i="17" s="1"/>
  <c r="N480" i="17"/>
  <c r="Y480" i="17" s="1"/>
  <c r="N340" i="17"/>
  <c r="R340" i="17" s="1"/>
  <c r="S340" i="17" s="1"/>
  <c r="M172" i="17"/>
  <c r="Q172" i="17" s="1"/>
  <c r="U172" i="17" s="1"/>
  <c r="M607" i="17"/>
  <c r="Q607" i="17" s="1"/>
  <c r="U607" i="17" s="1"/>
  <c r="M218" i="17"/>
  <c r="M385" i="17"/>
  <c r="Q385" i="17" s="1"/>
  <c r="U385" i="17" s="1"/>
  <c r="N218" i="17"/>
  <c r="M259" i="17"/>
  <c r="N449" i="17"/>
  <c r="N207" i="17"/>
  <c r="M125" i="17"/>
  <c r="M63" i="17"/>
  <c r="X63" i="17" s="1"/>
  <c r="M45" i="17"/>
  <c r="Q45" i="17" s="1"/>
  <c r="U45" i="17" s="1"/>
  <c r="M543" i="17"/>
  <c r="X543" i="17" s="1"/>
  <c r="M246" i="17"/>
  <c r="M561" i="17"/>
  <c r="Q561" i="17" s="1"/>
  <c r="U561" i="17" s="1"/>
  <c r="M482" i="17"/>
  <c r="N486" i="17"/>
  <c r="N294" i="17"/>
  <c r="Y294" i="17" s="1"/>
  <c r="N227" i="17"/>
  <c r="Y227" i="17" s="1"/>
  <c r="M24" i="17"/>
  <c r="X24" i="17" s="1"/>
  <c r="M123" i="17"/>
  <c r="N571" i="17"/>
  <c r="N432" i="17"/>
  <c r="M366" i="17"/>
  <c r="M300" i="17"/>
  <c r="N544" i="17"/>
  <c r="M152" i="17"/>
  <c r="Q152" i="17" s="1"/>
  <c r="U152" i="17" s="1"/>
  <c r="N546" i="17"/>
  <c r="M372" i="17"/>
  <c r="X372" i="17" s="1"/>
  <c r="M138" i="17"/>
  <c r="Q138" i="17" s="1"/>
  <c r="U138" i="17" s="1"/>
  <c r="M437" i="17"/>
  <c r="Q437" i="17" s="1"/>
  <c r="U437" i="17" s="1"/>
  <c r="N309" i="17"/>
  <c r="N141" i="17"/>
  <c r="R141" i="17" s="1"/>
  <c r="S141" i="17" s="1"/>
  <c r="N178" i="17"/>
  <c r="R178" i="17" s="1"/>
  <c r="S178" i="17" s="1"/>
  <c r="N595" i="17"/>
  <c r="R595" i="17" s="1"/>
  <c r="S595" i="17" s="1"/>
  <c r="M475" i="17"/>
  <c r="N409" i="17"/>
  <c r="R409" i="17" s="1"/>
  <c r="S409" i="17" s="1"/>
  <c r="M335" i="17"/>
  <c r="X335" i="17" s="1"/>
  <c r="N167" i="17"/>
  <c r="R167" i="17" s="1"/>
  <c r="S167" i="17" s="1"/>
  <c r="N204" i="17"/>
  <c r="N15" i="17"/>
  <c r="N99" i="17"/>
  <c r="R99" i="17" s="1"/>
  <c r="S99" i="17" s="1"/>
  <c r="N622" i="17"/>
  <c r="M90" i="17"/>
  <c r="M333" i="17"/>
  <c r="Q333" i="17" s="1"/>
  <c r="U333" i="17" s="1"/>
  <c r="N455" i="17"/>
  <c r="R455" i="17" s="1"/>
  <c r="S455" i="17" s="1"/>
  <c r="M559" i="17"/>
  <c r="N334" i="17"/>
  <c r="N474" i="17"/>
  <c r="M209" i="17"/>
  <c r="Q209" i="17" s="1"/>
  <c r="U209" i="17" s="1"/>
  <c r="M442" i="17"/>
  <c r="Q442" i="17" s="1"/>
  <c r="U442" i="17" s="1"/>
  <c r="M232" i="17"/>
  <c r="M428" i="17"/>
  <c r="X428" i="17" s="1"/>
  <c r="N483" i="17"/>
  <c r="R483" i="17" s="1"/>
  <c r="S483" i="17" s="1"/>
  <c r="M179" i="17"/>
  <c r="Q179" i="17" s="1"/>
  <c r="U179" i="17" s="1"/>
  <c r="N208" i="17"/>
  <c r="N82" i="17"/>
  <c r="Y82" i="17" s="1"/>
  <c r="N49" i="17"/>
  <c r="R49" i="17" s="1"/>
  <c r="S49" i="17" s="1"/>
  <c r="N628" i="17"/>
  <c r="R628" i="17" s="1"/>
  <c r="S628" i="17" s="1"/>
  <c r="M199" i="17"/>
  <c r="Q199" i="17" s="1"/>
  <c r="U199" i="17" s="1"/>
  <c r="N123" i="17"/>
  <c r="Y123" i="17" s="1"/>
  <c r="M41" i="17"/>
  <c r="Q41" i="17" s="1"/>
  <c r="U41" i="17" s="1"/>
  <c r="N100" i="17"/>
  <c r="N264" i="17"/>
  <c r="N469" i="17"/>
  <c r="M555" i="17"/>
  <c r="Q555" i="17" s="1"/>
  <c r="U555" i="17" s="1"/>
  <c r="N110" i="17"/>
  <c r="Y110" i="17" s="1"/>
  <c r="M92" i="17"/>
  <c r="Q92" i="17" s="1"/>
  <c r="U92" i="17" s="1"/>
  <c r="M99" i="17"/>
  <c r="Q99" i="17" s="1"/>
  <c r="U99" i="17" s="1"/>
  <c r="N73" i="17"/>
  <c r="N168" i="17"/>
  <c r="Y168" i="17" s="1"/>
  <c r="N219" i="17"/>
  <c r="N373" i="17"/>
  <c r="R373" i="17" s="1"/>
  <c r="S373" i="17" s="1"/>
  <c r="M525" i="17"/>
  <c r="X525" i="17" s="1"/>
  <c r="N142" i="17"/>
  <c r="Y142" i="17" s="1"/>
  <c r="N90" i="17"/>
  <c r="M84" i="17"/>
  <c r="M20" i="17"/>
  <c r="M83" i="17"/>
  <c r="Q83" i="17" s="1"/>
  <c r="U83" i="17" s="1"/>
  <c r="N52" i="17"/>
  <c r="N65" i="17"/>
  <c r="M155" i="17"/>
  <c r="N184" i="17"/>
  <c r="R184" i="17" s="1"/>
  <c r="S184" i="17" s="1"/>
  <c r="N312" i="17"/>
  <c r="N235" i="17"/>
  <c r="M363" i="17"/>
  <c r="Q363" i="17" s="1"/>
  <c r="U363" i="17" s="1"/>
  <c r="N389" i="17"/>
  <c r="R389" i="17" s="1"/>
  <c r="S389" i="17" s="1"/>
  <c r="N517" i="17"/>
  <c r="M541" i="17"/>
  <c r="M219" i="17"/>
  <c r="X219" i="17" s="1"/>
  <c r="N158" i="17"/>
  <c r="N222" i="17"/>
  <c r="Y222" i="17" s="1"/>
  <c r="N286" i="17"/>
  <c r="R286" i="17" s="1"/>
  <c r="S286" i="17" s="1"/>
  <c r="M97" i="17"/>
  <c r="M17" i="17"/>
  <c r="N50" i="17"/>
  <c r="M96" i="17"/>
  <c r="M64" i="17"/>
  <c r="M32" i="17"/>
  <c r="Q32" i="17" s="1"/>
  <c r="U32" i="17" s="1"/>
  <c r="M159" i="17"/>
  <c r="M107" i="17"/>
  <c r="Q107" i="17" s="1"/>
  <c r="U107" i="17" s="1"/>
  <c r="M43" i="17"/>
  <c r="Q43" i="17" s="1"/>
  <c r="U43" i="17" s="1"/>
  <c r="N76" i="17"/>
  <c r="N109" i="17"/>
  <c r="N77" i="17"/>
  <c r="R77" i="17" s="1"/>
  <c r="S77" i="17" s="1"/>
  <c r="N45" i="17"/>
  <c r="R45" i="17" s="1"/>
  <c r="S45" i="17" s="1"/>
  <c r="N13" i="17"/>
  <c r="Y13" i="17" s="1"/>
  <c r="M173" i="17"/>
  <c r="N160" i="17"/>
  <c r="N224" i="17"/>
  <c r="R224" i="17" s="1"/>
  <c r="S224" i="17" s="1"/>
  <c r="N288" i="17"/>
  <c r="Y288" i="17" s="1"/>
  <c r="N147" i="17"/>
  <c r="N211" i="17"/>
  <c r="R211" i="17" s="1"/>
  <c r="S211" i="17" s="1"/>
  <c r="N275" i="17"/>
  <c r="R275" i="17" s="1"/>
  <c r="S275" i="17" s="1"/>
  <c r="M339" i="17"/>
  <c r="X339" i="17" s="1"/>
  <c r="M403" i="17"/>
  <c r="N365" i="17"/>
  <c r="N429" i="17"/>
  <c r="R429" i="17" s="1"/>
  <c r="S429" i="17" s="1"/>
  <c r="N493" i="17"/>
  <c r="R493" i="17" s="1"/>
  <c r="S493" i="17" s="1"/>
  <c r="M455" i="17"/>
  <c r="M520" i="17"/>
  <c r="Q520" i="17" s="1"/>
  <c r="U520" i="17" s="1"/>
  <c r="M532" i="17"/>
  <c r="N603" i="17"/>
  <c r="R603" i="17" s="1"/>
  <c r="S603" i="17" s="1"/>
  <c r="M121" i="17"/>
  <c r="N134" i="17"/>
  <c r="R134" i="17" s="1"/>
  <c r="S134" i="17" s="1"/>
  <c r="N198" i="17"/>
  <c r="N262" i="17"/>
  <c r="Y262" i="17" s="1"/>
  <c r="N121" i="17"/>
  <c r="N161" i="17"/>
  <c r="Y161" i="17" s="1"/>
  <c r="N193" i="17"/>
  <c r="N225" i="17"/>
  <c r="R225" i="17" s="1"/>
  <c r="S225" i="17" s="1"/>
  <c r="N257" i="17"/>
  <c r="R257" i="17" s="1"/>
  <c r="S257" i="17" s="1"/>
  <c r="N289" i="17"/>
  <c r="M321" i="17"/>
  <c r="Q321" i="17" s="1"/>
  <c r="U321" i="17" s="1"/>
  <c r="M377" i="17"/>
  <c r="X377" i="17" s="1"/>
  <c r="N339" i="17"/>
  <c r="Y339" i="17" s="1"/>
  <c r="N403" i="17"/>
  <c r="N467" i="17"/>
  <c r="R467" i="17" s="1"/>
  <c r="S467" i="17" s="1"/>
  <c r="M429" i="17"/>
  <c r="Q429" i="17" s="1"/>
  <c r="U429" i="17" s="1"/>
  <c r="M493" i="17"/>
  <c r="M566" i="17"/>
  <c r="Q566" i="17" s="1"/>
  <c r="U566" i="17" s="1"/>
  <c r="M551" i="17"/>
  <c r="M247" i="17"/>
  <c r="X247" i="17" s="1"/>
  <c r="M114" i="17"/>
  <c r="N74" i="17"/>
  <c r="N200" i="17"/>
  <c r="R200" i="17" s="1"/>
  <c r="S200" i="17" s="1"/>
  <c r="M85" i="17"/>
  <c r="N187" i="17"/>
  <c r="N405" i="17"/>
  <c r="M251" i="17"/>
  <c r="M60" i="17"/>
  <c r="N68" i="17"/>
  <c r="M189" i="17"/>
  <c r="Q189" i="17" s="1"/>
  <c r="U189" i="17" s="1"/>
  <c r="N283" i="17"/>
  <c r="R283" i="17" s="1"/>
  <c r="S283" i="17" s="1"/>
  <c r="N501" i="17"/>
  <c r="R501" i="17" s="1"/>
  <c r="S501" i="17" s="1"/>
  <c r="M137" i="17"/>
  <c r="N58" i="17"/>
  <c r="Y58" i="17" s="1"/>
  <c r="M52" i="17"/>
  <c r="X52" i="17" s="1"/>
  <c r="M626" i="17"/>
  <c r="N20" i="17"/>
  <c r="Y20" i="17" s="1"/>
  <c r="N33" i="17"/>
  <c r="N152" i="17"/>
  <c r="R152" i="17" s="1"/>
  <c r="S152" i="17" s="1"/>
  <c r="N139" i="17"/>
  <c r="N299" i="17"/>
  <c r="N357" i="17"/>
  <c r="M447" i="17"/>
  <c r="N569" i="17"/>
  <c r="N126" i="17"/>
  <c r="N238" i="17"/>
  <c r="N113" i="17"/>
  <c r="M33" i="17"/>
  <c r="N34" i="17"/>
  <c r="M80" i="17"/>
  <c r="M40" i="17"/>
  <c r="Q40" i="17" s="1"/>
  <c r="U40" i="17" s="1"/>
  <c r="M117" i="17"/>
  <c r="M75" i="17"/>
  <c r="Q75" i="17" s="1"/>
  <c r="U75" i="17" s="1"/>
  <c r="N92" i="17"/>
  <c r="R92" i="17" s="1"/>
  <c r="S92" i="17" s="1"/>
  <c r="N101" i="17"/>
  <c r="Y101" i="17" s="1"/>
  <c r="N61" i="17"/>
  <c r="N21" i="17"/>
  <c r="R21" i="17" s="1"/>
  <c r="S21" i="17" s="1"/>
  <c r="N112" i="17"/>
  <c r="N192" i="17"/>
  <c r="Y192" i="17" s="1"/>
  <c r="N272" i="17"/>
  <c r="R272" i="17" s="1"/>
  <c r="S272" i="17" s="1"/>
  <c r="N163" i="17"/>
  <c r="N243" i="17"/>
  <c r="M323" i="17"/>
  <c r="Q323" i="17" s="1"/>
  <c r="U323" i="17" s="1"/>
  <c r="N317" i="17"/>
  <c r="R317" i="17" s="1"/>
  <c r="S317" i="17" s="1"/>
  <c r="N397" i="17"/>
  <c r="N477" i="17"/>
  <c r="Y477" i="17" s="1"/>
  <c r="M471" i="17"/>
  <c r="Q471" i="17" s="1"/>
  <c r="U471" i="17" s="1"/>
  <c r="M554" i="17"/>
  <c r="M571" i="17"/>
  <c r="M153" i="17"/>
  <c r="Q153" i="17" s="1"/>
  <c r="U153" i="17" s="1"/>
  <c r="N166" i="17"/>
  <c r="R166" i="17" s="1"/>
  <c r="S166" i="17" s="1"/>
  <c r="N246" i="17"/>
  <c r="N137" i="17"/>
  <c r="N177" i="17"/>
  <c r="R177" i="17" s="1"/>
  <c r="S177" i="17" s="1"/>
  <c r="N217" i="17"/>
  <c r="R217" i="17" s="1"/>
  <c r="S217" i="17" s="1"/>
  <c r="N265" i="17"/>
  <c r="R265" i="17" s="1"/>
  <c r="S265" i="17" s="1"/>
  <c r="N305" i="17"/>
  <c r="M361" i="17"/>
  <c r="Q361" i="17" s="1"/>
  <c r="U361" i="17" s="1"/>
  <c r="N355" i="17"/>
  <c r="R355" i="17" s="1"/>
  <c r="S355" i="17" s="1"/>
  <c r="N435" i="17"/>
  <c r="N515" i="17"/>
  <c r="M509" i="17"/>
  <c r="M538" i="17"/>
  <c r="X538" i="17" s="1"/>
  <c r="M215" i="17"/>
  <c r="Q215" i="17" s="1"/>
  <c r="U215" i="17" s="1"/>
  <c r="M130" i="17"/>
  <c r="M194" i="17"/>
  <c r="Q194" i="17" s="1"/>
  <c r="U194" i="17" s="1"/>
  <c r="M258" i="17"/>
  <c r="N322" i="17"/>
  <c r="R322" i="17" s="1"/>
  <c r="S322" i="17" s="1"/>
  <c r="N386" i="17"/>
  <c r="Y386" i="17" s="1"/>
  <c r="M348" i="17"/>
  <c r="M412" i="17"/>
  <c r="M476" i="17"/>
  <c r="N438" i="17"/>
  <c r="R438" i="17" s="1"/>
  <c r="S438" i="17" s="1"/>
  <c r="N502" i="17"/>
  <c r="Y502" i="17" s="1"/>
  <c r="M584" i="17"/>
  <c r="Q584" i="17" s="1"/>
  <c r="N554" i="17"/>
  <c r="Y554" i="17" s="1"/>
  <c r="M599" i="17"/>
  <c r="Q599" i="17" s="1"/>
  <c r="U599" i="17" s="1"/>
  <c r="M589" i="17"/>
  <c r="Q589" i="17" s="1"/>
  <c r="U589" i="17" s="1"/>
  <c r="M221" i="17"/>
  <c r="Q221" i="17" s="1"/>
  <c r="U221" i="17" s="1"/>
  <c r="M285" i="17"/>
  <c r="M144" i="17"/>
  <c r="M264" i="17"/>
  <c r="N392" i="17"/>
  <c r="M418" i="17"/>
  <c r="Q418" i="17" s="1"/>
  <c r="U418" i="17" s="1"/>
  <c r="N444" i="17"/>
  <c r="N521" i="17"/>
  <c r="Y521" i="17" s="1"/>
  <c r="M597" i="17"/>
  <c r="X597" i="17" s="1"/>
  <c r="N552" i="17"/>
  <c r="Y552" i="17" s="1"/>
  <c r="M580" i="17"/>
  <c r="Q580" i="17" s="1"/>
  <c r="U580" i="17" s="1"/>
  <c r="N500" i="17"/>
  <c r="R500" i="17" s="1"/>
  <c r="S500" i="17" s="1"/>
  <c r="N436" i="17"/>
  <c r="R436" i="17" s="1"/>
  <c r="S436" i="17" s="1"/>
  <c r="M474" i="17"/>
  <c r="M410" i="17"/>
  <c r="M346" i="17"/>
  <c r="N384" i="17"/>
  <c r="Y384" i="17" s="1"/>
  <c r="N320" i="17"/>
  <c r="R320" i="17" s="1"/>
  <c r="S320" i="17" s="1"/>
  <c r="M256" i="17"/>
  <c r="M192" i="17"/>
  <c r="M140" i="17"/>
  <c r="Q140" i="17" s="1"/>
  <c r="U140" i="17" s="1"/>
  <c r="M313" i="17"/>
  <c r="X313" i="17" s="1"/>
  <c r="M281" i="17"/>
  <c r="M249" i="17"/>
  <c r="X249" i="17" s="1"/>
  <c r="M217" i="17"/>
  <c r="Q217" i="17" s="1"/>
  <c r="U217" i="17" s="1"/>
  <c r="N598" i="17"/>
  <c r="R598" i="17" s="1"/>
  <c r="S598" i="17" s="1"/>
  <c r="M585" i="17"/>
  <c r="Q585" i="17" s="1"/>
  <c r="U585" i="17" s="1"/>
  <c r="M553" i="17"/>
  <c r="M595" i="17"/>
  <c r="Q595" i="17" s="1"/>
  <c r="U595" i="17" s="1"/>
  <c r="N582" i="17"/>
  <c r="N550" i="17"/>
  <c r="N543" i="17"/>
  <c r="R543" i="17" s="1"/>
  <c r="S543" i="17" s="1"/>
  <c r="M576" i="17"/>
  <c r="X576" i="17" s="1"/>
  <c r="N528" i="17"/>
  <c r="N498" i="17"/>
  <c r="N466" i="17"/>
  <c r="N434" i="17"/>
  <c r="R434" i="17" s="1"/>
  <c r="S434" i="17" s="1"/>
  <c r="M504" i="17"/>
  <c r="M472" i="17"/>
  <c r="M440" i="17"/>
  <c r="M408" i="17"/>
  <c r="Q408" i="17" s="1"/>
  <c r="U408" i="17" s="1"/>
  <c r="M376" i="17"/>
  <c r="M344" i="17"/>
  <c r="Q344" i="17" s="1"/>
  <c r="U344" i="17" s="1"/>
  <c r="N414" i="17"/>
  <c r="R414" i="17" s="1"/>
  <c r="S414" i="17" s="1"/>
  <c r="N382" i="17"/>
  <c r="R382" i="17" s="1"/>
  <c r="S382" i="17" s="1"/>
  <c r="N350" i="17"/>
  <c r="Y350" i="17" s="1"/>
  <c r="N318" i="17"/>
  <c r="M286" i="17"/>
  <c r="Q286" i="17" s="1"/>
  <c r="U286" i="17" s="1"/>
  <c r="M254" i="17"/>
  <c r="M222" i="17"/>
  <c r="X222" i="17" s="1"/>
  <c r="M190" i="17"/>
  <c r="M158" i="17"/>
  <c r="Q158" i="17" s="1"/>
  <c r="U158" i="17" s="1"/>
  <c r="M126" i="17"/>
  <c r="M299" i="17"/>
  <c r="Q299" i="17" s="1"/>
  <c r="U299" i="17" s="1"/>
  <c r="M267" i="17"/>
  <c r="M207" i="17"/>
  <c r="Q207" i="17" s="1"/>
  <c r="U207" i="17" s="1"/>
  <c r="M575" i="17"/>
  <c r="N557" i="17"/>
  <c r="M590" i="17"/>
  <c r="M535" i="17"/>
  <c r="Q535" i="17" s="1"/>
  <c r="U535" i="17" s="1"/>
  <c r="M505" i="17"/>
  <c r="Q505" i="17" s="1"/>
  <c r="U505" i="17" s="1"/>
  <c r="M473" i="17"/>
  <c r="Q473" i="17" s="1"/>
  <c r="U473" i="17" s="1"/>
  <c r="M441" i="17"/>
  <c r="N511" i="17"/>
  <c r="N479" i="17"/>
  <c r="R479" i="17" s="1"/>
  <c r="S479" i="17" s="1"/>
  <c r="N447" i="17"/>
  <c r="N415" i="17"/>
  <c r="N383" i="17"/>
  <c r="R383" i="17" s="1"/>
  <c r="S383" i="17" s="1"/>
  <c r="N351" i="17"/>
  <c r="N319" i="17"/>
  <c r="M389" i="17"/>
  <c r="Q389" i="17" s="1"/>
  <c r="U389" i="17" s="1"/>
  <c r="M357" i="17"/>
  <c r="Q357" i="17" s="1"/>
  <c r="U357" i="17" s="1"/>
  <c r="N623" i="17"/>
  <c r="R623" i="17" s="1"/>
  <c r="S623" i="17" s="1"/>
  <c r="M61" i="17"/>
  <c r="M29" i="17"/>
  <c r="N94" i="17"/>
  <c r="N62" i="17"/>
  <c r="R62" i="17" s="1"/>
  <c r="S62" i="17" s="1"/>
  <c r="N30" i="17"/>
  <c r="R30" i="17" s="1"/>
  <c r="S30" i="17" s="1"/>
  <c r="M102" i="17"/>
  <c r="M86" i="17"/>
  <c r="M70" i="17"/>
  <c r="Q70" i="17" s="1"/>
  <c r="U70" i="17" s="1"/>
  <c r="M54" i="17"/>
  <c r="M38" i="17"/>
  <c r="Q38" i="17" s="1"/>
  <c r="U38" i="17" s="1"/>
  <c r="M22" i="17"/>
  <c r="Q22" i="17" s="1"/>
  <c r="M135" i="17"/>
  <c r="Q135" i="17" s="1"/>
  <c r="U135" i="17" s="1"/>
  <c r="M133" i="17"/>
  <c r="Q133" i="17" s="1"/>
  <c r="U133" i="17" s="1"/>
  <c r="M623" i="17"/>
  <c r="M87" i="17"/>
  <c r="Q87" i="17" s="1"/>
  <c r="U87" i="17" s="1"/>
  <c r="M55" i="17"/>
  <c r="X55" i="17" s="1"/>
  <c r="M23" i="17"/>
  <c r="X23" i="17" s="1"/>
  <c r="N88" i="17"/>
  <c r="R88" i="17" s="1"/>
  <c r="S88" i="17" s="1"/>
  <c r="N56" i="17"/>
  <c r="R56" i="17" s="1"/>
  <c r="S56" i="17" s="1"/>
  <c r="N24" i="17"/>
  <c r="Y24" i="17" s="1"/>
  <c r="M111" i="17"/>
  <c r="Q111" i="17" s="1"/>
  <c r="U111" i="17" s="1"/>
  <c r="M108" i="17"/>
  <c r="N136" i="17"/>
  <c r="Y136" i="17" s="1"/>
  <c r="M495" i="17"/>
  <c r="Q495" i="17" s="1"/>
  <c r="U495" i="17" s="1"/>
  <c r="N106" i="17"/>
  <c r="M35" i="17"/>
  <c r="N232" i="17"/>
  <c r="R232" i="17" s="1"/>
  <c r="S232" i="17" s="1"/>
  <c r="M411" i="17"/>
  <c r="Q411" i="17" s="1"/>
  <c r="U411" i="17" s="1"/>
  <c r="N600" i="17"/>
  <c r="N26" i="17"/>
  <c r="M143" i="17"/>
  <c r="N84" i="17"/>
  <c r="R84" i="17" s="1"/>
  <c r="S84" i="17" s="1"/>
  <c r="N17" i="17"/>
  <c r="R17" i="17" s="1"/>
  <c r="S17" i="17" s="1"/>
  <c r="N248" i="17"/>
  <c r="N267" i="17"/>
  <c r="R267" i="17" s="1"/>
  <c r="S267" i="17" s="1"/>
  <c r="N421" i="17"/>
  <c r="R421" i="17" s="1"/>
  <c r="S421" i="17" s="1"/>
  <c r="M511" i="17"/>
  <c r="M169" i="17"/>
  <c r="Q169" i="17" s="1"/>
  <c r="U169" i="17" s="1"/>
  <c r="N254" i="17"/>
  <c r="M65" i="17"/>
  <c r="X65" i="17" s="1"/>
  <c r="N66" i="17"/>
  <c r="R66" i="17" s="1"/>
  <c r="S66" i="17" s="1"/>
  <c r="M72" i="17"/>
  <c r="M16" i="17"/>
  <c r="Q16" i="17" s="1"/>
  <c r="U16" i="17" s="1"/>
  <c r="M91" i="17"/>
  <c r="Q91" i="17" s="1"/>
  <c r="U91" i="17" s="1"/>
  <c r="N60" i="17"/>
  <c r="Y60" i="17" s="1"/>
  <c r="N85" i="17"/>
  <c r="N29" i="17"/>
  <c r="R29" i="17" s="1"/>
  <c r="S29" i="17" s="1"/>
  <c r="N128" i="17"/>
  <c r="N240" i="17"/>
  <c r="Y240" i="17" s="1"/>
  <c r="N131" i="17"/>
  <c r="N259" i="17"/>
  <c r="R259" i="17" s="1"/>
  <c r="S259" i="17" s="1"/>
  <c r="M371" i="17"/>
  <c r="Q371" i="17" s="1"/>
  <c r="U371" i="17" s="1"/>
  <c r="N381" i="17"/>
  <c r="R381" i="17" s="1"/>
  <c r="S381" i="17" s="1"/>
  <c r="N509" i="17"/>
  <c r="R509" i="17" s="1"/>
  <c r="S509" i="17" s="1"/>
  <c r="M503" i="17"/>
  <c r="N585" i="17"/>
  <c r="R585" i="17" s="1"/>
  <c r="S585" i="17" s="1"/>
  <c r="M185" i="17"/>
  <c r="N214" i="17"/>
  <c r="R214" i="17" s="1"/>
  <c r="S214" i="17" s="1"/>
  <c r="N310" i="17"/>
  <c r="R310" i="17" s="1"/>
  <c r="S310" i="17" s="1"/>
  <c r="N185" i="17"/>
  <c r="N241" i="17"/>
  <c r="R241" i="17" s="1"/>
  <c r="S241" i="17" s="1"/>
  <c r="N297" i="17"/>
  <c r="R297" i="17" s="1"/>
  <c r="S297" i="17" s="1"/>
  <c r="M393" i="17"/>
  <c r="N387" i="17"/>
  <c r="N499" i="17"/>
  <c r="R499" i="17" s="1"/>
  <c r="S499" i="17" s="1"/>
  <c r="M523" i="17"/>
  <c r="M583" i="17"/>
  <c r="Q583" i="17" s="1"/>
  <c r="U583" i="17" s="1"/>
  <c r="M303" i="17"/>
  <c r="M210" i="17"/>
  <c r="X210" i="17" s="1"/>
  <c r="M290" i="17"/>
  <c r="N370" i="17"/>
  <c r="R370" i="17" s="1"/>
  <c r="S370" i="17" s="1"/>
  <c r="M364" i="17"/>
  <c r="Q364" i="17" s="1"/>
  <c r="U364" i="17" s="1"/>
  <c r="M444" i="17"/>
  <c r="N422" i="17"/>
  <c r="R422" i="17" s="1"/>
  <c r="S422" i="17" s="1"/>
  <c r="M518" i="17"/>
  <c r="Q518" i="17" s="1"/>
  <c r="U518" i="17" s="1"/>
  <c r="N551" i="17"/>
  <c r="R551" i="17" s="1"/>
  <c r="S551" i="17" s="1"/>
  <c r="M602" i="17"/>
  <c r="X602" i="17" s="1"/>
  <c r="N605" i="17"/>
  <c r="M253" i="17"/>
  <c r="Q253" i="17" s="1"/>
  <c r="U253" i="17" s="1"/>
  <c r="M128" i="17"/>
  <c r="Q128" i="17" s="1"/>
  <c r="U128" i="17" s="1"/>
  <c r="M296" i="17"/>
  <c r="M354" i="17"/>
  <c r="M514" i="17"/>
  <c r="Q514" i="17" s="1"/>
  <c r="U514" i="17" s="1"/>
  <c r="N563" i="17"/>
  <c r="Y563" i="17" s="1"/>
  <c r="N584" i="17"/>
  <c r="N529" i="17"/>
  <c r="N484" i="17"/>
  <c r="M506" i="17"/>
  <c r="M426" i="17"/>
  <c r="Q426" i="17" s="1"/>
  <c r="U426" i="17" s="1"/>
  <c r="M330" i="17"/>
  <c r="N352" i="17"/>
  <c r="M272" i="17"/>
  <c r="Q272" i="17" s="1"/>
  <c r="U272" i="17" s="1"/>
  <c r="M176" i="17"/>
  <c r="M124" i="17"/>
  <c r="Q124" i="17" s="1"/>
  <c r="U124" i="17" s="1"/>
  <c r="M289" i="17"/>
  <c r="M241" i="17"/>
  <c r="M201" i="17"/>
  <c r="Q201" i="17" s="1"/>
  <c r="U201" i="17" s="1"/>
  <c r="M593" i="17"/>
  <c r="M545" i="17"/>
  <c r="M598" i="17"/>
  <c r="N558" i="17"/>
  <c r="Y558" i="17" s="1"/>
  <c r="N535" i="17"/>
  <c r="M544" i="17"/>
  <c r="X544" i="17" s="1"/>
  <c r="N506" i="17"/>
  <c r="N458" i="17"/>
  <c r="R458" i="17" s="1"/>
  <c r="S458" i="17" s="1"/>
  <c r="N418" i="17"/>
  <c r="R418" i="17" s="1"/>
  <c r="S418" i="17" s="1"/>
  <c r="M480" i="17"/>
  <c r="M432" i="17"/>
  <c r="M392" i="17"/>
  <c r="Q392" i="17" s="1"/>
  <c r="U392" i="17" s="1"/>
  <c r="M352" i="17"/>
  <c r="N406" i="17"/>
  <c r="R406" i="17" s="1"/>
  <c r="S406" i="17" s="1"/>
  <c r="N366" i="17"/>
  <c r="Y366" i="17" s="1"/>
  <c r="N326" i="17"/>
  <c r="M278" i="17"/>
  <c r="M238" i="17"/>
  <c r="Q238" i="17" s="1"/>
  <c r="M198" i="17"/>
  <c r="M150" i="17"/>
  <c r="Q150" i="17" s="1"/>
  <c r="U150" i="17" s="1"/>
  <c r="M110" i="17"/>
  <c r="Q110" i="17" s="1"/>
  <c r="M275" i="17"/>
  <c r="N604" i="17"/>
  <c r="N593" i="17"/>
  <c r="M526" i="17"/>
  <c r="Q526" i="17" s="1"/>
  <c r="U526" i="17" s="1"/>
  <c r="M527" i="17"/>
  <c r="M489" i="17"/>
  <c r="M449" i="17"/>
  <c r="X449" i="17" s="1"/>
  <c r="N503" i="17"/>
  <c r="N463" i="17"/>
  <c r="N423" i="17"/>
  <c r="R423" i="17" s="1"/>
  <c r="S423" i="17" s="1"/>
  <c r="N375" i="17"/>
  <c r="Y375" i="17" s="1"/>
  <c r="N335" i="17"/>
  <c r="M397" i="17"/>
  <c r="Q397" i="17" s="1"/>
  <c r="U397" i="17" s="1"/>
  <c r="M349" i="17"/>
  <c r="M89" i="17"/>
  <c r="M37" i="17"/>
  <c r="N86" i="17"/>
  <c r="N46" i="17"/>
  <c r="R46" i="17" s="1"/>
  <c r="S46" i="17" s="1"/>
  <c r="M106" i="17"/>
  <c r="M82" i="17"/>
  <c r="M62" i="17"/>
  <c r="Q62" i="17" s="1"/>
  <c r="U62" i="17" s="1"/>
  <c r="M42" i="17"/>
  <c r="Q42" i="17" s="1"/>
  <c r="U42" i="17" s="1"/>
  <c r="M18" i="17"/>
  <c r="Q18" i="17" s="1"/>
  <c r="M167" i="17"/>
  <c r="M77" i="17"/>
  <c r="Q77" i="17" s="1"/>
  <c r="U77" i="17" s="1"/>
  <c r="M79" i="17"/>
  <c r="Q79" i="17" s="1"/>
  <c r="U79" i="17" s="1"/>
  <c r="M39" i="17"/>
  <c r="Q39" i="17" s="1"/>
  <c r="U39" i="17" s="1"/>
  <c r="N96" i="17"/>
  <c r="R96" i="17" s="1"/>
  <c r="S96" i="17" s="1"/>
  <c r="N48" i="17"/>
  <c r="R48" i="17" s="1"/>
  <c r="S48" i="17" s="1"/>
  <c r="N107" i="17"/>
  <c r="R107" i="17" s="1"/>
  <c r="S107" i="17" s="1"/>
  <c r="N91" i="17"/>
  <c r="Y91" i="17" s="1"/>
  <c r="N75" i="17"/>
  <c r="N59" i="17"/>
  <c r="R59" i="17" s="1"/>
  <c r="S59" i="17" s="1"/>
  <c r="N43" i="17"/>
  <c r="R43" i="17" s="1"/>
  <c r="S43" i="17" s="1"/>
  <c r="N27" i="17"/>
  <c r="R27" i="17" s="1"/>
  <c r="S27" i="17" s="1"/>
  <c r="M115" i="17"/>
  <c r="M183" i="17"/>
  <c r="Q183" i="17" s="1"/>
  <c r="U183" i="17" s="1"/>
  <c r="M181" i="17"/>
  <c r="X181" i="17" s="1"/>
  <c r="N132" i="17"/>
  <c r="N164" i="17"/>
  <c r="R164" i="17" s="1"/>
  <c r="S164" i="17" s="1"/>
  <c r="N196" i="17"/>
  <c r="N228" i="17"/>
  <c r="R228" i="17" s="1"/>
  <c r="S228" i="17" s="1"/>
  <c r="N260" i="17"/>
  <c r="Y260" i="17" s="1"/>
  <c r="N292" i="17"/>
  <c r="N119" i="17"/>
  <c r="N151" i="17"/>
  <c r="R151" i="17" s="1"/>
  <c r="S151" i="17" s="1"/>
  <c r="N183" i="17"/>
  <c r="Y183" i="17" s="1"/>
  <c r="N215" i="17"/>
  <c r="N247" i="17"/>
  <c r="R247" i="17" s="1"/>
  <c r="S247" i="17" s="1"/>
  <c r="N279" i="17"/>
  <c r="R279" i="17" s="1"/>
  <c r="S279" i="17" s="1"/>
  <c r="N311" i="17"/>
  <c r="Y311" i="17" s="1"/>
  <c r="M343" i="17"/>
  <c r="Q343" i="17" s="1"/>
  <c r="U343" i="17" s="1"/>
  <c r="M375" i="17"/>
  <c r="M407" i="17"/>
  <c r="Q407" i="17" s="1"/>
  <c r="U407" i="17" s="1"/>
  <c r="N337" i="17"/>
  <c r="R337" i="17" s="1"/>
  <c r="S337" i="17" s="1"/>
  <c r="N369" i="17"/>
  <c r="R369" i="17" s="1"/>
  <c r="S369" i="17" s="1"/>
  <c r="N401" i="17"/>
  <c r="N433" i="17"/>
  <c r="R433" i="17" s="1"/>
  <c r="S433" i="17" s="1"/>
  <c r="N465" i="17"/>
  <c r="N497" i="17"/>
  <c r="M427" i="17"/>
  <c r="Q427" i="17" s="1"/>
  <c r="U427" i="17" s="1"/>
  <c r="M459" i="17"/>
  <c r="M491" i="17"/>
  <c r="Q491" i="17" s="1"/>
  <c r="U491" i="17" s="1"/>
  <c r="M521" i="17"/>
  <c r="M562" i="17"/>
  <c r="Q562" i="17" s="1"/>
  <c r="U562" i="17" s="1"/>
  <c r="M536" i="17"/>
  <c r="Q536" i="17" s="1"/>
  <c r="U536" i="17" s="1"/>
  <c r="M547" i="17"/>
  <c r="N611" i="17"/>
  <c r="R611" i="17" s="1"/>
  <c r="S611" i="17" s="1"/>
  <c r="M243" i="17"/>
  <c r="X243" i="17" s="1"/>
  <c r="M129" i="17"/>
  <c r="X129" i="17" s="1"/>
  <c r="M193" i="17"/>
  <c r="X193" i="17" s="1"/>
  <c r="N138" i="17"/>
  <c r="R138" i="17" s="1"/>
  <c r="S138" i="17" s="1"/>
  <c r="N170" i="17"/>
  <c r="R170" i="17" s="1"/>
  <c r="S170" i="17" s="1"/>
  <c r="N202" i="17"/>
  <c r="N234" i="17"/>
  <c r="R234" i="17" s="1"/>
  <c r="S234" i="17" s="1"/>
  <c r="N266" i="17"/>
  <c r="N298" i="17"/>
  <c r="R298" i="17" s="1"/>
  <c r="S298" i="17" s="1"/>
  <c r="N125" i="17"/>
  <c r="N157" i="17"/>
  <c r="R157" i="17" s="1"/>
  <c r="S157" i="17" s="1"/>
  <c r="N189" i="17"/>
  <c r="N221" i="17"/>
  <c r="N253" i="17"/>
  <c r="Y253" i="17" s="1"/>
  <c r="N285" i="17"/>
  <c r="R285" i="17" s="1"/>
  <c r="S285" i="17" s="1"/>
  <c r="M317" i="17"/>
  <c r="Q317" i="17" s="1"/>
  <c r="U317" i="17" s="1"/>
  <c r="M369" i="17"/>
  <c r="Q369" i="17" s="1"/>
  <c r="U369" i="17" s="1"/>
  <c r="N331" i="17"/>
  <c r="R331" i="17" s="1"/>
  <c r="S331" i="17" s="1"/>
  <c r="N395" i="17"/>
  <c r="N459" i="17"/>
  <c r="R459" i="17" s="1"/>
  <c r="S459" i="17" s="1"/>
  <c r="M421" i="17"/>
  <c r="Q421" i="17" s="1"/>
  <c r="U421" i="17" s="1"/>
  <c r="M485" i="17"/>
  <c r="X485" i="17" s="1"/>
  <c r="M550" i="17"/>
  <c r="X550" i="17" s="1"/>
  <c r="N581" i="17"/>
  <c r="M231" i="17"/>
  <c r="Q231" i="17" s="1"/>
  <c r="U231" i="17" s="1"/>
  <c r="M311" i="17"/>
  <c r="Q311" i="17" s="1"/>
  <c r="U311" i="17" s="1"/>
  <c r="M170" i="17"/>
  <c r="M234" i="17"/>
  <c r="M298" i="17"/>
  <c r="Q298" i="17" s="1"/>
  <c r="U298" i="17" s="1"/>
  <c r="N362" i="17"/>
  <c r="R362" i="17" s="1"/>
  <c r="S362" i="17" s="1"/>
  <c r="M324" i="17"/>
  <c r="M388" i="17"/>
  <c r="Q388" i="17" s="1"/>
  <c r="U388" i="17" s="1"/>
  <c r="M452" i="17"/>
  <c r="Q452" i="17" s="1"/>
  <c r="U452" i="17" s="1"/>
  <c r="M516" i="17"/>
  <c r="N478" i="17"/>
  <c r="N540" i="17"/>
  <c r="N567" i="17"/>
  <c r="Y567" i="17" s="1"/>
  <c r="N594" i="17"/>
  <c r="R594" i="17" s="1"/>
  <c r="S594" i="17" s="1"/>
  <c r="M565" i="17"/>
  <c r="N610" i="17"/>
  <c r="M261" i="17"/>
  <c r="Q261" i="17" s="1"/>
  <c r="U261" i="17" s="1"/>
  <c r="M120" i="17"/>
  <c r="Q120" i="17" s="1"/>
  <c r="U120" i="17" s="1"/>
  <c r="M216" i="17"/>
  <c r="X216" i="17" s="1"/>
  <c r="N344" i="17"/>
  <c r="M370" i="17"/>
  <c r="M498" i="17"/>
  <c r="N522" i="17"/>
  <c r="R522" i="17" s="1"/>
  <c r="S522" i="17" s="1"/>
  <c r="N576" i="17"/>
  <c r="R576" i="17" s="1"/>
  <c r="S576" i="17" s="1"/>
  <c r="M164" i="17"/>
  <c r="Q164" i="17" s="1"/>
  <c r="U164" i="17" s="1"/>
  <c r="M196" i="17"/>
  <c r="Q196" i="17" s="1"/>
  <c r="U196" i="17" s="1"/>
  <c r="M228" i="17"/>
  <c r="M260" i="17"/>
  <c r="Q260" i="17" s="1"/>
  <c r="U260" i="17" s="1"/>
  <c r="M292" i="17"/>
  <c r="Q292" i="17" s="1"/>
  <c r="U292" i="17" s="1"/>
  <c r="N324" i="17"/>
  <c r="N356" i="17"/>
  <c r="N388" i="17"/>
  <c r="M318" i="17"/>
  <c r="Q318" i="17" s="1"/>
  <c r="U318" i="17" s="1"/>
  <c r="M350" i="17"/>
  <c r="Q350" i="17" s="1"/>
  <c r="U350" i="17" s="1"/>
  <c r="M382" i="17"/>
  <c r="M414" i="17"/>
  <c r="Q414" i="17" s="1"/>
  <c r="U414" i="17" s="1"/>
  <c r="M446" i="17"/>
  <c r="Q446" i="17" s="1"/>
  <c r="U446" i="17" s="1"/>
  <c r="M478" i="17"/>
  <c r="Q478" i="17" s="1"/>
  <c r="U478" i="17" s="1"/>
  <c r="M510" i="17"/>
  <c r="N440" i="17"/>
  <c r="N472" i="17"/>
  <c r="N504" i="17"/>
  <c r="R504" i="17" s="1"/>
  <c r="S504" i="17" s="1"/>
  <c r="N534" i="17"/>
  <c r="M588" i="17"/>
  <c r="N555" i="17"/>
  <c r="R555" i="17" s="1"/>
  <c r="S555" i="17" s="1"/>
  <c r="N556" i="17"/>
  <c r="R556" i="17" s="1"/>
  <c r="S556" i="17" s="1"/>
  <c r="N588" i="17"/>
  <c r="M601" i="17"/>
  <c r="Q601" i="17" s="1"/>
  <c r="U601" i="17" s="1"/>
  <c r="N36" i="17"/>
  <c r="M44" i="17"/>
  <c r="X44" i="17" s="1"/>
  <c r="N341" i="17"/>
  <c r="R341" i="17" s="1"/>
  <c r="S341" i="17" s="1"/>
  <c r="M431" i="17"/>
  <c r="N42" i="17"/>
  <c r="N105" i="17"/>
  <c r="N296" i="17"/>
  <c r="R296" i="17" s="1"/>
  <c r="S296" i="17" s="1"/>
  <c r="N437" i="17"/>
  <c r="R437" i="17" s="1"/>
  <c r="S437" i="17" s="1"/>
  <c r="M622" i="17"/>
  <c r="M100" i="17"/>
  <c r="N626" i="17"/>
  <c r="N97" i="17"/>
  <c r="M157" i="17"/>
  <c r="X157" i="17" s="1"/>
  <c r="N280" i="17"/>
  <c r="R280" i="17" s="1"/>
  <c r="S280" i="17" s="1"/>
  <c r="M331" i="17"/>
  <c r="N453" i="17"/>
  <c r="M524" i="17"/>
  <c r="N174" i="17"/>
  <c r="Y174" i="17" s="1"/>
  <c r="N270" i="17"/>
  <c r="Y270" i="17" s="1"/>
  <c r="M49" i="17"/>
  <c r="N18" i="17"/>
  <c r="R18" i="17" s="1"/>
  <c r="S18" i="17" s="1"/>
  <c r="M56" i="17"/>
  <c r="Q56" i="17" s="1"/>
  <c r="U56" i="17" s="1"/>
  <c r="M127" i="17"/>
  <c r="X127" i="17" s="1"/>
  <c r="M59" i="17"/>
  <c r="Q59" i="17" s="1"/>
  <c r="U59" i="17" s="1"/>
  <c r="N44" i="17"/>
  <c r="N69" i="17"/>
  <c r="Y69" i="17" s="1"/>
  <c r="M139" i="17"/>
  <c r="X139" i="17" s="1"/>
  <c r="N144" i="17"/>
  <c r="R144" i="17" s="1"/>
  <c r="S144" i="17" s="1"/>
  <c r="N256" i="17"/>
  <c r="N179" i="17"/>
  <c r="N291" i="17"/>
  <c r="M387" i="17"/>
  <c r="Q387" i="17" s="1"/>
  <c r="U387" i="17" s="1"/>
  <c r="N413" i="17"/>
  <c r="M423" i="17"/>
  <c r="Q423" i="17" s="1"/>
  <c r="U423" i="17" s="1"/>
  <c r="M533" i="17"/>
  <c r="Q533" i="17" s="1"/>
  <c r="U533" i="17" s="1"/>
  <c r="M203" i="17"/>
  <c r="Q203" i="17" s="1"/>
  <c r="U203" i="17" s="1"/>
  <c r="N118" i="17"/>
  <c r="R118" i="17" s="1"/>
  <c r="S118" i="17" s="1"/>
  <c r="N230" i="17"/>
  <c r="R230" i="17" s="1"/>
  <c r="S230" i="17" s="1"/>
  <c r="N145" i="17"/>
  <c r="N201" i="17"/>
  <c r="R201" i="17" s="1"/>
  <c r="S201" i="17" s="1"/>
  <c r="N249" i="17"/>
  <c r="N313" i="17"/>
  <c r="M409" i="17"/>
  <c r="N419" i="17"/>
  <c r="R419" i="17" s="1"/>
  <c r="S419" i="17" s="1"/>
  <c r="M445" i="17"/>
  <c r="X445" i="17" s="1"/>
  <c r="M539" i="17"/>
  <c r="Q539" i="17" s="1"/>
  <c r="U539" i="17" s="1"/>
  <c r="N596" i="17"/>
  <c r="R596" i="17" s="1"/>
  <c r="S596" i="17" s="1"/>
  <c r="M146" i="17"/>
  <c r="M226" i="17"/>
  <c r="M306" i="17"/>
  <c r="Q306" i="17" s="1"/>
  <c r="U306" i="17" s="1"/>
  <c r="N402" i="17"/>
  <c r="Y402" i="17" s="1"/>
  <c r="M380" i="17"/>
  <c r="Q380" i="17" s="1"/>
  <c r="U380" i="17" s="1"/>
  <c r="M460" i="17"/>
  <c r="Q460" i="17" s="1"/>
  <c r="U460" i="17" s="1"/>
  <c r="N454" i="17"/>
  <c r="R454" i="17" s="1"/>
  <c r="S454" i="17" s="1"/>
  <c r="N532" i="17"/>
  <c r="R532" i="17" s="1"/>
  <c r="S532" i="17" s="1"/>
  <c r="N583" i="17"/>
  <c r="N589" i="17"/>
  <c r="R589" i="17" s="1"/>
  <c r="S589" i="17" s="1"/>
  <c r="N602" i="17"/>
  <c r="Y602" i="17" s="1"/>
  <c r="M269" i="17"/>
  <c r="X269" i="17" s="1"/>
  <c r="M168" i="17"/>
  <c r="N328" i="17"/>
  <c r="Y328" i="17" s="1"/>
  <c r="M386" i="17"/>
  <c r="Q386" i="17" s="1"/>
  <c r="U386" i="17" s="1"/>
  <c r="N476" i="17"/>
  <c r="N560" i="17"/>
  <c r="N568" i="17"/>
  <c r="R568" i="17" s="1"/>
  <c r="S568" i="17" s="1"/>
  <c r="M548" i="17"/>
  <c r="Q548" i="17" s="1"/>
  <c r="U548" i="17" s="1"/>
  <c r="N468" i="17"/>
  <c r="M490" i="17"/>
  <c r="Q490" i="17" s="1"/>
  <c r="U490" i="17" s="1"/>
  <c r="M394" i="17"/>
  <c r="Q394" i="17" s="1"/>
  <c r="U394" i="17" s="1"/>
  <c r="N416" i="17"/>
  <c r="N336" i="17"/>
  <c r="M240" i="17"/>
  <c r="Q240" i="17" s="1"/>
  <c r="U240" i="17" s="1"/>
  <c r="M160" i="17"/>
  <c r="X160" i="17" s="1"/>
  <c r="M116" i="17"/>
  <c r="Q116" i="17" s="1"/>
  <c r="U116" i="17" s="1"/>
  <c r="M273" i="17"/>
  <c r="M233" i="17"/>
  <c r="Q233" i="17" s="1"/>
  <c r="U233" i="17" s="1"/>
  <c r="N606" i="17"/>
  <c r="R606" i="17" s="1"/>
  <c r="S606" i="17" s="1"/>
  <c r="M577" i="17"/>
  <c r="Q577" i="17" s="1"/>
  <c r="U577" i="17" s="1"/>
  <c r="M611" i="17"/>
  <c r="X611" i="17" s="1"/>
  <c r="N590" i="17"/>
  <c r="R590" i="17" s="1"/>
  <c r="S590" i="17" s="1"/>
  <c r="N591" i="17"/>
  <c r="N527" i="17"/>
  <c r="Y527" i="17" s="1"/>
  <c r="N536" i="17"/>
  <c r="Y536" i="17" s="1"/>
  <c r="N490" i="17"/>
  <c r="N450" i="17"/>
  <c r="R450" i="17" s="1"/>
  <c r="S450" i="17" s="1"/>
  <c r="M512" i="17"/>
  <c r="M464" i="17"/>
  <c r="M424" i="17"/>
  <c r="Q424" i="17" s="1"/>
  <c r="U424" i="17" s="1"/>
  <c r="M384" i="17"/>
  <c r="Q384" i="17" s="1"/>
  <c r="U384" i="17" s="1"/>
  <c r="M336" i="17"/>
  <c r="X336" i="17" s="1"/>
  <c r="N398" i="17"/>
  <c r="Y398" i="17" s="1"/>
  <c r="N358" i="17"/>
  <c r="M310" i="17"/>
  <c r="X310" i="17" s="1"/>
  <c r="M270" i="17"/>
  <c r="X270" i="17" s="1"/>
  <c r="M230" i="17"/>
  <c r="Q230" i="17" s="1"/>
  <c r="U230" i="17" s="1"/>
  <c r="M182" i="17"/>
  <c r="Q182" i="17" s="1"/>
  <c r="U182" i="17" s="1"/>
  <c r="M142" i="17"/>
  <c r="M307" i="17"/>
  <c r="Q307" i="17" s="1"/>
  <c r="U307" i="17" s="1"/>
  <c r="M255" i="17"/>
  <c r="Q255" i="17" s="1"/>
  <c r="U255" i="17" s="1"/>
  <c r="N607" i="17"/>
  <c r="R607" i="17" s="1"/>
  <c r="S607" i="17" s="1"/>
  <c r="N573" i="17"/>
  <c r="M574" i="17"/>
  <c r="Q574" i="17" s="1"/>
  <c r="U574" i="17" s="1"/>
  <c r="M519" i="17"/>
  <c r="M604" i="17"/>
  <c r="Q604" i="17" s="1"/>
  <c r="U604" i="17" s="1"/>
  <c r="N564" i="17"/>
  <c r="R564" i="17" s="1"/>
  <c r="S564" i="17" s="1"/>
  <c r="N541" i="17"/>
  <c r="M556" i="17"/>
  <c r="N512" i="17"/>
  <c r="N464" i="17"/>
  <c r="Y464" i="17" s="1"/>
  <c r="N424" i="17"/>
  <c r="R424" i="17" s="1"/>
  <c r="S424" i="17" s="1"/>
  <c r="M486" i="17"/>
  <c r="M438" i="17"/>
  <c r="Q438" i="17" s="1"/>
  <c r="U438" i="17" s="1"/>
  <c r="M398" i="17"/>
  <c r="M358" i="17"/>
  <c r="N412" i="17"/>
  <c r="R412" i="17" s="1"/>
  <c r="S412" i="17" s="1"/>
  <c r="N372" i="17"/>
  <c r="N332" i="17"/>
  <c r="R332" i="17" s="1"/>
  <c r="S332" i="17" s="1"/>
  <c r="M284" i="17"/>
  <c r="M244" i="17"/>
  <c r="Q244" i="17" s="1"/>
  <c r="U244" i="17" s="1"/>
  <c r="M204" i="17"/>
  <c r="M156" i="17"/>
  <c r="Q156" i="17" s="1"/>
  <c r="U156" i="17" s="1"/>
  <c r="N537" i="17"/>
  <c r="Y537" i="17" s="1"/>
  <c r="N428" i="17"/>
  <c r="M338" i="17"/>
  <c r="M280" i="17"/>
  <c r="Q280" i="17" s="1"/>
  <c r="U280" i="17" s="1"/>
  <c r="M136" i="17"/>
  <c r="M245" i="17"/>
  <c r="N597" i="17"/>
  <c r="M610" i="17"/>
  <c r="N539" i="17"/>
  <c r="N510" i="17"/>
  <c r="N430" i="17"/>
  <c r="M436" i="17"/>
  <c r="M356" i="17"/>
  <c r="Q356" i="17" s="1"/>
  <c r="U356" i="17" s="1"/>
  <c r="N378" i="17"/>
  <c r="Y378" i="17" s="1"/>
  <c r="M282" i="17"/>
  <c r="Q282" i="17" s="1"/>
  <c r="U282" i="17" s="1"/>
  <c r="M202" i="17"/>
  <c r="X202" i="17" s="1"/>
  <c r="M122" i="17"/>
  <c r="Q122" i="17" s="1"/>
  <c r="U122" i="17" s="1"/>
  <c r="N612" i="17"/>
  <c r="Y612" i="17" s="1"/>
  <c r="M530" i="17"/>
  <c r="M501" i="17"/>
  <c r="Q501" i="17" s="1"/>
  <c r="U501" i="17" s="1"/>
  <c r="N507" i="17"/>
  <c r="R507" i="17" s="1"/>
  <c r="S507" i="17" s="1"/>
  <c r="N427" i="17"/>
  <c r="R427" i="17" s="1"/>
  <c r="S427" i="17" s="1"/>
  <c r="N347" i="17"/>
  <c r="M353" i="17"/>
  <c r="N301" i="17"/>
  <c r="Y301" i="17" s="1"/>
  <c r="N261" i="17"/>
  <c r="R261" i="17" s="1"/>
  <c r="S261" i="17" s="1"/>
  <c r="N213" i="17"/>
  <c r="Y213" i="17" s="1"/>
  <c r="N173" i="17"/>
  <c r="N133" i="17"/>
  <c r="N290" i="17"/>
  <c r="Y290" i="17" s="1"/>
  <c r="N250" i="17"/>
  <c r="N210" i="17"/>
  <c r="N162" i="17"/>
  <c r="Y162" i="17" s="1"/>
  <c r="N122" i="17"/>
  <c r="Y122" i="17" s="1"/>
  <c r="M145" i="17"/>
  <c r="Q145" i="17" s="1"/>
  <c r="U145" i="17" s="1"/>
  <c r="M227" i="17"/>
  <c r="M579" i="17"/>
  <c r="Q579" i="17" s="1"/>
  <c r="U579" i="17" s="1"/>
  <c r="N545" i="17"/>
  <c r="R545" i="17" s="1"/>
  <c r="S545" i="17" s="1"/>
  <c r="M546" i="17"/>
  <c r="M507" i="17"/>
  <c r="Q507" i="17" s="1"/>
  <c r="U507" i="17" s="1"/>
  <c r="M467" i="17"/>
  <c r="X467" i="17" s="1"/>
  <c r="M419" i="17"/>
  <c r="X419" i="17" s="1"/>
  <c r="N481" i="17"/>
  <c r="R481" i="17" s="1"/>
  <c r="S481" i="17" s="1"/>
  <c r="N441" i="17"/>
  <c r="N393" i="17"/>
  <c r="R393" i="17" s="1"/>
  <c r="S393" i="17" s="1"/>
  <c r="N353" i="17"/>
  <c r="Y353" i="17" s="1"/>
  <c r="M415" i="17"/>
  <c r="M367" i="17"/>
  <c r="Q367" i="17" s="1"/>
  <c r="U367" i="17" s="1"/>
  <c r="M327" i="17"/>
  <c r="Q327" i="17" s="1"/>
  <c r="U327" i="17" s="1"/>
  <c r="N287" i="17"/>
  <c r="Y287" i="17" s="1"/>
  <c r="N239" i="17"/>
  <c r="N199" i="17"/>
  <c r="R199" i="17" s="1"/>
  <c r="S199" i="17" s="1"/>
  <c r="N159" i="17"/>
  <c r="N111" i="17"/>
  <c r="Y111" i="17" s="1"/>
  <c r="N276" i="17"/>
  <c r="R276" i="17" s="1"/>
  <c r="S276" i="17" s="1"/>
  <c r="N236" i="17"/>
  <c r="N188" i="17"/>
  <c r="R188" i="17" s="1"/>
  <c r="S188" i="17" s="1"/>
  <c r="N148" i="17"/>
  <c r="M197" i="17"/>
  <c r="M163" i="17"/>
  <c r="Q163" i="17" s="1"/>
  <c r="U163" i="17" s="1"/>
  <c r="N19" i="17"/>
  <c r="R19" i="17" s="1"/>
  <c r="S19" i="17" s="1"/>
  <c r="N39" i="17"/>
  <c r="R39" i="17" s="1"/>
  <c r="S39" i="17" s="1"/>
  <c r="N63" i="17"/>
  <c r="N83" i="17"/>
  <c r="R83" i="17" s="1"/>
  <c r="S83" i="17" s="1"/>
  <c r="N103" i="17"/>
  <c r="R103" i="17" s="1"/>
  <c r="S103" i="17" s="1"/>
  <c r="N64" i="17"/>
  <c r="M15" i="17"/>
  <c r="M71" i="17"/>
  <c r="Q71" i="17" s="1"/>
  <c r="U71" i="17" s="1"/>
  <c r="M93" i="17"/>
  <c r="X93" i="17" s="1"/>
  <c r="M119" i="17"/>
  <c r="X119" i="17" s="1"/>
  <c r="M34" i="17"/>
  <c r="M66" i="17"/>
  <c r="M94" i="17"/>
  <c r="X94" i="17" s="1"/>
  <c r="N38" i="17"/>
  <c r="Y38" i="17" s="1"/>
  <c r="N102" i="17"/>
  <c r="M53" i="17"/>
  <c r="Q53" i="17" s="1"/>
  <c r="U53" i="17" s="1"/>
  <c r="M341" i="17"/>
  <c r="M405" i="17"/>
  <c r="X405" i="17" s="1"/>
  <c r="N359" i="17"/>
  <c r="N407" i="17"/>
  <c r="R407" i="17" s="1"/>
  <c r="S407" i="17" s="1"/>
  <c r="N471" i="17"/>
  <c r="R471" i="17" s="1"/>
  <c r="S471" i="17" s="1"/>
  <c r="M425" i="17"/>
  <c r="X425" i="17" s="1"/>
  <c r="M481" i="17"/>
  <c r="M558" i="17"/>
  <c r="M591" i="17"/>
  <c r="Q591" i="17" s="1"/>
  <c r="U591" i="17" s="1"/>
  <c r="M291" i="17"/>
  <c r="Q291" i="17" s="1"/>
  <c r="U291" i="17" s="1"/>
  <c r="M174" i="17"/>
  <c r="M262" i="17"/>
  <c r="X262" i="17" s="1"/>
  <c r="N342" i="17"/>
  <c r="R342" i="17" s="1"/>
  <c r="S342" i="17" s="1"/>
  <c r="M328" i="17"/>
  <c r="M416" i="17"/>
  <c r="Q416" i="17" s="1"/>
  <c r="U416" i="17" s="1"/>
  <c r="M496" i="17"/>
  <c r="N482" i="17"/>
  <c r="R482" i="17" s="1"/>
  <c r="S482" i="17" s="1"/>
  <c r="M592" i="17"/>
  <c r="Q592" i="17" s="1"/>
  <c r="U592" i="17" s="1"/>
  <c r="N574" i="17"/>
  <c r="M569" i="17"/>
  <c r="M225" i="17"/>
  <c r="Q225" i="17" s="1"/>
  <c r="U225" i="17" s="1"/>
  <c r="M305" i="17"/>
  <c r="M224" i="17"/>
  <c r="N400" i="17"/>
  <c r="Y400" i="17" s="1"/>
  <c r="M458" i="17"/>
  <c r="X458" i="17" s="1"/>
  <c r="N530" i="17"/>
  <c r="M613" i="17"/>
  <c r="Q613" i="17" s="1"/>
  <c r="M450" i="17"/>
  <c r="M200" i="17"/>
  <c r="X200" i="17" s="1"/>
  <c r="M205" i="17"/>
  <c r="N570" i="17"/>
  <c r="N470" i="17"/>
  <c r="Y470" i="17" s="1"/>
  <c r="M396" i="17"/>
  <c r="Q396" i="17" s="1"/>
  <c r="U396" i="17" s="1"/>
  <c r="N338" i="17"/>
  <c r="R338" i="17" s="1"/>
  <c r="S338" i="17" s="1"/>
  <c r="M162" i="17"/>
  <c r="X162" i="17" s="1"/>
  <c r="M522" i="17"/>
  <c r="N451" i="17"/>
  <c r="R451" i="17" s="1"/>
  <c r="S451" i="17" s="1"/>
  <c r="M329" i="17"/>
  <c r="Q329" i="17" s="1"/>
  <c r="U329" i="17" s="1"/>
  <c r="N209" i="17"/>
  <c r="N278" i="17"/>
  <c r="R278" i="17" s="1"/>
  <c r="S278" i="17" s="1"/>
  <c r="M235" i="17"/>
  <c r="Q235" i="17" s="1"/>
  <c r="U235" i="17" s="1"/>
  <c r="M439" i="17"/>
  <c r="Q439" i="17" s="1"/>
  <c r="U439" i="17" s="1"/>
  <c r="N333" i="17"/>
  <c r="Y333" i="17" s="1"/>
  <c r="N195" i="17"/>
  <c r="Y195" i="17" s="1"/>
  <c r="N176" i="17"/>
  <c r="N53" i="17"/>
  <c r="R53" i="17" s="1"/>
  <c r="S53" i="17" s="1"/>
  <c r="M27" i="17"/>
  <c r="M48" i="17"/>
  <c r="X48" i="17" s="1"/>
  <c r="N98" i="17"/>
  <c r="R98" i="17" s="1"/>
  <c r="S98" i="17" s="1"/>
  <c r="N190" i="17"/>
  <c r="N485" i="17"/>
  <c r="R485" i="17" s="1"/>
  <c r="S485" i="17" s="1"/>
  <c r="N171" i="17"/>
  <c r="R171" i="17" s="1"/>
  <c r="S171" i="17" s="1"/>
  <c r="N81" i="17"/>
  <c r="R81" i="17" s="1"/>
  <c r="S81" i="17" s="1"/>
  <c r="M68" i="17"/>
  <c r="Q68" i="17" s="1"/>
  <c r="U68" i="17" s="1"/>
  <c r="M463" i="17"/>
  <c r="N41" i="17"/>
  <c r="M570" i="17"/>
  <c r="Q570" i="17" s="1"/>
  <c r="U570" i="17" s="1"/>
  <c r="N89" i="17"/>
  <c r="R89" i="17" s="1"/>
  <c r="S89" i="17" s="1"/>
  <c r="M67" i="17"/>
  <c r="M596" i="17"/>
  <c r="N548" i="17"/>
  <c r="R548" i="17" s="1"/>
  <c r="S548" i="17" s="1"/>
  <c r="N533" i="17"/>
  <c r="N542" i="17"/>
  <c r="R542" i="17" s="1"/>
  <c r="S542" i="17" s="1"/>
  <c r="N496" i="17"/>
  <c r="Y496" i="17" s="1"/>
  <c r="N456" i="17"/>
  <c r="N519" i="17"/>
  <c r="R519" i="17" s="1"/>
  <c r="S519" i="17" s="1"/>
  <c r="M470" i="17"/>
  <c r="M430" i="17"/>
  <c r="X430" i="17" s="1"/>
  <c r="M390" i="17"/>
  <c r="M342" i="17"/>
  <c r="N404" i="17"/>
  <c r="R404" i="17" s="1"/>
  <c r="S404" i="17" s="1"/>
  <c r="N364" i="17"/>
  <c r="R364" i="17" s="1"/>
  <c r="S364" i="17" s="1"/>
  <c r="N316" i="17"/>
  <c r="R316" i="17" s="1"/>
  <c r="S316" i="17" s="1"/>
  <c r="M276" i="17"/>
  <c r="M236" i="17"/>
  <c r="M188" i="17"/>
  <c r="Q188" i="17" s="1"/>
  <c r="U188" i="17" s="1"/>
  <c r="M605" i="17"/>
  <c r="Q605" i="17" s="1"/>
  <c r="U605" i="17" s="1"/>
  <c r="M564" i="17"/>
  <c r="M466" i="17"/>
  <c r="Q466" i="17" s="1"/>
  <c r="U466" i="17" s="1"/>
  <c r="N408" i="17"/>
  <c r="R408" i="17" s="1"/>
  <c r="S408" i="17" s="1"/>
  <c r="M248" i="17"/>
  <c r="M309" i="17"/>
  <c r="Q309" i="17" s="1"/>
  <c r="U309" i="17" s="1"/>
  <c r="M229" i="17"/>
  <c r="Q229" i="17" s="1"/>
  <c r="U229" i="17" s="1"/>
  <c r="M581" i="17"/>
  <c r="N578" i="17"/>
  <c r="R578" i="17" s="1"/>
  <c r="S578" i="17" s="1"/>
  <c r="N523" i="17"/>
  <c r="R523" i="17" s="1"/>
  <c r="S523" i="17" s="1"/>
  <c r="N494" i="17"/>
  <c r="M500" i="17"/>
  <c r="M420" i="17"/>
  <c r="M340" i="17"/>
  <c r="Q340" i="17" s="1"/>
  <c r="U340" i="17" s="1"/>
  <c r="N346" i="17"/>
  <c r="M266" i="17"/>
  <c r="Q266" i="17" s="1"/>
  <c r="U266" i="17" s="1"/>
  <c r="M186" i="17"/>
  <c r="X186" i="17" s="1"/>
  <c r="M295" i="17"/>
  <c r="Q295" i="17" s="1"/>
  <c r="U295" i="17" s="1"/>
  <c r="N599" i="17"/>
  <c r="R599" i="17" s="1"/>
  <c r="S599" i="17" s="1"/>
  <c r="M582" i="17"/>
  <c r="M469" i="17"/>
  <c r="Q469" i="17" s="1"/>
  <c r="N491" i="17"/>
  <c r="R491" i="17" s="1"/>
  <c r="S491" i="17" s="1"/>
  <c r="N411" i="17"/>
  <c r="N315" i="17"/>
  <c r="M337" i="17"/>
  <c r="N293" i="17"/>
  <c r="Y293" i="17" s="1"/>
  <c r="N245" i="17"/>
  <c r="N205" i="17"/>
  <c r="N165" i="17"/>
  <c r="N117" i="17"/>
  <c r="R117" i="17" s="1"/>
  <c r="S117" i="17" s="1"/>
  <c r="N282" i="17"/>
  <c r="N242" i="17"/>
  <c r="Y242" i="17" s="1"/>
  <c r="N194" i="17"/>
  <c r="N154" i="17"/>
  <c r="N114" i="17"/>
  <c r="M113" i="17"/>
  <c r="Q113" i="17" s="1"/>
  <c r="U113" i="17" s="1"/>
  <c r="M211" i="17"/>
  <c r="X211" i="17" s="1"/>
  <c r="M563" i="17"/>
  <c r="X563" i="17" s="1"/>
  <c r="M528" i="17"/>
  <c r="M537" i="17"/>
  <c r="Q537" i="17" s="1"/>
  <c r="U537" i="17" s="1"/>
  <c r="M499" i="17"/>
  <c r="Q499" i="17" s="1"/>
  <c r="U499" i="17" s="1"/>
  <c r="M451" i="17"/>
  <c r="N513" i="17"/>
  <c r="R513" i="17" s="1"/>
  <c r="S513" i="17" s="1"/>
  <c r="N473" i="17"/>
  <c r="R473" i="17" s="1"/>
  <c r="S473" i="17" s="1"/>
  <c r="N425" i="17"/>
  <c r="Y425" i="17" s="1"/>
  <c r="N385" i="17"/>
  <c r="N345" i="17"/>
  <c r="M399" i="17"/>
  <c r="X399" i="17" s="1"/>
  <c r="M359" i="17"/>
  <c r="M319" i="17"/>
  <c r="Q319" i="17" s="1"/>
  <c r="U319" i="17" s="1"/>
  <c r="N271" i="17"/>
  <c r="N231" i="17"/>
  <c r="N191" i="17"/>
  <c r="R191" i="17" s="1"/>
  <c r="S191" i="17" s="1"/>
  <c r="N143" i="17"/>
  <c r="N308" i="17"/>
  <c r="R308" i="17" s="1"/>
  <c r="S308" i="17" s="1"/>
  <c r="N268" i="17"/>
  <c r="R268" i="17" s="1"/>
  <c r="S268" i="17" s="1"/>
  <c r="N220" i="17"/>
  <c r="R220" i="17" s="1"/>
  <c r="S220" i="17" s="1"/>
  <c r="N180" i="17"/>
  <c r="Y180" i="17" s="1"/>
  <c r="N140" i="17"/>
  <c r="M165" i="17"/>
  <c r="X165" i="17" s="1"/>
  <c r="M147" i="17"/>
  <c r="Q147" i="17" s="1"/>
  <c r="U147" i="17" s="1"/>
  <c r="N23" i="17"/>
  <c r="N47" i="17"/>
  <c r="N67" i="17"/>
  <c r="R67" i="17" s="1"/>
  <c r="S67" i="17" s="1"/>
  <c r="N87" i="17"/>
  <c r="R87" i="17" s="1"/>
  <c r="S87" i="17" s="1"/>
  <c r="N16" i="17"/>
  <c r="Y16" i="17" s="1"/>
  <c r="N72" i="17"/>
  <c r="R72" i="17" s="1"/>
  <c r="S72" i="17" s="1"/>
  <c r="M31" i="17"/>
  <c r="X31" i="17" s="1"/>
  <c r="M95" i="17"/>
  <c r="Q95" i="17" s="1"/>
  <c r="U95" i="17" s="1"/>
  <c r="M109" i="17"/>
  <c r="X109" i="17" s="1"/>
  <c r="M14" i="17"/>
  <c r="M46" i="17"/>
  <c r="M74" i="17"/>
  <c r="Q74" i="17" s="1"/>
  <c r="U74" i="17" s="1"/>
  <c r="M98" i="17"/>
  <c r="Q98" i="17" s="1"/>
  <c r="U98" i="17" s="1"/>
  <c r="N54" i="17"/>
  <c r="M13" i="17"/>
  <c r="Q13" i="17" s="1"/>
  <c r="U13" i="17" s="1"/>
  <c r="M73" i="17"/>
  <c r="Q73" i="17" s="1"/>
  <c r="U73" i="17" s="1"/>
  <c r="M365" i="17"/>
  <c r="X365" i="17" s="1"/>
  <c r="M413" i="17"/>
  <c r="N367" i="17"/>
  <c r="R367" i="17" s="1"/>
  <c r="S367" i="17" s="1"/>
  <c r="N431" i="17"/>
  <c r="R431" i="17" s="1"/>
  <c r="S431" i="17" s="1"/>
  <c r="N487" i="17"/>
  <c r="Y487" i="17" s="1"/>
  <c r="M433" i="17"/>
  <c r="M497" i="17"/>
  <c r="M534" i="17"/>
  <c r="X534" i="17" s="1"/>
  <c r="M223" i="17"/>
  <c r="M118" i="17"/>
  <c r="M206" i="17"/>
  <c r="Q206" i="17" s="1"/>
  <c r="U206" i="17" s="1"/>
  <c r="M294" i="17"/>
  <c r="N374" i="17"/>
  <c r="R374" i="17" s="1"/>
  <c r="S374" i="17" s="1"/>
  <c r="M360" i="17"/>
  <c r="M448" i="17"/>
  <c r="N426" i="17"/>
  <c r="Y426" i="17" s="1"/>
  <c r="N514" i="17"/>
  <c r="N559" i="17"/>
  <c r="M606" i="17"/>
  <c r="N601" i="17"/>
  <c r="R601" i="17" s="1"/>
  <c r="S601" i="17" s="1"/>
  <c r="M257" i="17"/>
  <c r="X257" i="17" s="1"/>
  <c r="M132" i="17"/>
  <c r="M288" i="17"/>
  <c r="Q288" i="17" s="1"/>
  <c r="U288" i="17" s="1"/>
  <c r="M362" i="17"/>
  <c r="Q362" i="17" s="1"/>
  <c r="U362" i="17" s="1"/>
  <c r="N420" i="17"/>
  <c r="N547" i="17"/>
  <c r="R547" i="17" s="1"/>
  <c r="S547" i="17" s="1"/>
  <c r="N538" i="17"/>
  <c r="Y538" i="17" s="1"/>
  <c r="M322" i="17"/>
  <c r="M112" i="17"/>
  <c r="Q112" i="17" s="1"/>
  <c r="U112" i="17" s="1"/>
  <c r="M573" i="17"/>
  <c r="N531" i="17"/>
  <c r="M508" i="17"/>
  <c r="M332" i="17"/>
  <c r="M274" i="17"/>
  <c r="M287" i="17"/>
  <c r="X287" i="17" s="1"/>
  <c r="M477" i="17"/>
  <c r="Q477" i="17" s="1"/>
  <c r="U477" i="17" s="1"/>
  <c r="N371" i="17"/>
  <c r="N281" i="17"/>
  <c r="N169" i="17"/>
  <c r="R169" i="17" s="1"/>
  <c r="S169" i="17" s="1"/>
  <c r="N182" i="17"/>
  <c r="R182" i="17" s="1"/>
  <c r="S182" i="17" s="1"/>
  <c r="N553" i="17"/>
  <c r="N461" i="17"/>
  <c r="M355" i="17"/>
  <c r="N115" i="17"/>
  <c r="Y115" i="17" s="1"/>
  <c r="M141" i="17"/>
  <c r="X141" i="17" s="1"/>
  <c r="N93" i="17"/>
  <c r="M69" i="17"/>
  <c r="Q69" i="17" s="1"/>
  <c r="U69" i="17" s="1"/>
  <c r="M88" i="17"/>
  <c r="X88" i="17" s="1"/>
  <c r="N129" i="17"/>
  <c r="Y129" i="17" s="1"/>
  <c r="M195" i="17"/>
  <c r="N325" i="17"/>
  <c r="Y325" i="17" s="1"/>
  <c r="N216" i="17"/>
  <c r="M19" i="17"/>
  <c r="X19" i="17" s="1"/>
  <c r="M25" i="17"/>
  <c r="X25" i="17" s="1"/>
  <c r="M347" i="17"/>
  <c r="X347" i="17" s="1"/>
  <c r="M175" i="17"/>
  <c r="Q175" i="17" s="1"/>
  <c r="U175" i="17" s="1"/>
  <c r="M379" i="17"/>
  <c r="Q379" i="17" s="1"/>
  <c r="U379" i="17" s="1"/>
  <c r="N251" i="17"/>
  <c r="M609" i="17"/>
  <c r="X609" i="17" s="1"/>
  <c r="N580" i="17"/>
  <c r="Y580" i="17" s="1"/>
  <c r="N587" i="17"/>
  <c r="Y587" i="17" s="1"/>
  <c r="N525" i="17"/>
  <c r="N526" i="17"/>
  <c r="N488" i="17"/>
  <c r="R488" i="17" s="1"/>
  <c r="S488" i="17" s="1"/>
  <c r="N448" i="17"/>
  <c r="M502" i="17"/>
  <c r="M462" i="17"/>
  <c r="M422" i="17"/>
  <c r="Q422" i="17" s="1"/>
  <c r="U422" i="17" s="1"/>
  <c r="M374" i="17"/>
  <c r="Q374" i="17" s="1"/>
  <c r="U374" i="17" s="1"/>
  <c r="M334" i="17"/>
  <c r="Q334" i="17" s="1"/>
  <c r="U334" i="17" s="1"/>
  <c r="N396" i="17"/>
  <c r="N348" i="17"/>
  <c r="M308" i="17"/>
  <c r="M268" i="17"/>
  <c r="M220" i="17"/>
  <c r="Q220" i="17" s="1"/>
  <c r="U220" i="17" s="1"/>
  <c r="M180" i="17"/>
  <c r="M608" i="17"/>
  <c r="N492" i="17"/>
  <c r="R492" i="17" s="1"/>
  <c r="S492" i="17" s="1"/>
  <c r="M434" i="17"/>
  <c r="Q434" i="17" s="1"/>
  <c r="U434" i="17" s="1"/>
  <c r="N376" i="17"/>
  <c r="R376" i="17" s="1"/>
  <c r="S376" i="17" s="1"/>
  <c r="M184" i="17"/>
  <c r="Q184" i="17" s="1"/>
  <c r="U184" i="17" s="1"/>
  <c r="M293" i="17"/>
  <c r="M213" i="17"/>
  <c r="M549" i="17"/>
  <c r="N562" i="17"/>
  <c r="Y562" i="17" s="1"/>
  <c r="M568" i="17"/>
  <c r="N462" i="17"/>
  <c r="M484" i="17"/>
  <c r="X484" i="17" s="1"/>
  <c r="M404" i="17"/>
  <c r="N410" i="17"/>
  <c r="N330" i="17"/>
  <c r="M250" i="17"/>
  <c r="Q250" i="17" s="1"/>
  <c r="U250" i="17" s="1"/>
  <c r="M154" i="17"/>
  <c r="Q154" i="17" s="1"/>
  <c r="U154" i="17" s="1"/>
  <c r="M279" i="17"/>
  <c r="Q279" i="17" s="1"/>
  <c r="U279" i="17" s="1"/>
  <c r="M567" i="17"/>
  <c r="M531" i="17"/>
  <c r="Q531" i="17" s="1"/>
  <c r="U531" i="17" s="1"/>
  <c r="M453" i="17"/>
  <c r="N475" i="17"/>
  <c r="N379" i="17"/>
  <c r="Y379" i="17" s="1"/>
  <c r="M401" i="17"/>
  <c r="Q401" i="17" s="1"/>
  <c r="U401" i="17" s="1"/>
  <c r="M325" i="17"/>
  <c r="Q325" i="17" s="1"/>
  <c r="U325" i="17" s="1"/>
  <c r="N277" i="17"/>
  <c r="Y277" i="17" s="1"/>
  <c r="N237" i="17"/>
  <c r="N197" i="17"/>
  <c r="N149" i="17"/>
  <c r="Y149" i="17" s="1"/>
  <c r="N314" i="17"/>
  <c r="N274" i="17"/>
  <c r="N226" i="17"/>
  <c r="N186" i="17"/>
  <c r="N146" i="17"/>
  <c r="M177" i="17"/>
  <c r="Q177" i="17" s="1"/>
  <c r="U177" i="17" s="1"/>
  <c r="M187" i="17"/>
  <c r="N608" i="17"/>
  <c r="Y608" i="17" s="1"/>
  <c r="N577" i="17"/>
  <c r="R577" i="17" s="1"/>
  <c r="S577" i="17" s="1"/>
  <c r="M594" i="17"/>
  <c r="Q594" i="17" s="1"/>
  <c r="U594" i="17" s="1"/>
  <c r="M529" i="17"/>
  <c r="M483" i="17"/>
  <c r="Q483" i="17" s="1"/>
  <c r="U483" i="17" s="1"/>
  <c r="M443" i="17"/>
  <c r="N505" i="17"/>
  <c r="N457" i="17"/>
  <c r="R457" i="17" s="1"/>
  <c r="S457" i="17" s="1"/>
  <c r="N417" i="17"/>
  <c r="R417" i="17" s="1"/>
  <c r="S417" i="17" s="1"/>
  <c r="N377" i="17"/>
  <c r="N329" i="17"/>
  <c r="R329" i="17" s="1"/>
  <c r="S329" i="17" s="1"/>
  <c r="M391" i="17"/>
  <c r="Q391" i="17" s="1"/>
  <c r="M351" i="17"/>
  <c r="Q351" i="17" s="1"/>
  <c r="U351" i="17" s="1"/>
  <c r="N303" i="17"/>
  <c r="N263" i="17"/>
  <c r="R263" i="17" s="1"/>
  <c r="S263" i="17" s="1"/>
  <c r="N223" i="17"/>
  <c r="N175" i="17"/>
  <c r="N135" i="17"/>
  <c r="N300" i="17"/>
  <c r="R300" i="17" s="1"/>
  <c r="S300" i="17" s="1"/>
  <c r="N252" i="17"/>
  <c r="R252" i="17" s="1"/>
  <c r="S252" i="17" s="1"/>
  <c r="N212" i="17"/>
  <c r="Y212" i="17" s="1"/>
  <c r="N172" i="17"/>
  <c r="R172" i="17" s="1"/>
  <c r="S172" i="17" s="1"/>
  <c r="N124" i="17"/>
  <c r="Y124" i="17" s="1"/>
  <c r="M149" i="17"/>
  <c r="M131" i="17"/>
  <c r="N31" i="17"/>
  <c r="N51" i="17"/>
  <c r="N71" i="17"/>
  <c r="N95" i="17"/>
  <c r="N32" i="17"/>
  <c r="N80" i="17"/>
  <c r="M47" i="17"/>
  <c r="Q47" i="17" s="1"/>
  <c r="U47" i="17" s="1"/>
  <c r="M103" i="17"/>
  <c r="M191" i="17"/>
  <c r="Q191" i="17" s="1"/>
  <c r="U191" i="17" s="1"/>
  <c r="M26" i="17"/>
  <c r="Q26" i="17" s="1"/>
  <c r="U26" i="17" s="1"/>
  <c r="M50" i="17"/>
  <c r="X50" i="17" s="1"/>
  <c r="M78" i="17"/>
  <c r="Q78" i="17" s="1"/>
  <c r="U78" i="17" s="1"/>
  <c r="N14" i="17"/>
  <c r="N70" i="17"/>
  <c r="M21" i="17"/>
  <c r="Q21" i="17" s="1"/>
  <c r="U21" i="17" s="1"/>
  <c r="M105" i="17"/>
  <c r="M373" i="17"/>
  <c r="Q373" i="17" s="1"/>
  <c r="U373" i="17" s="1"/>
  <c r="N327" i="17"/>
  <c r="Y327" i="17" s="1"/>
  <c r="N391" i="17"/>
  <c r="N439" i="17"/>
  <c r="R439" i="17" s="1"/>
  <c r="S439" i="17" s="1"/>
  <c r="N495" i="17"/>
  <c r="R495" i="17" s="1"/>
  <c r="S495" i="17" s="1"/>
  <c r="M457" i="17"/>
  <c r="Q457" i="17" s="1"/>
  <c r="U457" i="17" s="1"/>
  <c r="M513" i="17"/>
  <c r="Q513" i="17" s="1"/>
  <c r="U513" i="17" s="1"/>
  <c r="M542" i="17"/>
  <c r="X542" i="17" s="1"/>
  <c r="M239" i="17"/>
  <c r="Q239" i="17" s="1"/>
  <c r="U239" i="17" s="1"/>
  <c r="M134" i="17"/>
  <c r="Q134" i="17" s="1"/>
  <c r="U134" i="17" s="1"/>
  <c r="M214" i="17"/>
  <c r="Q214" i="17" s="1"/>
  <c r="U214" i="17" s="1"/>
  <c r="M302" i="17"/>
  <c r="Q302" i="17" s="1"/>
  <c r="U302" i="17" s="1"/>
  <c r="N390" i="17"/>
  <c r="Y390" i="17" s="1"/>
  <c r="M368" i="17"/>
  <c r="Q368" i="17" s="1"/>
  <c r="U368" i="17" s="1"/>
  <c r="M456" i="17"/>
  <c r="X456" i="17" s="1"/>
  <c r="N442" i="17"/>
  <c r="N520" i="17"/>
  <c r="N575" i="17"/>
  <c r="R575" i="17" s="1"/>
  <c r="S575" i="17" s="1"/>
  <c r="M603" i="17"/>
  <c r="Q603" i="17" s="1"/>
  <c r="U603" i="17" s="1"/>
  <c r="N609" i="17"/>
  <c r="R609" i="17" s="1"/>
  <c r="S609" i="17" s="1"/>
  <c r="M265" i="17"/>
  <c r="M148" i="17"/>
  <c r="M304" i="17"/>
  <c r="Q304" i="17" s="1"/>
  <c r="U304" i="17" s="1"/>
  <c r="M378" i="17"/>
  <c r="N452" i="17"/>
  <c r="N579" i="17"/>
  <c r="N508" i="17"/>
  <c r="Y508" i="17" s="1"/>
  <c r="N360" i="17"/>
  <c r="M301" i="17"/>
  <c r="M557" i="17"/>
  <c r="Q557" i="17" s="1"/>
  <c r="U557" i="17" s="1"/>
  <c r="M552" i="17"/>
  <c r="Q552" i="17" s="1"/>
  <c r="U552" i="17" s="1"/>
  <c r="M492" i="17"/>
  <c r="Q492" i="17" s="1"/>
  <c r="U492" i="17" s="1"/>
  <c r="M316" i="17"/>
  <c r="M242" i="17"/>
  <c r="M271" i="17"/>
  <c r="Q271" i="17" s="1"/>
  <c r="U271" i="17" s="1"/>
  <c r="M461" i="17"/>
  <c r="X461" i="17" s="1"/>
  <c r="N323" i="17"/>
  <c r="N273" i="17"/>
  <c r="Y273" i="17" s="1"/>
  <c r="N153" i="17"/>
  <c r="R153" i="17" s="1"/>
  <c r="S153" i="17" s="1"/>
  <c r="N150" i="17"/>
  <c r="R150" i="17" s="1"/>
  <c r="S150" i="17" s="1"/>
  <c r="M586" i="17"/>
  <c r="N445" i="17"/>
  <c r="N307" i="17"/>
  <c r="R307" i="17" s="1"/>
  <c r="S307" i="17" s="1"/>
  <c r="N304" i="17"/>
  <c r="M171" i="17"/>
  <c r="Q171" i="17" s="1"/>
  <c r="U171" i="17" s="1"/>
  <c r="N28" i="17"/>
  <c r="R28" i="17" s="1"/>
  <c r="S28" i="17" s="1"/>
  <c r="M101" i="17"/>
  <c r="Q101" i="17" s="1"/>
  <c r="U101" i="17" s="1"/>
  <c r="M104" i="17"/>
  <c r="N302" i="17"/>
  <c r="R302" i="17" s="1"/>
  <c r="S302" i="17" s="1"/>
  <c r="M587" i="17"/>
  <c r="X587" i="17" s="1"/>
  <c r="M395" i="17"/>
  <c r="N120" i="17"/>
  <c r="R120" i="17" s="1"/>
  <c r="S120" i="17" s="1"/>
  <c r="M51" i="17"/>
  <c r="M57" i="17"/>
  <c r="N155" i="17"/>
  <c r="R155" i="17" s="1"/>
  <c r="S155" i="17" s="1"/>
  <c r="M28" i="17"/>
  <c r="M315" i="17"/>
  <c r="N57" i="17"/>
  <c r="M628" i="17"/>
  <c r="Q628" i="17" s="1"/>
  <c r="F627" i="17"/>
  <c r="E627" i="17"/>
  <c r="N627" i="17"/>
  <c r="M627" i="17"/>
  <c r="J627" i="17"/>
  <c r="D627" i="17"/>
  <c r="L627" i="17"/>
  <c r="K627" i="17"/>
  <c r="I627" i="17"/>
  <c r="P627" i="17"/>
  <c r="O627" i="17"/>
  <c r="C627" i="17"/>
  <c r="G627" i="17"/>
  <c r="H624" i="17"/>
  <c r="G624" i="17"/>
  <c r="M625" i="17"/>
  <c r="H625" i="17"/>
  <c r="G625" i="17"/>
  <c r="Q81" i="17"/>
  <c r="U81" i="17" s="1"/>
  <c r="X81" i="17"/>
  <c r="M624" i="17"/>
  <c r="N624" i="17"/>
  <c r="J625" i="17"/>
  <c r="I625" i="17"/>
  <c r="C625" i="17"/>
  <c r="O625" i="17"/>
  <c r="D625" i="17"/>
  <c r="F625" i="17"/>
  <c r="P625" i="17"/>
  <c r="K625" i="17"/>
  <c r="E625" i="17"/>
  <c r="L625" i="17"/>
  <c r="I624" i="17"/>
  <c r="K624" i="17"/>
  <c r="C624" i="17"/>
  <c r="F624" i="17"/>
  <c r="P624" i="17"/>
  <c r="L624" i="17"/>
  <c r="J624" i="17"/>
  <c r="D624" i="17"/>
  <c r="E624" i="17"/>
  <c r="O624" i="17"/>
  <c r="N625" i="17"/>
  <c r="Q624" i="25" l="1"/>
  <c r="D634" i="25" s="1"/>
  <c r="Y625" i="25"/>
  <c r="Q625" i="25"/>
  <c r="D635" i="25" s="1"/>
  <c r="AA627" i="25"/>
  <c r="Q627" i="25"/>
  <c r="Y623" i="25"/>
  <c r="R623" i="25"/>
  <c r="S623" i="25" s="1"/>
  <c r="Q111" i="25"/>
  <c r="X111" i="25"/>
  <c r="Q33" i="25"/>
  <c r="X33" i="25"/>
  <c r="X110" i="25"/>
  <c r="Q110" i="25"/>
  <c r="Y85" i="25"/>
  <c r="R85" i="25"/>
  <c r="S85" i="25" s="1"/>
  <c r="R45" i="25"/>
  <c r="S45" i="25" s="1"/>
  <c r="Y45" i="25"/>
  <c r="X62" i="25"/>
  <c r="Q62" i="25"/>
  <c r="Q329" i="25"/>
  <c r="X329" i="25"/>
  <c r="R24" i="25"/>
  <c r="S24" i="25" s="1"/>
  <c r="Y24" i="25"/>
  <c r="X53" i="25"/>
  <c r="Q53" i="25"/>
  <c r="R99" i="25"/>
  <c r="S99" i="25" s="1"/>
  <c r="Y99" i="25"/>
  <c r="R135" i="25"/>
  <c r="S135" i="25" s="1"/>
  <c r="Y135" i="25"/>
  <c r="Y199" i="25"/>
  <c r="R199" i="25"/>
  <c r="S199" i="25" s="1"/>
  <c r="Q40" i="25"/>
  <c r="X40" i="25"/>
  <c r="Q72" i="25"/>
  <c r="X72" i="25"/>
  <c r="Q113" i="25"/>
  <c r="X113" i="25"/>
  <c r="Y161" i="25"/>
  <c r="R161" i="25"/>
  <c r="S161" i="25" s="1"/>
  <c r="R193" i="25"/>
  <c r="S193" i="25" s="1"/>
  <c r="Y193" i="25"/>
  <c r="R295" i="25"/>
  <c r="S295" i="25" s="1"/>
  <c r="Y295" i="25"/>
  <c r="Q91" i="25"/>
  <c r="X91" i="25"/>
  <c r="X163" i="25"/>
  <c r="Q163" i="25"/>
  <c r="Y32" i="25"/>
  <c r="R32" i="25"/>
  <c r="S32" i="25" s="1"/>
  <c r="Y56" i="25"/>
  <c r="R56" i="25"/>
  <c r="S56" i="25" s="1"/>
  <c r="R80" i="25"/>
  <c r="S80" i="25" s="1"/>
  <c r="Y80" i="25"/>
  <c r="Y112" i="25"/>
  <c r="R112" i="25"/>
  <c r="S112" i="25" s="1"/>
  <c r="Y136" i="25"/>
  <c r="R136" i="25"/>
  <c r="S136" i="25" s="1"/>
  <c r="Y168" i="25"/>
  <c r="R168" i="25"/>
  <c r="S168" i="25" s="1"/>
  <c r="R200" i="25"/>
  <c r="S200" i="25" s="1"/>
  <c r="Y200" i="25"/>
  <c r="Y224" i="25"/>
  <c r="R224" i="25"/>
  <c r="S224" i="25" s="1"/>
  <c r="Y264" i="25"/>
  <c r="R264" i="25"/>
  <c r="S264" i="25" s="1"/>
  <c r="X241" i="25"/>
  <c r="Q241" i="25"/>
  <c r="X126" i="25"/>
  <c r="Q126" i="25"/>
  <c r="Q150" i="25"/>
  <c r="X150" i="25"/>
  <c r="X182" i="25"/>
  <c r="Q182" i="25"/>
  <c r="X214" i="25"/>
  <c r="Q214" i="25"/>
  <c r="R233" i="25"/>
  <c r="S233" i="25" s="1"/>
  <c r="Y233" i="25"/>
  <c r="Q281" i="25"/>
  <c r="X281" i="25"/>
  <c r="X238" i="25"/>
  <c r="Q238" i="25"/>
  <c r="Q262" i="25"/>
  <c r="X262" i="25"/>
  <c r="R301" i="25"/>
  <c r="S301" i="25" s="1"/>
  <c r="Y301" i="25"/>
  <c r="R333" i="25"/>
  <c r="S333" i="25" s="1"/>
  <c r="Y333" i="25"/>
  <c r="Q364" i="25"/>
  <c r="X364" i="25"/>
  <c r="Q275" i="25"/>
  <c r="X275" i="25"/>
  <c r="Q306" i="25"/>
  <c r="X306" i="25"/>
  <c r="X338" i="25"/>
  <c r="Q338" i="25"/>
  <c r="X379" i="25"/>
  <c r="Q379" i="25"/>
  <c r="Q292" i="25"/>
  <c r="X292" i="25"/>
  <c r="Q333" i="25"/>
  <c r="X333" i="25"/>
  <c r="Q361" i="25"/>
  <c r="X361" i="25"/>
  <c r="X385" i="25"/>
  <c r="Q385" i="25"/>
  <c r="Q380" i="25"/>
  <c r="X380" i="25"/>
  <c r="R404" i="25"/>
  <c r="S404" i="25" s="1"/>
  <c r="Y404" i="25"/>
  <c r="Y304" i="25"/>
  <c r="R304" i="25"/>
  <c r="S304" i="25" s="1"/>
  <c r="Y320" i="25"/>
  <c r="R320" i="25"/>
  <c r="S320" i="25" s="1"/>
  <c r="R352" i="25"/>
  <c r="S352" i="25" s="1"/>
  <c r="Y352" i="25"/>
  <c r="R389" i="25"/>
  <c r="S389" i="25" s="1"/>
  <c r="Y389" i="25"/>
  <c r="Y386" i="25"/>
  <c r="R386" i="25"/>
  <c r="S386" i="25" s="1"/>
  <c r="Q412" i="25"/>
  <c r="X412" i="25"/>
  <c r="Q415" i="25"/>
  <c r="X415" i="25"/>
  <c r="R448" i="25"/>
  <c r="S448" i="25" s="1"/>
  <c r="Y448" i="25"/>
  <c r="X418" i="25"/>
  <c r="Q418" i="25"/>
  <c r="Y479" i="25"/>
  <c r="R479" i="25"/>
  <c r="S479" i="25" s="1"/>
  <c r="Y464" i="25"/>
  <c r="R464" i="25"/>
  <c r="S464" i="25" s="1"/>
  <c r="Q439" i="25"/>
  <c r="X439" i="25"/>
  <c r="Q463" i="25"/>
  <c r="X463" i="25"/>
  <c r="Y407" i="25"/>
  <c r="R407" i="25"/>
  <c r="S407" i="25" s="1"/>
  <c r="Y431" i="25"/>
  <c r="R431" i="25"/>
  <c r="S431" i="25" s="1"/>
  <c r="R455" i="25"/>
  <c r="S455" i="25" s="1"/>
  <c r="Y455" i="25"/>
  <c r="X485" i="25"/>
  <c r="Q485" i="25"/>
  <c r="R515" i="25"/>
  <c r="S515" i="25" s="1"/>
  <c r="Y515" i="25"/>
  <c r="R493" i="25"/>
  <c r="S493" i="25" s="1"/>
  <c r="Y493" i="25"/>
  <c r="Q476" i="25"/>
  <c r="X476" i="25"/>
  <c r="Q500" i="25"/>
  <c r="X500" i="25"/>
  <c r="Q545" i="25"/>
  <c r="X545" i="25"/>
  <c r="Q535" i="25"/>
  <c r="X535" i="25"/>
  <c r="Y546" i="25"/>
  <c r="R546" i="25"/>
  <c r="S546" i="25" s="1"/>
  <c r="Y610" i="25"/>
  <c r="R610" i="25"/>
  <c r="S610" i="25" s="1"/>
  <c r="D633" i="25"/>
  <c r="X623" i="25"/>
  <c r="Q20" i="25"/>
  <c r="X20" i="25"/>
  <c r="R109" i="25"/>
  <c r="S109" i="25" s="1"/>
  <c r="Y109" i="25"/>
  <c r="X217" i="25"/>
  <c r="Q217" i="25"/>
  <c r="X18" i="25"/>
  <c r="Q18" i="25"/>
  <c r="X30" i="25"/>
  <c r="Q30" i="25"/>
  <c r="X70" i="25"/>
  <c r="Q70" i="25"/>
  <c r="X103" i="25"/>
  <c r="Q103" i="25"/>
  <c r="Q173" i="25"/>
  <c r="X173" i="25"/>
  <c r="Q78" i="25"/>
  <c r="X78" i="25"/>
  <c r="X22" i="25"/>
  <c r="Q22" i="25"/>
  <c r="Y37" i="25"/>
  <c r="R37" i="25"/>
  <c r="S37" i="25" s="1"/>
  <c r="Q55" i="25"/>
  <c r="X55" i="25"/>
  <c r="Y117" i="25"/>
  <c r="R117" i="25"/>
  <c r="S117" i="25" s="1"/>
  <c r="Q149" i="25"/>
  <c r="X149" i="25"/>
  <c r="X213" i="25"/>
  <c r="Q213" i="25"/>
  <c r="X31" i="25"/>
  <c r="Q31" i="25"/>
  <c r="X79" i="25"/>
  <c r="Q79" i="25"/>
  <c r="X201" i="25"/>
  <c r="Q201" i="25"/>
  <c r="Y23" i="25"/>
  <c r="R23" i="25"/>
  <c r="S23" i="25" s="1"/>
  <c r="R61" i="25"/>
  <c r="S61" i="25" s="1"/>
  <c r="Y61" i="25"/>
  <c r="X94" i="25"/>
  <c r="Q94" i="25"/>
  <c r="Q161" i="25"/>
  <c r="X161" i="25"/>
  <c r="R248" i="25"/>
  <c r="S248" i="25" s="1"/>
  <c r="Y248" i="25"/>
  <c r="Y33" i="25"/>
  <c r="R33" i="25"/>
  <c r="S33" i="25" s="1"/>
  <c r="X43" i="25"/>
  <c r="Q43" i="25"/>
  <c r="R14" i="25"/>
  <c r="S14" i="25" s="1"/>
  <c r="Y14" i="25"/>
  <c r="Y22" i="25"/>
  <c r="R22" i="25"/>
  <c r="S22" i="25" s="1"/>
  <c r="X29" i="25"/>
  <c r="Q29" i="25"/>
  <c r="Y43" i="25"/>
  <c r="R43" i="25"/>
  <c r="S43" i="25" s="1"/>
  <c r="Q52" i="25"/>
  <c r="X52" i="25"/>
  <c r="X61" i="25"/>
  <c r="Q61" i="25"/>
  <c r="Y75" i="25"/>
  <c r="R75" i="25"/>
  <c r="S75" i="25" s="1"/>
  <c r="X84" i="25"/>
  <c r="Q84" i="25"/>
  <c r="Q93" i="25"/>
  <c r="X93" i="25"/>
  <c r="Y107" i="25"/>
  <c r="R107" i="25"/>
  <c r="S107" i="25" s="1"/>
  <c r="X116" i="25"/>
  <c r="Q116" i="25"/>
  <c r="R131" i="25"/>
  <c r="S131" i="25" s="1"/>
  <c r="Y131" i="25"/>
  <c r="R147" i="25"/>
  <c r="S147" i="25" s="1"/>
  <c r="Y147" i="25"/>
  <c r="R163" i="25"/>
  <c r="S163" i="25" s="1"/>
  <c r="Y163" i="25"/>
  <c r="R179" i="25"/>
  <c r="S179" i="25" s="1"/>
  <c r="Y179" i="25"/>
  <c r="R195" i="25"/>
  <c r="S195" i="25" s="1"/>
  <c r="Y195" i="25"/>
  <c r="R211" i="25"/>
  <c r="S211" i="25" s="1"/>
  <c r="Y211" i="25"/>
  <c r="R240" i="25"/>
  <c r="S240" i="25" s="1"/>
  <c r="Y240" i="25"/>
  <c r="X328" i="25"/>
  <c r="Q328" i="25"/>
  <c r="X48" i="25"/>
  <c r="Q48" i="25"/>
  <c r="X57" i="25"/>
  <c r="Q57" i="25"/>
  <c r="Y71" i="25"/>
  <c r="R71" i="25"/>
  <c r="S71" i="25" s="1"/>
  <c r="X80" i="25"/>
  <c r="Q80" i="25"/>
  <c r="X89" i="25"/>
  <c r="Q89" i="25"/>
  <c r="Y103" i="25"/>
  <c r="R103" i="25"/>
  <c r="S103" i="25" s="1"/>
  <c r="X112" i="25"/>
  <c r="Q112" i="25"/>
  <c r="R125" i="25"/>
  <c r="S125" i="25" s="1"/>
  <c r="Y125" i="25"/>
  <c r="R141" i="25"/>
  <c r="S141" i="25" s="1"/>
  <c r="Y141" i="25"/>
  <c r="R157" i="25"/>
  <c r="S157" i="25" s="1"/>
  <c r="Y157" i="25"/>
  <c r="R173" i="25"/>
  <c r="S173" i="25" s="1"/>
  <c r="Y173" i="25"/>
  <c r="R189" i="25"/>
  <c r="S189" i="25" s="1"/>
  <c r="Y189" i="25"/>
  <c r="R205" i="25"/>
  <c r="S205" i="25" s="1"/>
  <c r="Y205" i="25"/>
  <c r="X223" i="25"/>
  <c r="Q223" i="25"/>
  <c r="Y261" i="25"/>
  <c r="R261" i="25"/>
  <c r="S261" i="25" s="1"/>
  <c r="X58" i="25"/>
  <c r="Q58" i="25"/>
  <c r="X67" i="25"/>
  <c r="Q67" i="25"/>
  <c r="Y81" i="25"/>
  <c r="R81" i="25"/>
  <c r="S81" i="25" s="1"/>
  <c r="X90" i="25"/>
  <c r="Q90" i="25"/>
  <c r="Q99" i="25"/>
  <c r="X99" i="25"/>
  <c r="R113" i="25"/>
  <c r="S113" i="25" s="1"/>
  <c r="Y113" i="25"/>
  <c r="X127" i="25"/>
  <c r="Q127" i="25"/>
  <c r="X143" i="25"/>
  <c r="Q143" i="25"/>
  <c r="X159" i="25"/>
  <c r="Q159" i="25"/>
  <c r="X175" i="25"/>
  <c r="Q175" i="25"/>
  <c r="X191" i="25"/>
  <c r="Q191" i="25"/>
  <c r="X207" i="25"/>
  <c r="Q207" i="25"/>
  <c r="X221" i="25"/>
  <c r="Q221" i="25"/>
  <c r="X263" i="25"/>
  <c r="Q263" i="25"/>
  <c r="Y30" i="25"/>
  <c r="R30" i="25"/>
  <c r="S30" i="25" s="1"/>
  <c r="Y38" i="25"/>
  <c r="R38" i="25"/>
  <c r="S38" i="25" s="1"/>
  <c r="Y46" i="25"/>
  <c r="R46" i="25"/>
  <c r="S46" i="25" s="1"/>
  <c r="Y54" i="25"/>
  <c r="R54" i="25"/>
  <c r="S54" i="25" s="1"/>
  <c r="Y62" i="25"/>
  <c r="R62" i="25"/>
  <c r="S62" i="25" s="1"/>
  <c r="R70" i="25"/>
  <c r="S70" i="25" s="1"/>
  <c r="Y70" i="25"/>
  <c r="R78" i="25"/>
  <c r="S78" i="25" s="1"/>
  <c r="Y78" i="25"/>
  <c r="R86" i="25"/>
  <c r="S86" i="25" s="1"/>
  <c r="Y86" i="25"/>
  <c r="Y94" i="25"/>
  <c r="R94" i="25"/>
  <c r="S94" i="25" s="1"/>
  <c r="Y102" i="25"/>
  <c r="R102" i="25"/>
  <c r="S102" i="25" s="1"/>
  <c r="Y110" i="25"/>
  <c r="R110" i="25"/>
  <c r="S110" i="25" s="1"/>
  <c r="R118" i="25"/>
  <c r="S118" i="25" s="1"/>
  <c r="Y118" i="25"/>
  <c r="Y126" i="25"/>
  <c r="R126" i="25"/>
  <c r="S126" i="25" s="1"/>
  <c r="R134" i="25"/>
  <c r="S134" i="25" s="1"/>
  <c r="Y134" i="25"/>
  <c r="Y142" i="25"/>
  <c r="R142" i="25"/>
  <c r="S142" i="25" s="1"/>
  <c r="Y150" i="25"/>
  <c r="R150" i="25"/>
  <c r="S150" i="25" s="1"/>
  <c r="R158" i="25"/>
  <c r="S158" i="25" s="1"/>
  <c r="Y158" i="25"/>
  <c r="R166" i="25"/>
  <c r="S166" i="25" s="1"/>
  <c r="Y166" i="25"/>
  <c r="Y174" i="25"/>
  <c r="R174" i="25"/>
  <c r="S174" i="25" s="1"/>
  <c r="Y182" i="25"/>
  <c r="R182" i="25"/>
  <c r="S182" i="25" s="1"/>
  <c r="R190" i="25"/>
  <c r="S190" i="25" s="1"/>
  <c r="Y190" i="25"/>
  <c r="R198" i="25"/>
  <c r="S198" i="25" s="1"/>
  <c r="Y198" i="25"/>
  <c r="Y206" i="25"/>
  <c r="R206" i="25"/>
  <c r="S206" i="25" s="1"/>
  <c r="Y214" i="25"/>
  <c r="R214" i="25"/>
  <c r="S214" i="25" s="1"/>
  <c r="Y222" i="25"/>
  <c r="R222" i="25"/>
  <c r="S222" i="25" s="1"/>
  <c r="R230" i="25"/>
  <c r="S230" i="25" s="1"/>
  <c r="Y230" i="25"/>
  <c r="Y243" i="25"/>
  <c r="R243" i="25"/>
  <c r="S243" i="25" s="1"/>
  <c r="Q253" i="25"/>
  <c r="X253" i="25"/>
  <c r="R262" i="25"/>
  <c r="S262" i="25" s="1"/>
  <c r="Y262" i="25"/>
  <c r="Q288" i="25"/>
  <c r="X288" i="25"/>
  <c r="X321" i="25"/>
  <c r="Q321" i="25"/>
  <c r="R226" i="25"/>
  <c r="S226" i="25" s="1"/>
  <c r="Y226" i="25"/>
  <c r="Y239" i="25"/>
  <c r="R239" i="25"/>
  <c r="S239" i="25" s="1"/>
  <c r="X249" i="25"/>
  <c r="Q249" i="25"/>
  <c r="Y258" i="25"/>
  <c r="R258" i="25"/>
  <c r="S258" i="25" s="1"/>
  <c r="Y303" i="25"/>
  <c r="R303" i="25"/>
  <c r="S303" i="25" s="1"/>
  <c r="Q336" i="25"/>
  <c r="X336" i="25"/>
  <c r="X124" i="25"/>
  <c r="Q124" i="25"/>
  <c r="X132" i="25"/>
  <c r="Q132" i="25"/>
  <c r="Q140" i="25"/>
  <c r="X140" i="25"/>
  <c r="Q148" i="25"/>
  <c r="X148" i="25"/>
  <c r="X156" i="25"/>
  <c r="Q156" i="25"/>
  <c r="X164" i="25"/>
  <c r="Q164" i="25"/>
  <c r="X172" i="25"/>
  <c r="Q172" i="25"/>
  <c r="Q180" i="25"/>
  <c r="X180" i="25"/>
  <c r="X188" i="25"/>
  <c r="Q188" i="25"/>
  <c r="X196" i="25"/>
  <c r="Q196" i="25"/>
  <c r="Q204" i="25"/>
  <c r="X204" i="25"/>
  <c r="Q212" i="25"/>
  <c r="X212" i="25"/>
  <c r="X220" i="25"/>
  <c r="Q220" i="25"/>
  <c r="R228" i="25"/>
  <c r="S228" i="25" s="1"/>
  <c r="Y228" i="25"/>
  <c r="R241" i="25"/>
  <c r="S241" i="25" s="1"/>
  <c r="Y241" i="25"/>
  <c r="X251" i="25"/>
  <c r="Q251" i="25"/>
  <c r="Y260" i="25"/>
  <c r="R260" i="25"/>
  <c r="S260" i="25" s="1"/>
  <c r="Q280" i="25"/>
  <c r="X280" i="25"/>
  <c r="Q313" i="25"/>
  <c r="X313" i="25"/>
  <c r="Q228" i="25"/>
  <c r="X228" i="25"/>
  <c r="X236" i="25"/>
  <c r="Q236" i="25"/>
  <c r="Q244" i="25"/>
  <c r="X244" i="25"/>
  <c r="Q252" i="25"/>
  <c r="X252" i="25"/>
  <c r="Q260" i="25"/>
  <c r="X260" i="25"/>
  <c r="Q268" i="25"/>
  <c r="X268" i="25"/>
  <c r="X276" i="25"/>
  <c r="Q276" i="25"/>
  <c r="X286" i="25"/>
  <c r="Q286" i="25"/>
  <c r="Q295" i="25"/>
  <c r="X295" i="25"/>
  <c r="Y309" i="25"/>
  <c r="R309" i="25"/>
  <c r="S309" i="25" s="1"/>
  <c r="X318" i="25"/>
  <c r="Q318" i="25"/>
  <c r="X327" i="25"/>
  <c r="Q327" i="25"/>
  <c r="Y341" i="25"/>
  <c r="R341" i="25"/>
  <c r="S341" i="25" s="1"/>
  <c r="Y347" i="25"/>
  <c r="R347" i="25"/>
  <c r="S347" i="25" s="1"/>
  <c r="R355" i="25"/>
  <c r="S355" i="25" s="1"/>
  <c r="Y355" i="25"/>
  <c r="Y363" i="25"/>
  <c r="R363" i="25"/>
  <c r="S363" i="25" s="1"/>
  <c r="Q394" i="25"/>
  <c r="X394" i="25"/>
  <c r="X265" i="25"/>
  <c r="Q265" i="25"/>
  <c r="X273" i="25"/>
  <c r="Q273" i="25"/>
  <c r="X282" i="25"/>
  <c r="Q282" i="25"/>
  <c r="X291" i="25"/>
  <c r="Q291" i="25"/>
  <c r="Y305" i="25"/>
  <c r="R305" i="25"/>
  <c r="S305" i="25" s="1"/>
  <c r="Q314" i="25"/>
  <c r="X314" i="25"/>
  <c r="X323" i="25"/>
  <c r="Q323" i="25"/>
  <c r="R337" i="25"/>
  <c r="S337" i="25" s="1"/>
  <c r="Y337" i="25"/>
  <c r="X346" i="25"/>
  <c r="Q346" i="25"/>
  <c r="Q354" i="25"/>
  <c r="X354" i="25"/>
  <c r="X362" i="25"/>
  <c r="Q362" i="25"/>
  <c r="X378" i="25"/>
  <c r="Q378" i="25"/>
  <c r="R269" i="25"/>
  <c r="S269" i="25" s="1"/>
  <c r="Y269" i="25"/>
  <c r="Y277" i="25"/>
  <c r="R277" i="25"/>
  <c r="S277" i="25" s="1"/>
  <c r="R291" i="25"/>
  <c r="S291" i="25" s="1"/>
  <c r="Y291" i="25"/>
  <c r="X300" i="25"/>
  <c r="Q300" i="25"/>
  <c r="X309" i="25"/>
  <c r="Q309" i="25"/>
  <c r="R323" i="25"/>
  <c r="S323" i="25" s="1"/>
  <c r="Y323" i="25"/>
  <c r="X332" i="25"/>
  <c r="Q332" i="25"/>
  <c r="Q341" i="25"/>
  <c r="X341" i="25"/>
  <c r="X387" i="25"/>
  <c r="Q387" i="25"/>
  <c r="Q351" i="25"/>
  <c r="X351" i="25"/>
  <c r="X359" i="25"/>
  <c r="Q359" i="25"/>
  <c r="Q367" i="25"/>
  <c r="X367" i="25"/>
  <c r="Y375" i="25"/>
  <c r="R375" i="25"/>
  <c r="S375" i="25" s="1"/>
  <c r="Q384" i="25"/>
  <c r="X384" i="25"/>
  <c r="X393" i="25"/>
  <c r="Q393" i="25"/>
  <c r="X421" i="25"/>
  <c r="Q421" i="25"/>
  <c r="X368" i="25"/>
  <c r="Q368" i="25"/>
  <c r="Y379" i="25"/>
  <c r="R379" i="25"/>
  <c r="S379" i="25" s="1"/>
  <c r="Q388" i="25"/>
  <c r="X388" i="25"/>
  <c r="Q397" i="25"/>
  <c r="X397" i="25"/>
  <c r="R434" i="25"/>
  <c r="S434" i="25" s="1"/>
  <c r="Y434" i="25"/>
  <c r="Y286" i="25"/>
  <c r="R286" i="25"/>
  <c r="S286" i="25" s="1"/>
  <c r="R294" i="25"/>
  <c r="S294" i="25" s="1"/>
  <c r="Y294" i="25"/>
  <c r="Y302" i="25"/>
  <c r="R302" i="25"/>
  <c r="S302" i="25" s="1"/>
  <c r="Y310" i="25"/>
  <c r="R310" i="25"/>
  <c r="S310" i="25" s="1"/>
  <c r="Y318" i="25"/>
  <c r="R318" i="25"/>
  <c r="S318" i="25" s="1"/>
  <c r="Y326" i="25"/>
  <c r="R326" i="25"/>
  <c r="S326" i="25" s="1"/>
  <c r="R334" i="25"/>
  <c r="S334" i="25" s="1"/>
  <c r="Y334" i="25"/>
  <c r="R342" i="25"/>
  <c r="S342" i="25" s="1"/>
  <c r="Y342" i="25"/>
  <c r="R350" i="25"/>
  <c r="S350" i="25" s="1"/>
  <c r="Y350" i="25"/>
  <c r="R358" i="25"/>
  <c r="S358" i="25" s="1"/>
  <c r="Y358" i="25"/>
  <c r="R366" i="25"/>
  <c r="S366" i="25" s="1"/>
  <c r="Y366" i="25"/>
  <c r="Y374" i="25"/>
  <c r="R374" i="25"/>
  <c r="S374" i="25" s="1"/>
  <c r="X383" i="25"/>
  <c r="Q383" i="25"/>
  <c r="Y397" i="25"/>
  <c r="R397" i="25"/>
  <c r="S397" i="25" s="1"/>
  <c r="Y412" i="25"/>
  <c r="R412" i="25"/>
  <c r="S412" i="25" s="1"/>
  <c r="R376" i="25"/>
  <c r="S376" i="25" s="1"/>
  <c r="Y376" i="25"/>
  <c r="R384" i="25"/>
  <c r="S384" i="25" s="1"/>
  <c r="Y384" i="25"/>
  <c r="R392" i="25"/>
  <c r="S392" i="25" s="1"/>
  <c r="Y392" i="25"/>
  <c r="R402" i="25"/>
  <c r="S402" i="25" s="1"/>
  <c r="Y402" i="25"/>
  <c r="X411" i="25"/>
  <c r="Q411" i="25"/>
  <c r="X420" i="25"/>
  <c r="Q420" i="25"/>
  <c r="Y444" i="25"/>
  <c r="R444" i="25"/>
  <c r="S444" i="25" s="1"/>
  <c r="Y482" i="25"/>
  <c r="R482" i="25"/>
  <c r="S482" i="25" s="1"/>
  <c r="R414" i="25"/>
  <c r="S414" i="25" s="1"/>
  <c r="Y414" i="25"/>
  <c r="X423" i="25"/>
  <c r="Q423" i="25"/>
  <c r="Y440" i="25"/>
  <c r="R440" i="25"/>
  <c r="S440" i="25" s="1"/>
  <c r="Y466" i="25"/>
  <c r="R466" i="25"/>
  <c r="S466" i="25" s="1"/>
  <c r="Q516" i="25"/>
  <c r="X516" i="25"/>
  <c r="Y408" i="25"/>
  <c r="R408" i="25"/>
  <c r="S408" i="25" s="1"/>
  <c r="Q417" i="25"/>
  <c r="X417" i="25"/>
  <c r="X426" i="25"/>
  <c r="Q426" i="25"/>
  <c r="R446" i="25"/>
  <c r="S446" i="25" s="1"/>
  <c r="Y446" i="25"/>
  <c r="Y474" i="25"/>
  <c r="R474" i="25"/>
  <c r="S474" i="25" s="1"/>
  <c r="X430" i="25"/>
  <c r="Q430" i="25"/>
  <c r="X438" i="25"/>
  <c r="Q438" i="25"/>
  <c r="Q446" i="25"/>
  <c r="X446" i="25"/>
  <c r="Q454" i="25"/>
  <c r="X454" i="25"/>
  <c r="X462" i="25"/>
  <c r="Q462" i="25"/>
  <c r="Y472" i="25"/>
  <c r="R472" i="25"/>
  <c r="S472" i="25" s="1"/>
  <c r="X491" i="25"/>
  <c r="Q491" i="25"/>
  <c r="X429" i="25"/>
  <c r="Q429" i="25"/>
  <c r="Q437" i="25"/>
  <c r="X437" i="25"/>
  <c r="X445" i="25"/>
  <c r="Q445" i="25"/>
  <c r="Q453" i="25"/>
  <c r="X453" i="25"/>
  <c r="X461" i="25"/>
  <c r="Q461" i="25"/>
  <c r="Y468" i="25"/>
  <c r="R468" i="25"/>
  <c r="S468" i="25" s="1"/>
  <c r="Y481" i="25"/>
  <c r="R481" i="25"/>
  <c r="S481" i="25" s="1"/>
  <c r="X511" i="25"/>
  <c r="Q511" i="25"/>
  <c r="R405" i="25"/>
  <c r="S405" i="25" s="1"/>
  <c r="Y405" i="25"/>
  <c r="Y413" i="25"/>
  <c r="R413" i="25"/>
  <c r="S413" i="25" s="1"/>
  <c r="Y421" i="25"/>
  <c r="R421" i="25"/>
  <c r="S421" i="25" s="1"/>
  <c r="Y429" i="25"/>
  <c r="R429" i="25"/>
  <c r="S429" i="25" s="1"/>
  <c r="Y437" i="25"/>
  <c r="R437" i="25"/>
  <c r="S437" i="25" s="1"/>
  <c r="Y445" i="25"/>
  <c r="R445" i="25"/>
  <c r="S445" i="25" s="1"/>
  <c r="R453" i="25"/>
  <c r="S453" i="25" s="1"/>
  <c r="Y453" i="25"/>
  <c r="Y461" i="25"/>
  <c r="R461" i="25"/>
  <c r="S461" i="25" s="1"/>
  <c r="R470" i="25"/>
  <c r="S470" i="25" s="1"/>
  <c r="Y470" i="25"/>
  <c r="Y484" i="25"/>
  <c r="R484" i="25"/>
  <c r="S484" i="25" s="1"/>
  <c r="X509" i="25"/>
  <c r="Q509" i="25"/>
  <c r="Y490" i="25"/>
  <c r="R490" i="25"/>
  <c r="S490" i="25" s="1"/>
  <c r="Y498" i="25"/>
  <c r="R498" i="25"/>
  <c r="S498" i="25" s="1"/>
  <c r="R506" i="25"/>
  <c r="S506" i="25" s="1"/>
  <c r="Y506" i="25"/>
  <c r="Q514" i="25"/>
  <c r="X514" i="25"/>
  <c r="Y523" i="25"/>
  <c r="R523" i="25"/>
  <c r="S523" i="25" s="1"/>
  <c r="R483" i="25"/>
  <c r="S483" i="25" s="1"/>
  <c r="Y483" i="25"/>
  <c r="Y491" i="25"/>
  <c r="R491" i="25"/>
  <c r="S491" i="25" s="1"/>
  <c r="Y499" i="25"/>
  <c r="R499" i="25"/>
  <c r="S499" i="25" s="1"/>
  <c r="R507" i="25"/>
  <c r="S507" i="25" s="1"/>
  <c r="Y507" i="25"/>
  <c r="X518" i="25"/>
  <c r="Q518" i="25"/>
  <c r="Q466" i="25"/>
  <c r="X466" i="25"/>
  <c r="X474" i="25"/>
  <c r="Q474" i="25"/>
  <c r="Q482" i="25"/>
  <c r="X482" i="25"/>
  <c r="Q490" i="25"/>
  <c r="X490" i="25"/>
  <c r="Q498" i="25"/>
  <c r="X498" i="25"/>
  <c r="X506" i="25"/>
  <c r="Q506" i="25"/>
  <c r="R513" i="25"/>
  <c r="S513" i="25" s="1"/>
  <c r="Y513" i="25"/>
  <c r="Y527" i="25"/>
  <c r="R527" i="25"/>
  <c r="S527" i="25" s="1"/>
  <c r="X515" i="25"/>
  <c r="Q515" i="25"/>
  <c r="X523" i="25"/>
  <c r="Q523" i="25"/>
  <c r="Y533" i="25"/>
  <c r="R533" i="25"/>
  <c r="S533" i="25" s="1"/>
  <c r="Q547" i="25"/>
  <c r="X547" i="25"/>
  <c r="R529" i="25"/>
  <c r="S529" i="25" s="1"/>
  <c r="Y529" i="25"/>
  <c r="X543" i="25"/>
  <c r="Q543" i="25"/>
  <c r="R564" i="25"/>
  <c r="S564" i="25" s="1"/>
  <c r="Y564" i="25"/>
  <c r="R526" i="25"/>
  <c r="S526" i="25" s="1"/>
  <c r="Y526" i="25"/>
  <c r="Q541" i="25"/>
  <c r="X541" i="25"/>
  <c r="R544" i="25"/>
  <c r="S544" i="25" s="1"/>
  <c r="Y544" i="25"/>
  <c r="Y552" i="25"/>
  <c r="R552" i="25"/>
  <c r="S552" i="25" s="1"/>
  <c r="R562" i="25"/>
  <c r="S562" i="25" s="1"/>
  <c r="Y562" i="25"/>
  <c r="X574" i="25"/>
  <c r="Q574" i="25"/>
  <c r="R541" i="25"/>
  <c r="S541" i="25" s="1"/>
  <c r="Y541" i="25"/>
  <c r="Y549" i="25"/>
  <c r="R549" i="25"/>
  <c r="S549" i="25" s="1"/>
  <c r="R558" i="25"/>
  <c r="S558" i="25" s="1"/>
  <c r="Y558" i="25"/>
  <c r="Q526" i="25"/>
  <c r="X526" i="25"/>
  <c r="X534" i="25"/>
  <c r="Q534" i="25"/>
  <c r="X542" i="25"/>
  <c r="Q542" i="25"/>
  <c r="Q550" i="25"/>
  <c r="X550" i="25"/>
  <c r="Y560" i="25"/>
  <c r="R560" i="25"/>
  <c r="S560" i="25" s="1"/>
  <c r="Q576" i="25"/>
  <c r="X576" i="25"/>
  <c r="R571" i="25"/>
  <c r="S571" i="25" s="1"/>
  <c r="Y571" i="25"/>
  <c r="Y579" i="25"/>
  <c r="R579" i="25"/>
  <c r="S579" i="25" s="1"/>
  <c r="Y568" i="25"/>
  <c r="R568" i="25"/>
  <c r="S568" i="25" s="1"/>
  <c r="R576" i="25"/>
  <c r="S576" i="25" s="1"/>
  <c r="Y576" i="25"/>
  <c r="R585" i="25"/>
  <c r="S585" i="25" s="1"/>
  <c r="Y585" i="25"/>
  <c r="X561" i="25"/>
  <c r="Q561" i="25"/>
  <c r="Q569" i="25"/>
  <c r="X569" i="25"/>
  <c r="Y577" i="25"/>
  <c r="R577" i="25"/>
  <c r="S577" i="25" s="1"/>
  <c r="Q577" i="25"/>
  <c r="X577" i="25"/>
  <c r="X585" i="25"/>
  <c r="Q585" i="25"/>
  <c r="Y596" i="25"/>
  <c r="R596" i="25"/>
  <c r="S596" i="25" s="1"/>
  <c r="Q588" i="25"/>
  <c r="X588" i="25"/>
  <c r="Q594" i="25"/>
  <c r="X594" i="25"/>
  <c r="R588" i="25"/>
  <c r="S588" i="25" s="1"/>
  <c r="Y588" i="25"/>
  <c r="Q596" i="25"/>
  <c r="X596" i="25"/>
  <c r="R595" i="25"/>
  <c r="S595" i="25" s="1"/>
  <c r="Y595" i="25"/>
  <c r="Y603" i="25"/>
  <c r="R603" i="25"/>
  <c r="S603" i="25" s="1"/>
  <c r="Y598" i="25"/>
  <c r="R598" i="25"/>
  <c r="S598" i="25" s="1"/>
  <c r="R606" i="25"/>
  <c r="S606" i="25" s="1"/>
  <c r="Y606" i="25"/>
  <c r="X601" i="25"/>
  <c r="Q601" i="25"/>
  <c r="Q610" i="25"/>
  <c r="X610" i="25"/>
  <c r="Q613" i="25"/>
  <c r="X613" i="25"/>
  <c r="R609" i="25"/>
  <c r="S609" i="25" s="1"/>
  <c r="Y609" i="25"/>
  <c r="X21" i="25"/>
  <c r="Q21" i="25"/>
  <c r="X19" i="25"/>
  <c r="Q19" i="25"/>
  <c r="X189" i="25"/>
  <c r="Q189" i="25"/>
  <c r="X118" i="25"/>
  <c r="Q118" i="25"/>
  <c r="X121" i="25"/>
  <c r="Q121" i="25"/>
  <c r="X95" i="25"/>
  <c r="Q95" i="25"/>
  <c r="Y49" i="25"/>
  <c r="R49" i="25"/>
  <c r="S49" i="25" s="1"/>
  <c r="R35" i="25"/>
  <c r="S35" i="25" s="1"/>
  <c r="Y35" i="25"/>
  <c r="R67" i="25"/>
  <c r="S67" i="25" s="1"/>
  <c r="Y67" i="25"/>
  <c r="X108" i="25"/>
  <c r="Q108" i="25"/>
  <c r="Y167" i="25"/>
  <c r="R167" i="25"/>
  <c r="S167" i="25" s="1"/>
  <c r="Y215" i="25"/>
  <c r="R215" i="25"/>
  <c r="S215" i="25" s="1"/>
  <c r="Q49" i="25"/>
  <c r="X49" i="25"/>
  <c r="X81" i="25"/>
  <c r="Q81" i="25"/>
  <c r="X104" i="25"/>
  <c r="Q104" i="25"/>
  <c r="Y129" i="25"/>
  <c r="R129" i="25"/>
  <c r="S129" i="25" s="1"/>
  <c r="Y209" i="25"/>
  <c r="R209" i="25"/>
  <c r="S209" i="25" s="1"/>
  <c r="X59" i="25"/>
  <c r="Q59" i="25"/>
  <c r="Y105" i="25"/>
  <c r="R105" i="25"/>
  <c r="S105" i="25" s="1"/>
  <c r="X147" i="25"/>
  <c r="Q147" i="25"/>
  <c r="X195" i="25"/>
  <c r="Q195" i="25"/>
  <c r="X231" i="25"/>
  <c r="Q231" i="25"/>
  <c r="Y48" i="25"/>
  <c r="R48" i="25"/>
  <c r="S48" i="25" s="1"/>
  <c r="R72" i="25"/>
  <c r="S72" i="25" s="1"/>
  <c r="Y72" i="25"/>
  <c r="R104" i="25"/>
  <c r="S104" i="25" s="1"/>
  <c r="Y104" i="25"/>
  <c r="Y128" i="25"/>
  <c r="R128" i="25"/>
  <c r="S128" i="25" s="1"/>
  <c r="Y160" i="25"/>
  <c r="R160" i="25"/>
  <c r="S160" i="25" s="1"/>
  <c r="Y184" i="25"/>
  <c r="R184" i="25"/>
  <c r="S184" i="25" s="1"/>
  <c r="Y208" i="25"/>
  <c r="R208" i="25"/>
  <c r="S208" i="25" s="1"/>
  <c r="X245" i="25"/>
  <c r="Q245" i="25"/>
  <c r="X289" i="25"/>
  <c r="Q289" i="25"/>
  <c r="Y250" i="25"/>
  <c r="R250" i="25"/>
  <c r="S250" i="25" s="1"/>
  <c r="Q337" i="25"/>
  <c r="X337" i="25"/>
  <c r="Q142" i="25"/>
  <c r="X142" i="25"/>
  <c r="Q174" i="25"/>
  <c r="X174" i="25"/>
  <c r="Q206" i="25"/>
  <c r="X206" i="25"/>
  <c r="Y252" i="25"/>
  <c r="R252" i="25"/>
  <c r="S252" i="25" s="1"/>
  <c r="R343" i="25"/>
  <c r="S343" i="25" s="1"/>
  <c r="Y343" i="25"/>
  <c r="Q246" i="25"/>
  <c r="X246" i="25"/>
  <c r="X278" i="25"/>
  <c r="Q278" i="25"/>
  <c r="Q319" i="25"/>
  <c r="X319" i="25"/>
  <c r="Q348" i="25"/>
  <c r="X348" i="25"/>
  <c r="X267" i="25"/>
  <c r="Q267" i="25"/>
  <c r="Y297" i="25"/>
  <c r="R297" i="25"/>
  <c r="S297" i="25" s="1"/>
  <c r="Q315" i="25"/>
  <c r="X315" i="25"/>
  <c r="Y357" i="25"/>
  <c r="R357" i="25"/>
  <c r="S357" i="25" s="1"/>
  <c r="Y271" i="25"/>
  <c r="R271" i="25"/>
  <c r="S271" i="25" s="1"/>
  <c r="Y315" i="25"/>
  <c r="R315" i="25"/>
  <c r="S315" i="25" s="1"/>
  <c r="X345" i="25"/>
  <c r="Q345" i="25"/>
  <c r="X369" i="25"/>
  <c r="Q369" i="25"/>
  <c r="R399" i="25"/>
  <c r="S399" i="25" s="1"/>
  <c r="Y399" i="25"/>
  <c r="Q370" i="25"/>
  <c r="X370" i="25"/>
  <c r="Q389" i="25"/>
  <c r="X389" i="25"/>
  <c r="R296" i="25"/>
  <c r="S296" i="25" s="1"/>
  <c r="Y296" i="25"/>
  <c r="Y328" i="25"/>
  <c r="R328" i="25"/>
  <c r="S328" i="25" s="1"/>
  <c r="Y360" i="25"/>
  <c r="R360" i="25"/>
  <c r="S360" i="25" s="1"/>
  <c r="X375" i="25"/>
  <c r="Q375" i="25"/>
  <c r="R378" i="25"/>
  <c r="S378" i="25" s="1"/>
  <c r="Y378" i="25"/>
  <c r="X403" i="25"/>
  <c r="Q403" i="25"/>
  <c r="Y406" i="25"/>
  <c r="R406" i="25"/>
  <c r="S406" i="25" s="1"/>
  <c r="R471" i="25"/>
  <c r="S471" i="25" s="1"/>
  <c r="Y471" i="25"/>
  <c r="Y428" i="25"/>
  <c r="R428" i="25"/>
  <c r="S428" i="25" s="1"/>
  <c r="X432" i="25"/>
  <c r="Q432" i="25"/>
  <c r="X456" i="25"/>
  <c r="Q456" i="25"/>
  <c r="X499" i="25"/>
  <c r="Q499" i="25"/>
  <c r="X455" i="25"/>
  <c r="Q455" i="25"/>
  <c r="Q487" i="25"/>
  <c r="X487" i="25"/>
  <c r="R423" i="25"/>
  <c r="S423" i="25" s="1"/>
  <c r="Y423" i="25"/>
  <c r="Y463" i="25"/>
  <c r="R463" i="25"/>
  <c r="S463" i="25" s="1"/>
  <c r="Y538" i="25"/>
  <c r="R538" i="25"/>
  <c r="S538" i="25" s="1"/>
  <c r="R508" i="25"/>
  <c r="S508" i="25" s="1"/>
  <c r="Y508" i="25"/>
  <c r="Y501" i="25"/>
  <c r="R501" i="25"/>
  <c r="S501" i="25" s="1"/>
  <c r="Q468" i="25"/>
  <c r="X468" i="25"/>
  <c r="X492" i="25"/>
  <c r="Q492" i="25"/>
  <c r="Q517" i="25"/>
  <c r="X517" i="25"/>
  <c r="X531" i="25"/>
  <c r="Q531" i="25"/>
  <c r="X549" i="25"/>
  <c r="Q549" i="25"/>
  <c r="Q612" i="25"/>
  <c r="X612" i="25"/>
  <c r="Q622" i="25"/>
  <c r="D632" i="25" s="1"/>
  <c r="X622" i="25"/>
  <c r="X626" i="25"/>
  <c r="Q626" i="25"/>
  <c r="D636" i="25" s="1"/>
  <c r="X13" i="25"/>
  <c r="Q13" i="25"/>
  <c r="U13" i="25" s="1"/>
  <c r="R27" i="25"/>
  <c r="S27" i="25" s="1"/>
  <c r="Y27" i="25"/>
  <c r="X153" i="25"/>
  <c r="Q153" i="25"/>
  <c r="R15" i="25"/>
  <c r="S15" i="25" s="1"/>
  <c r="Y15" i="25"/>
  <c r="Q27" i="25"/>
  <c r="X27" i="25"/>
  <c r="Y39" i="25"/>
  <c r="R39" i="25"/>
  <c r="S39" i="25" s="1"/>
  <c r="Y101" i="25"/>
  <c r="R101" i="25"/>
  <c r="S101" i="25" s="1"/>
  <c r="X141" i="25"/>
  <c r="Q141" i="25"/>
  <c r="Q205" i="25"/>
  <c r="X205" i="25"/>
  <c r="X15" i="25"/>
  <c r="Q15" i="25"/>
  <c r="X25" i="25"/>
  <c r="Q25" i="25"/>
  <c r="Y53" i="25"/>
  <c r="R53" i="25"/>
  <c r="S53" i="25" s="1"/>
  <c r="Q86" i="25"/>
  <c r="X86" i="25"/>
  <c r="Q119" i="25"/>
  <c r="X119" i="25"/>
  <c r="X181" i="25"/>
  <c r="Q181" i="25"/>
  <c r="X247" i="25"/>
  <c r="Q247" i="25"/>
  <c r="X46" i="25"/>
  <c r="Q46" i="25"/>
  <c r="X137" i="25"/>
  <c r="Q137" i="25"/>
  <c r="X16" i="25"/>
  <c r="Q16" i="25"/>
  <c r="Y25" i="25"/>
  <c r="R25" i="25"/>
  <c r="S25" i="25" s="1"/>
  <c r="X63" i="25"/>
  <c r="Q63" i="25"/>
  <c r="Q129" i="25"/>
  <c r="X129" i="25"/>
  <c r="Q193" i="25"/>
  <c r="X193" i="25"/>
  <c r="X26" i="25"/>
  <c r="Q26" i="25"/>
  <c r="R41" i="25"/>
  <c r="S41" i="25" s="1"/>
  <c r="Y41" i="25"/>
  <c r="X51" i="25"/>
  <c r="Q51" i="25"/>
  <c r="Y18" i="25"/>
  <c r="R18" i="25"/>
  <c r="S18" i="25" s="1"/>
  <c r="R26" i="25"/>
  <c r="S26" i="25" s="1"/>
  <c r="Y26" i="25"/>
  <c r="X36" i="25"/>
  <c r="Q36" i="25"/>
  <c r="X45" i="25"/>
  <c r="Q45" i="25"/>
  <c r="Y59" i="25"/>
  <c r="R59" i="25"/>
  <c r="S59" i="25" s="1"/>
  <c r="Q68" i="25"/>
  <c r="X68" i="25"/>
  <c r="X77" i="25"/>
  <c r="Q77" i="25"/>
  <c r="Y91" i="25"/>
  <c r="R91" i="25"/>
  <c r="S91" i="25" s="1"/>
  <c r="X100" i="25"/>
  <c r="Q100" i="25"/>
  <c r="Q109" i="25"/>
  <c r="X109" i="25"/>
  <c r="Y123" i="25"/>
  <c r="R123" i="25"/>
  <c r="S123" i="25" s="1"/>
  <c r="Y139" i="25"/>
  <c r="R139" i="25"/>
  <c r="S139" i="25" s="1"/>
  <c r="Y155" i="25"/>
  <c r="R155" i="25"/>
  <c r="S155" i="25" s="1"/>
  <c r="Y171" i="25"/>
  <c r="R171" i="25"/>
  <c r="S171" i="25" s="1"/>
  <c r="Y187" i="25"/>
  <c r="R187" i="25"/>
  <c r="S187" i="25" s="1"/>
  <c r="Y203" i="25"/>
  <c r="R203" i="25"/>
  <c r="S203" i="25" s="1"/>
  <c r="Y219" i="25"/>
  <c r="R219" i="25"/>
  <c r="S219" i="25" s="1"/>
  <c r="Y270" i="25"/>
  <c r="R270" i="25"/>
  <c r="S270" i="25" s="1"/>
  <c r="Q41" i="25"/>
  <c r="X41" i="25"/>
  <c r="R55" i="25"/>
  <c r="S55" i="25" s="1"/>
  <c r="Y55" i="25"/>
  <c r="X64" i="25"/>
  <c r="Q64" i="25"/>
  <c r="Q73" i="25"/>
  <c r="X73" i="25"/>
  <c r="Y87" i="25"/>
  <c r="R87" i="25"/>
  <c r="S87" i="25" s="1"/>
  <c r="Q96" i="25"/>
  <c r="X96" i="25"/>
  <c r="Q105" i="25"/>
  <c r="X105" i="25"/>
  <c r="Y119" i="25"/>
  <c r="R119" i="25"/>
  <c r="S119" i="25" s="1"/>
  <c r="Y133" i="25"/>
  <c r="R133" i="25"/>
  <c r="S133" i="25" s="1"/>
  <c r="Y149" i="25"/>
  <c r="R149" i="25"/>
  <c r="S149" i="25" s="1"/>
  <c r="Y165" i="25"/>
  <c r="R165" i="25"/>
  <c r="S165" i="25" s="1"/>
  <c r="Y181" i="25"/>
  <c r="R181" i="25"/>
  <c r="S181" i="25" s="1"/>
  <c r="Y197" i="25"/>
  <c r="R197" i="25"/>
  <c r="S197" i="25" s="1"/>
  <c r="Y213" i="25"/>
  <c r="R213" i="25"/>
  <c r="S213" i="25" s="1"/>
  <c r="X255" i="25"/>
  <c r="Q255" i="25"/>
  <c r="X35" i="25"/>
  <c r="Q35" i="25"/>
  <c r="R65" i="25"/>
  <c r="S65" i="25" s="1"/>
  <c r="Y65" i="25"/>
  <c r="X74" i="25"/>
  <c r="Q74" i="25"/>
  <c r="X83" i="25"/>
  <c r="Q83" i="25"/>
  <c r="R97" i="25"/>
  <c r="S97" i="25" s="1"/>
  <c r="Y97" i="25"/>
  <c r="X106" i="25"/>
  <c r="Q106" i="25"/>
  <c r="Q115" i="25"/>
  <c r="X115" i="25"/>
  <c r="Q135" i="25"/>
  <c r="X135" i="25"/>
  <c r="Q151" i="25"/>
  <c r="X151" i="25"/>
  <c r="Q167" i="25"/>
  <c r="X167" i="25"/>
  <c r="Q183" i="25"/>
  <c r="X183" i="25"/>
  <c r="Q199" i="25"/>
  <c r="X199" i="25"/>
  <c r="Q215" i="25"/>
  <c r="X215" i="25"/>
  <c r="R232" i="25"/>
  <c r="S232" i="25" s="1"/>
  <c r="Y232" i="25"/>
  <c r="Q296" i="25"/>
  <c r="X296" i="25"/>
  <c r="R34" i="25"/>
  <c r="S34" i="25" s="1"/>
  <c r="Y34" i="25"/>
  <c r="R42" i="25"/>
  <c r="S42" i="25" s="1"/>
  <c r="Y42" i="25"/>
  <c r="R50" i="25"/>
  <c r="S50" i="25" s="1"/>
  <c r="Y50" i="25"/>
  <c r="R58" i="25"/>
  <c r="S58" i="25" s="1"/>
  <c r="Y58" i="25"/>
  <c r="R66" i="25"/>
  <c r="S66" i="25" s="1"/>
  <c r="Y66" i="25"/>
  <c r="Y74" i="25"/>
  <c r="R74" i="25"/>
  <c r="S74" i="25" s="1"/>
  <c r="Y82" i="25"/>
  <c r="R82" i="25"/>
  <c r="S82" i="25" s="1"/>
  <c r="Y90" i="25"/>
  <c r="R90" i="25"/>
  <c r="S90" i="25" s="1"/>
  <c r="R98" i="25"/>
  <c r="S98" i="25" s="1"/>
  <c r="Y98" i="25"/>
  <c r="R106" i="25"/>
  <c r="S106" i="25" s="1"/>
  <c r="Y106" i="25"/>
  <c r="R114" i="25"/>
  <c r="S114" i="25" s="1"/>
  <c r="Y114" i="25"/>
  <c r="R122" i="25"/>
  <c r="S122" i="25" s="1"/>
  <c r="Y122" i="25"/>
  <c r="Y130" i="25"/>
  <c r="R130" i="25"/>
  <c r="S130" i="25" s="1"/>
  <c r="Y138" i="25"/>
  <c r="R138" i="25"/>
  <c r="S138" i="25" s="1"/>
  <c r="Y146" i="25"/>
  <c r="R146" i="25"/>
  <c r="S146" i="25" s="1"/>
  <c r="R154" i="25"/>
  <c r="S154" i="25" s="1"/>
  <c r="Y154" i="25"/>
  <c r="R162" i="25"/>
  <c r="S162" i="25" s="1"/>
  <c r="Y162" i="25"/>
  <c r="Y170" i="25"/>
  <c r="R170" i="25"/>
  <c r="S170" i="25" s="1"/>
  <c r="Y178" i="25"/>
  <c r="R178" i="25"/>
  <c r="S178" i="25" s="1"/>
  <c r="R186" i="25"/>
  <c r="S186" i="25" s="1"/>
  <c r="Y186" i="25"/>
  <c r="Y194" i="25"/>
  <c r="R194" i="25"/>
  <c r="S194" i="25" s="1"/>
  <c r="Y202" i="25"/>
  <c r="R202" i="25"/>
  <c r="S202" i="25" s="1"/>
  <c r="Y210" i="25"/>
  <c r="R210" i="25"/>
  <c r="S210" i="25" s="1"/>
  <c r="R218" i="25"/>
  <c r="S218" i="25" s="1"/>
  <c r="Y218" i="25"/>
  <c r="R227" i="25"/>
  <c r="S227" i="25" s="1"/>
  <c r="Y227" i="25"/>
  <c r="Q237" i="25"/>
  <c r="X237" i="25"/>
  <c r="R246" i="25"/>
  <c r="S246" i="25" s="1"/>
  <c r="Y246" i="25"/>
  <c r="Y259" i="25"/>
  <c r="R259" i="25"/>
  <c r="S259" i="25" s="1"/>
  <c r="R272" i="25"/>
  <c r="S272" i="25" s="1"/>
  <c r="Y272" i="25"/>
  <c r="Y319" i="25"/>
  <c r="R319" i="25"/>
  <c r="S319" i="25" s="1"/>
  <c r="Y223" i="25"/>
  <c r="R223" i="25"/>
  <c r="S223" i="25" s="1"/>
  <c r="Q233" i="25"/>
  <c r="X233" i="25"/>
  <c r="Y242" i="25"/>
  <c r="R242" i="25"/>
  <c r="S242" i="25" s="1"/>
  <c r="Y255" i="25"/>
  <c r="R255" i="25"/>
  <c r="S255" i="25" s="1"/>
  <c r="R268" i="25"/>
  <c r="S268" i="25" s="1"/>
  <c r="Y268" i="25"/>
  <c r="X305" i="25"/>
  <c r="Q305" i="25"/>
  <c r="X120" i="25"/>
  <c r="Q120" i="25"/>
  <c r="Q128" i="25"/>
  <c r="X128" i="25"/>
  <c r="Q136" i="25"/>
  <c r="X136" i="25"/>
  <c r="X144" i="25"/>
  <c r="Q144" i="25"/>
  <c r="X152" i="25"/>
  <c r="Q152" i="25"/>
  <c r="X160" i="25"/>
  <c r="Q160" i="25"/>
  <c r="Q168" i="25"/>
  <c r="X168" i="25"/>
  <c r="Q176" i="25"/>
  <c r="X176" i="25"/>
  <c r="X184" i="25"/>
  <c r="Q184" i="25"/>
  <c r="X192" i="25"/>
  <c r="Q192" i="25"/>
  <c r="Q200" i="25"/>
  <c r="X200" i="25"/>
  <c r="X208" i="25"/>
  <c r="Q208" i="25"/>
  <c r="X216" i="25"/>
  <c r="Q216" i="25"/>
  <c r="X224" i="25"/>
  <c r="Q224" i="25"/>
  <c r="X235" i="25"/>
  <c r="Q235" i="25"/>
  <c r="Y244" i="25"/>
  <c r="R244" i="25"/>
  <c r="S244" i="25" s="1"/>
  <c r="Y257" i="25"/>
  <c r="R257" i="25"/>
  <c r="S257" i="25" s="1"/>
  <c r="Y274" i="25"/>
  <c r="R274" i="25"/>
  <c r="S274" i="25" s="1"/>
  <c r="R311" i="25"/>
  <c r="S311" i="25" s="1"/>
  <c r="Y311" i="25"/>
  <c r="Y367" i="25"/>
  <c r="R367" i="25"/>
  <c r="S367" i="25" s="1"/>
  <c r="Q232" i="25"/>
  <c r="X232" i="25"/>
  <c r="X240" i="25"/>
  <c r="Q240" i="25"/>
  <c r="X248" i="25"/>
  <c r="Q248" i="25"/>
  <c r="X256" i="25"/>
  <c r="Q256" i="25"/>
  <c r="Q264" i="25"/>
  <c r="X264" i="25"/>
  <c r="X272" i="25"/>
  <c r="Q272" i="25"/>
  <c r="X279" i="25"/>
  <c r="Q279" i="25"/>
  <c r="Y293" i="25"/>
  <c r="R293" i="25"/>
  <c r="S293" i="25" s="1"/>
  <c r="Q302" i="25"/>
  <c r="X302" i="25"/>
  <c r="Q311" i="25"/>
  <c r="X311" i="25"/>
  <c r="Y325" i="25"/>
  <c r="R325" i="25"/>
  <c r="S325" i="25" s="1"/>
  <c r="X334" i="25"/>
  <c r="Q334" i="25"/>
  <c r="X343" i="25"/>
  <c r="Q343" i="25"/>
  <c r="Y351" i="25"/>
  <c r="R351" i="25"/>
  <c r="S351" i="25" s="1"/>
  <c r="R359" i="25"/>
  <c r="S359" i="25" s="1"/>
  <c r="Y359" i="25"/>
  <c r="Y369" i="25"/>
  <c r="R369" i="25"/>
  <c r="S369" i="25" s="1"/>
  <c r="Y442" i="25"/>
  <c r="R442" i="25"/>
  <c r="S442" i="25" s="1"/>
  <c r="Q269" i="25"/>
  <c r="X269" i="25"/>
  <c r="X277" i="25"/>
  <c r="Q277" i="25"/>
  <c r="Y289" i="25"/>
  <c r="R289" i="25"/>
  <c r="S289" i="25" s="1"/>
  <c r="X298" i="25"/>
  <c r="Q298" i="25"/>
  <c r="X307" i="25"/>
  <c r="Q307" i="25"/>
  <c r="R321" i="25"/>
  <c r="S321" i="25" s="1"/>
  <c r="Y321" i="25"/>
  <c r="Q330" i="25"/>
  <c r="X330" i="25"/>
  <c r="Q339" i="25"/>
  <c r="X339" i="25"/>
  <c r="Q350" i="25"/>
  <c r="X350" i="25"/>
  <c r="X358" i="25"/>
  <c r="Q358" i="25"/>
  <c r="Y373" i="25"/>
  <c r="R373" i="25"/>
  <c r="S373" i="25" s="1"/>
  <c r="Y265" i="25"/>
  <c r="R265" i="25"/>
  <c r="S265" i="25" s="1"/>
  <c r="Y273" i="25"/>
  <c r="R273" i="25"/>
  <c r="S273" i="25" s="1"/>
  <c r="Q284" i="25"/>
  <c r="X284" i="25"/>
  <c r="X293" i="25"/>
  <c r="Q293" i="25"/>
  <c r="Y307" i="25"/>
  <c r="R307" i="25"/>
  <c r="S307" i="25" s="1"/>
  <c r="X316" i="25"/>
  <c r="Q316" i="25"/>
  <c r="Q325" i="25"/>
  <c r="X325" i="25"/>
  <c r="R339" i="25"/>
  <c r="S339" i="25" s="1"/>
  <c r="Y339" i="25"/>
  <c r="Y385" i="25"/>
  <c r="R385" i="25"/>
  <c r="S385" i="25" s="1"/>
  <c r="X347" i="25"/>
  <c r="Q347" i="25"/>
  <c r="Q355" i="25"/>
  <c r="X355" i="25"/>
  <c r="Q363" i="25"/>
  <c r="X363" i="25"/>
  <c r="X371" i="25"/>
  <c r="Q371" i="25"/>
  <c r="X377" i="25"/>
  <c r="Q377" i="25"/>
  <c r="Y391" i="25"/>
  <c r="R391" i="25"/>
  <c r="S391" i="25" s="1"/>
  <c r="Y400" i="25"/>
  <c r="R400" i="25"/>
  <c r="S400" i="25" s="1"/>
  <c r="Y450" i="25"/>
  <c r="R450" i="25"/>
  <c r="S450" i="25" s="1"/>
  <c r="X372" i="25"/>
  <c r="Q372" i="25"/>
  <c r="X381" i="25"/>
  <c r="Q381" i="25"/>
  <c r="Y395" i="25"/>
  <c r="R395" i="25"/>
  <c r="S395" i="25" s="1"/>
  <c r="X405" i="25"/>
  <c r="Q405" i="25"/>
  <c r="R282" i="25"/>
  <c r="S282" i="25" s="1"/>
  <c r="Y282" i="25"/>
  <c r="Y290" i="25"/>
  <c r="R290" i="25"/>
  <c r="S290" i="25" s="1"/>
  <c r="R298" i="25"/>
  <c r="S298" i="25" s="1"/>
  <c r="Y298" i="25"/>
  <c r="R306" i="25"/>
  <c r="S306" i="25" s="1"/>
  <c r="Y306" i="25"/>
  <c r="R314" i="25"/>
  <c r="S314" i="25" s="1"/>
  <c r="Y314" i="25"/>
  <c r="R322" i="25"/>
  <c r="S322" i="25" s="1"/>
  <c r="Y322" i="25"/>
  <c r="R330" i="25"/>
  <c r="S330" i="25" s="1"/>
  <c r="Y330" i="25"/>
  <c r="Y338" i="25"/>
  <c r="R338" i="25"/>
  <c r="S338" i="25" s="1"/>
  <c r="Y346" i="25"/>
  <c r="R346" i="25"/>
  <c r="S346" i="25" s="1"/>
  <c r="Y354" i="25"/>
  <c r="R354" i="25"/>
  <c r="S354" i="25" s="1"/>
  <c r="R362" i="25"/>
  <c r="S362" i="25" s="1"/>
  <c r="Y362" i="25"/>
  <c r="R370" i="25"/>
  <c r="S370" i="25" s="1"/>
  <c r="Y370" i="25"/>
  <c r="Y381" i="25"/>
  <c r="R381" i="25"/>
  <c r="S381" i="25" s="1"/>
  <c r="X390" i="25"/>
  <c r="Q390" i="25"/>
  <c r="Q399" i="25"/>
  <c r="X399" i="25"/>
  <c r="X414" i="25"/>
  <c r="Q414" i="25"/>
  <c r="Y380" i="25"/>
  <c r="R380" i="25"/>
  <c r="S380" i="25" s="1"/>
  <c r="Y388" i="25"/>
  <c r="R388" i="25"/>
  <c r="S388" i="25" s="1"/>
  <c r="Y396" i="25"/>
  <c r="R396" i="25"/>
  <c r="S396" i="25" s="1"/>
  <c r="X404" i="25"/>
  <c r="Q404" i="25"/>
  <c r="Y418" i="25"/>
  <c r="R418" i="25"/>
  <c r="S418" i="25" s="1"/>
  <c r="X427" i="25"/>
  <c r="Q427" i="25"/>
  <c r="Y460" i="25"/>
  <c r="R460" i="25"/>
  <c r="S460" i="25" s="1"/>
  <c r="Q407" i="25"/>
  <c r="X407" i="25"/>
  <c r="X416" i="25"/>
  <c r="Q416" i="25"/>
  <c r="X428" i="25"/>
  <c r="Q428" i="25"/>
  <c r="Y456" i="25"/>
  <c r="R456" i="25"/>
  <c r="S456" i="25" s="1"/>
  <c r="X483" i="25"/>
  <c r="Q483" i="25"/>
  <c r="X401" i="25"/>
  <c r="Q401" i="25"/>
  <c r="X410" i="25"/>
  <c r="Q410" i="25"/>
  <c r="R424" i="25"/>
  <c r="S424" i="25" s="1"/>
  <c r="Y424" i="25"/>
  <c r="R430" i="25"/>
  <c r="S430" i="25" s="1"/>
  <c r="Y430" i="25"/>
  <c r="R462" i="25"/>
  <c r="S462" i="25" s="1"/>
  <c r="Y462" i="25"/>
  <c r="X489" i="25"/>
  <c r="Q489" i="25"/>
  <c r="X434" i="25"/>
  <c r="Q434" i="25"/>
  <c r="Q442" i="25"/>
  <c r="X442" i="25"/>
  <c r="X450" i="25"/>
  <c r="Q450" i="25"/>
  <c r="Q458" i="25"/>
  <c r="X458" i="25"/>
  <c r="Y469" i="25"/>
  <c r="R469" i="25"/>
  <c r="S469" i="25" s="1"/>
  <c r="X479" i="25"/>
  <c r="Q479" i="25"/>
  <c r="Q507" i="25"/>
  <c r="X507" i="25"/>
  <c r="Q433" i="25"/>
  <c r="X433" i="25"/>
  <c r="X441" i="25"/>
  <c r="Q441" i="25"/>
  <c r="X449" i="25"/>
  <c r="Q449" i="25"/>
  <c r="Q457" i="25"/>
  <c r="X457" i="25"/>
  <c r="Y465" i="25"/>
  <c r="R465" i="25"/>
  <c r="S465" i="25" s="1"/>
  <c r="X475" i="25"/>
  <c r="Q475" i="25"/>
  <c r="X495" i="25"/>
  <c r="Q495" i="25"/>
  <c r="R401" i="25"/>
  <c r="S401" i="25" s="1"/>
  <c r="Y401" i="25"/>
  <c r="Y409" i="25"/>
  <c r="R409" i="25"/>
  <c r="S409" i="25" s="1"/>
  <c r="R417" i="25"/>
  <c r="S417" i="25" s="1"/>
  <c r="Y417" i="25"/>
  <c r="R425" i="25"/>
  <c r="S425" i="25" s="1"/>
  <c r="Y425" i="25"/>
  <c r="Y433" i="25"/>
  <c r="R433" i="25"/>
  <c r="S433" i="25" s="1"/>
  <c r="R441" i="25"/>
  <c r="S441" i="25" s="1"/>
  <c r="Y441" i="25"/>
  <c r="Y449" i="25"/>
  <c r="R449" i="25"/>
  <c r="S449" i="25" s="1"/>
  <c r="R457" i="25"/>
  <c r="S457" i="25" s="1"/>
  <c r="Y457" i="25"/>
  <c r="Y467" i="25"/>
  <c r="R467" i="25"/>
  <c r="S467" i="25" s="1"/>
  <c r="X477" i="25"/>
  <c r="Q477" i="25"/>
  <c r="Q493" i="25"/>
  <c r="X493" i="25"/>
  <c r="R486" i="25"/>
  <c r="S486" i="25" s="1"/>
  <c r="Y486" i="25"/>
  <c r="Y494" i="25"/>
  <c r="R494" i="25"/>
  <c r="S494" i="25" s="1"/>
  <c r="R502" i="25"/>
  <c r="S502" i="25" s="1"/>
  <c r="Y502" i="25"/>
  <c r="Y510" i="25"/>
  <c r="R510" i="25"/>
  <c r="S510" i="25" s="1"/>
  <c r="R520" i="25"/>
  <c r="S520" i="25" s="1"/>
  <c r="Y520" i="25"/>
  <c r="Y530" i="25"/>
  <c r="R530" i="25"/>
  <c r="S530" i="25" s="1"/>
  <c r="R487" i="25"/>
  <c r="S487" i="25" s="1"/>
  <c r="Y487" i="25"/>
  <c r="Y495" i="25"/>
  <c r="R495" i="25"/>
  <c r="S495" i="25" s="1"/>
  <c r="R503" i="25"/>
  <c r="S503" i="25" s="1"/>
  <c r="Y503" i="25"/>
  <c r="Y511" i="25"/>
  <c r="R511" i="25"/>
  <c r="S511" i="25" s="1"/>
  <c r="X553" i="25"/>
  <c r="Q553" i="25"/>
  <c r="Q470" i="25"/>
  <c r="X470" i="25"/>
  <c r="Q478" i="25"/>
  <c r="X478" i="25"/>
  <c r="X486" i="25"/>
  <c r="Q486" i="25"/>
  <c r="Q494" i="25"/>
  <c r="X494" i="25"/>
  <c r="Q502" i="25"/>
  <c r="X502" i="25"/>
  <c r="X510" i="25"/>
  <c r="Q510" i="25"/>
  <c r="X520" i="25"/>
  <c r="Q520" i="25"/>
  <c r="Y581" i="25"/>
  <c r="R581" i="25"/>
  <c r="S581" i="25" s="1"/>
  <c r="X519" i="25"/>
  <c r="Q519" i="25"/>
  <c r="X527" i="25"/>
  <c r="Q527" i="25"/>
  <c r="Y536" i="25"/>
  <c r="R536" i="25"/>
  <c r="S536" i="25" s="1"/>
  <c r="X580" i="25"/>
  <c r="Q580" i="25"/>
  <c r="Y532" i="25"/>
  <c r="R532" i="25"/>
  <c r="S532" i="25" s="1"/>
  <c r="Q558" i="25"/>
  <c r="X558" i="25"/>
  <c r="Y524" i="25"/>
  <c r="R524" i="25"/>
  <c r="S524" i="25" s="1"/>
  <c r="X533" i="25"/>
  <c r="Q533" i="25"/>
  <c r="Y540" i="25"/>
  <c r="R540" i="25"/>
  <c r="S540" i="25" s="1"/>
  <c r="Y548" i="25"/>
  <c r="R548" i="25"/>
  <c r="S548" i="25" s="1"/>
  <c r="R556" i="25"/>
  <c r="S556" i="25" s="1"/>
  <c r="Y556" i="25"/>
  <c r="R565" i="25"/>
  <c r="S565" i="25" s="1"/>
  <c r="Y565" i="25"/>
  <c r="Y587" i="25"/>
  <c r="R587" i="25"/>
  <c r="S587" i="25" s="1"/>
  <c r="Y545" i="25"/>
  <c r="R545" i="25"/>
  <c r="S545" i="25" s="1"/>
  <c r="R553" i="25"/>
  <c r="S553" i="25" s="1"/>
  <c r="Y553" i="25"/>
  <c r="R561" i="25"/>
  <c r="S561" i="25" s="1"/>
  <c r="Y561" i="25"/>
  <c r="Q530" i="25"/>
  <c r="X530" i="25"/>
  <c r="Q538" i="25"/>
  <c r="X538" i="25"/>
  <c r="Q546" i="25"/>
  <c r="X546" i="25"/>
  <c r="X554" i="25"/>
  <c r="Q554" i="25"/>
  <c r="Y563" i="25"/>
  <c r="R563" i="25"/>
  <c r="S563" i="25" s="1"/>
  <c r="Y567" i="25"/>
  <c r="R567" i="25"/>
  <c r="S567" i="25" s="1"/>
  <c r="Y575" i="25"/>
  <c r="R575" i="25"/>
  <c r="S575" i="25" s="1"/>
  <c r="Q592" i="25"/>
  <c r="X592" i="25"/>
  <c r="R572" i="25"/>
  <c r="S572" i="25" s="1"/>
  <c r="Y572" i="25"/>
  <c r="X582" i="25"/>
  <c r="Q582" i="25"/>
  <c r="Q557" i="25"/>
  <c r="X557" i="25"/>
  <c r="X565" i="25"/>
  <c r="Q565" i="25"/>
  <c r="X573" i="25"/>
  <c r="Q573" i="25"/>
  <c r="R591" i="25"/>
  <c r="S591" i="25" s="1"/>
  <c r="Y591" i="25"/>
  <c r="Q581" i="25"/>
  <c r="X581" i="25"/>
  <c r="Q589" i="25"/>
  <c r="X589" i="25"/>
  <c r="X584" i="25"/>
  <c r="Q584" i="25"/>
  <c r="R592" i="25"/>
  <c r="S592" i="25" s="1"/>
  <c r="Y592" i="25"/>
  <c r="X606" i="25"/>
  <c r="Q606" i="25"/>
  <c r="Y594" i="25"/>
  <c r="R594" i="25"/>
  <c r="S594" i="25" s="1"/>
  <c r="R607" i="25"/>
  <c r="S607" i="25" s="1"/>
  <c r="Y607" i="25"/>
  <c r="R599" i="25"/>
  <c r="S599" i="25" s="1"/>
  <c r="Y599" i="25"/>
  <c r="Q607" i="25"/>
  <c r="X607" i="25"/>
  <c r="R602" i="25"/>
  <c r="S602" i="25" s="1"/>
  <c r="Y602" i="25"/>
  <c r="X597" i="25"/>
  <c r="Q597" i="25"/>
  <c r="Q605" i="25"/>
  <c r="X605" i="25"/>
  <c r="X609" i="25"/>
  <c r="Q609" i="25"/>
  <c r="R611" i="25"/>
  <c r="S611" i="25" s="1"/>
  <c r="Y611" i="25"/>
  <c r="R626" i="25"/>
  <c r="S626" i="25" s="1"/>
  <c r="Y626" i="25"/>
  <c r="X14" i="25"/>
  <c r="Q14" i="25"/>
  <c r="Q71" i="25"/>
  <c r="X71" i="25"/>
  <c r="Q125" i="25"/>
  <c r="X125" i="25"/>
  <c r="X23" i="25"/>
  <c r="Q23" i="25"/>
  <c r="X38" i="25"/>
  <c r="Q38" i="25"/>
  <c r="X165" i="25"/>
  <c r="Q165" i="25"/>
  <c r="Q225" i="25"/>
  <c r="X225" i="25"/>
  <c r="R13" i="25"/>
  <c r="S13" i="25" s="1"/>
  <c r="Y13" i="25"/>
  <c r="Q24" i="25"/>
  <c r="X24" i="25"/>
  <c r="Q177" i="25"/>
  <c r="X177" i="25"/>
  <c r="X34" i="25"/>
  <c r="Q34" i="25"/>
  <c r="R16" i="25"/>
  <c r="S16" i="25" s="1"/>
  <c r="Y16" i="25"/>
  <c r="X44" i="25"/>
  <c r="Q44" i="25"/>
  <c r="Q76" i="25"/>
  <c r="X76" i="25"/>
  <c r="Q85" i="25"/>
  <c r="X85" i="25"/>
  <c r="Q117" i="25"/>
  <c r="X117" i="25"/>
  <c r="Y151" i="25"/>
  <c r="R151" i="25"/>
  <c r="S151" i="25" s="1"/>
  <c r="Y183" i="25"/>
  <c r="R183" i="25"/>
  <c r="S183" i="25" s="1"/>
  <c r="Y245" i="25"/>
  <c r="R245" i="25"/>
  <c r="S245" i="25" s="1"/>
  <c r="R63" i="25"/>
  <c r="S63" i="25" s="1"/>
  <c r="Y63" i="25"/>
  <c r="Y95" i="25"/>
  <c r="R95" i="25"/>
  <c r="S95" i="25" s="1"/>
  <c r="Y145" i="25"/>
  <c r="R145" i="25"/>
  <c r="S145" i="25" s="1"/>
  <c r="R177" i="25"/>
  <c r="S177" i="25" s="1"/>
  <c r="Y177" i="25"/>
  <c r="Y229" i="25"/>
  <c r="R229" i="25"/>
  <c r="S229" i="25" s="1"/>
  <c r="Y73" i="25"/>
  <c r="R73" i="25"/>
  <c r="S73" i="25" s="1"/>
  <c r="Q82" i="25"/>
  <c r="X82" i="25"/>
  <c r="Q114" i="25"/>
  <c r="X114" i="25"/>
  <c r="X131" i="25"/>
  <c r="Q131" i="25"/>
  <c r="X179" i="25"/>
  <c r="Q179" i="25"/>
  <c r="X211" i="25"/>
  <c r="Q211" i="25"/>
  <c r="R278" i="25"/>
  <c r="S278" i="25" s="1"/>
  <c r="Y278" i="25"/>
  <c r="R40" i="25"/>
  <c r="S40" i="25" s="1"/>
  <c r="Y40" i="25"/>
  <c r="R64" i="25"/>
  <c r="S64" i="25" s="1"/>
  <c r="Y64" i="25"/>
  <c r="R88" i="25"/>
  <c r="S88" i="25" s="1"/>
  <c r="Y88" i="25"/>
  <c r="Y96" i="25"/>
  <c r="R96" i="25"/>
  <c r="S96" i="25" s="1"/>
  <c r="Y120" i="25"/>
  <c r="R120" i="25"/>
  <c r="S120" i="25" s="1"/>
  <c r="R144" i="25"/>
  <c r="S144" i="25" s="1"/>
  <c r="Y144" i="25"/>
  <c r="R152" i="25"/>
  <c r="S152" i="25" s="1"/>
  <c r="Y152" i="25"/>
  <c r="Y176" i="25"/>
  <c r="R176" i="25"/>
  <c r="S176" i="25" s="1"/>
  <c r="R192" i="25"/>
  <c r="S192" i="25" s="1"/>
  <c r="Y192" i="25"/>
  <c r="Y216" i="25"/>
  <c r="R216" i="25"/>
  <c r="S216" i="25" s="1"/>
  <c r="R235" i="25"/>
  <c r="S235" i="25" s="1"/>
  <c r="Y235" i="25"/>
  <c r="R254" i="25"/>
  <c r="S254" i="25" s="1"/>
  <c r="Y254" i="25"/>
  <c r="R221" i="25"/>
  <c r="S221" i="25" s="1"/>
  <c r="Y221" i="25"/>
  <c r="Y231" i="25"/>
  <c r="R231" i="25"/>
  <c r="S231" i="25" s="1"/>
  <c r="R263" i="25"/>
  <c r="S263" i="25" s="1"/>
  <c r="Y263" i="25"/>
  <c r="X304" i="25"/>
  <c r="Q304" i="25"/>
  <c r="X134" i="25"/>
  <c r="Q134" i="25"/>
  <c r="X158" i="25"/>
  <c r="Q158" i="25"/>
  <c r="Q166" i="25"/>
  <c r="X166" i="25"/>
  <c r="X190" i="25"/>
  <c r="Q190" i="25"/>
  <c r="Q198" i="25"/>
  <c r="X198" i="25"/>
  <c r="X222" i="25"/>
  <c r="Q222" i="25"/>
  <c r="Q243" i="25"/>
  <c r="X243" i="25"/>
  <c r="Y266" i="25"/>
  <c r="R266" i="25"/>
  <c r="S266" i="25" s="1"/>
  <c r="Q230" i="25"/>
  <c r="X230" i="25"/>
  <c r="Q254" i="25"/>
  <c r="X254" i="25"/>
  <c r="Q270" i="25"/>
  <c r="X270" i="25"/>
  <c r="X287" i="25"/>
  <c r="Q287" i="25"/>
  <c r="Q310" i="25"/>
  <c r="X310" i="25"/>
  <c r="X342" i="25"/>
  <c r="Q342" i="25"/>
  <c r="X356" i="25"/>
  <c r="Q356" i="25"/>
  <c r="X395" i="25"/>
  <c r="Q395" i="25"/>
  <c r="Q283" i="25"/>
  <c r="X283" i="25"/>
  <c r="Y329" i="25"/>
  <c r="R329" i="25"/>
  <c r="S329" i="25" s="1"/>
  <c r="R349" i="25"/>
  <c r="S349" i="25" s="1"/>
  <c r="Y349" i="25"/>
  <c r="R365" i="25"/>
  <c r="S365" i="25" s="1"/>
  <c r="Y365" i="25"/>
  <c r="R283" i="25"/>
  <c r="S283" i="25" s="1"/>
  <c r="Y283" i="25"/>
  <c r="X301" i="25"/>
  <c r="Q301" i="25"/>
  <c r="X324" i="25"/>
  <c r="Q324" i="25"/>
  <c r="Y371" i="25"/>
  <c r="R371" i="25"/>
  <c r="S371" i="25" s="1"/>
  <c r="X353" i="25"/>
  <c r="Q353" i="25"/>
  <c r="Q376" i="25"/>
  <c r="X376" i="25"/>
  <c r="Q422" i="25"/>
  <c r="X422" i="25"/>
  <c r="Y280" i="25"/>
  <c r="R280" i="25"/>
  <c r="S280" i="25" s="1"/>
  <c r="R288" i="25"/>
  <c r="S288" i="25" s="1"/>
  <c r="Y288" i="25"/>
  <c r="Y312" i="25"/>
  <c r="R312" i="25"/>
  <c r="S312" i="25" s="1"/>
  <c r="Y336" i="25"/>
  <c r="R336" i="25"/>
  <c r="S336" i="25" s="1"/>
  <c r="Y344" i="25"/>
  <c r="R344" i="25"/>
  <c r="S344" i="25" s="1"/>
  <c r="R368" i="25"/>
  <c r="S368" i="25" s="1"/>
  <c r="Y368" i="25"/>
  <c r="Q398" i="25"/>
  <c r="X398" i="25"/>
  <c r="Q413" i="25"/>
  <c r="X413" i="25"/>
  <c r="Y394" i="25"/>
  <c r="R394" i="25"/>
  <c r="S394" i="25" s="1"/>
  <c r="Y426" i="25"/>
  <c r="R426" i="25"/>
  <c r="S426" i="25" s="1"/>
  <c r="R452" i="25"/>
  <c r="S452" i="25" s="1"/>
  <c r="Y452" i="25"/>
  <c r="X424" i="25"/>
  <c r="Q424" i="25"/>
  <c r="R522" i="25"/>
  <c r="S522" i="25" s="1"/>
  <c r="Y522" i="25"/>
  <c r="X409" i="25"/>
  <c r="Q409" i="25"/>
  <c r="Y454" i="25"/>
  <c r="R454" i="25"/>
  <c r="S454" i="25" s="1"/>
  <c r="Q440" i="25"/>
  <c r="X440" i="25"/>
  <c r="X448" i="25"/>
  <c r="Q448" i="25"/>
  <c r="Y477" i="25"/>
  <c r="R477" i="25"/>
  <c r="S477" i="25" s="1"/>
  <c r="X431" i="25"/>
  <c r="Q431" i="25"/>
  <c r="X447" i="25"/>
  <c r="Q447" i="25"/>
  <c r="Y473" i="25"/>
  <c r="R473" i="25"/>
  <c r="S473" i="25" s="1"/>
  <c r="X537" i="25"/>
  <c r="Q537" i="25"/>
  <c r="R415" i="25"/>
  <c r="S415" i="25" s="1"/>
  <c r="Y415" i="25"/>
  <c r="R439" i="25"/>
  <c r="S439" i="25" s="1"/>
  <c r="Y439" i="25"/>
  <c r="Y447" i="25"/>
  <c r="R447" i="25"/>
  <c r="S447" i="25" s="1"/>
  <c r="Y475" i="25"/>
  <c r="R475" i="25"/>
  <c r="S475" i="25" s="1"/>
  <c r="Y492" i="25"/>
  <c r="R492" i="25"/>
  <c r="S492" i="25" s="1"/>
  <c r="R500" i="25"/>
  <c r="S500" i="25" s="1"/>
  <c r="Y500" i="25"/>
  <c r="Q529" i="25"/>
  <c r="X529" i="25"/>
  <c r="Y485" i="25"/>
  <c r="R485" i="25"/>
  <c r="S485" i="25" s="1"/>
  <c r="R509" i="25"/>
  <c r="S509" i="25" s="1"/>
  <c r="Y509" i="25"/>
  <c r="R519" i="25"/>
  <c r="S519" i="25" s="1"/>
  <c r="Y519" i="25"/>
  <c r="X484" i="25"/>
  <c r="Q484" i="25"/>
  <c r="X508" i="25"/>
  <c r="Q508" i="25"/>
  <c r="Y518" i="25"/>
  <c r="R518" i="25"/>
  <c r="S518" i="25" s="1"/>
  <c r="R525" i="25"/>
  <c r="S525" i="25" s="1"/>
  <c r="Y525" i="25"/>
  <c r="X555" i="25"/>
  <c r="Q555" i="25"/>
  <c r="Q551" i="25"/>
  <c r="X551" i="25"/>
  <c r="X572" i="25"/>
  <c r="Q572" i="25"/>
  <c r="Y531" i="25"/>
  <c r="R531" i="25"/>
  <c r="S531" i="25" s="1"/>
  <c r="R554" i="25"/>
  <c r="S554" i="25" s="1"/>
  <c r="Y554" i="25"/>
  <c r="X564" i="25"/>
  <c r="Q564" i="25"/>
  <c r="Y578" i="25"/>
  <c r="R578" i="25"/>
  <c r="S578" i="25" s="1"/>
  <c r="Y543" i="25"/>
  <c r="R543" i="25"/>
  <c r="S543" i="25" s="1"/>
  <c r="R551" i="25"/>
  <c r="S551" i="25" s="1"/>
  <c r="Y551" i="25"/>
  <c r="Q560" i="25"/>
  <c r="X560" i="25"/>
  <c r="Q528" i="25"/>
  <c r="X528" i="25"/>
  <c r="X536" i="25"/>
  <c r="Q536" i="25"/>
  <c r="X544" i="25"/>
  <c r="Q544" i="25"/>
  <c r="Q552" i="25"/>
  <c r="X552" i="25"/>
  <c r="X562" i="25"/>
  <c r="Q562" i="25"/>
  <c r="Y584" i="25"/>
  <c r="R584" i="25"/>
  <c r="S584" i="25" s="1"/>
  <c r="Y573" i="25"/>
  <c r="R573" i="25"/>
  <c r="S573" i="25" s="1"/>
  <c r="Y589" i="25"/>
  <c r="R589" i="25"/>
  <c r="S589" i="25" s="1"/>
  <c r="R570" i="25"/>
  <c r="S570" i="25" s="1"/>
  <c r="Y570" i="25"/>
  <c r="Y580" i="25"/>
  <c r="R580" i="25"/>
  <c r="S580" i="25" s="1"/>
  <c r="X600" i="25"/>
  <c r="Q600" i="25"/>
  <c r="Q563" i="25"/>
  <c r="X563" i="25"/>
  <c r="X571" i="25"/>
  <c r="Q571" i="25"/>
  <c r="R582" i="25"/>
  <c r="S582" i="25" s="1"/>
  <c r="Y582" i="25"/>
  <c r="X579" i="25"/>
  <c r="Q579" i="25"/>
  <c r="X587" i="25"/>
  <c r="Q587" i="25"/>
  <c r="X602" i="25"/>
  <c r="Q602" i="25"/>
  <c r="X590" i="25"/>
  <c r="Q590" i="25"/>
  <c r="Q598" i="25"/>
  <c r="X598" i="25"/>
  <c r="Y590" i="25"/>
  <c r="R590" i="25"/>
  <c r="S590" i="25" s="1"/>
  <c r="X604" i="25"/>
  <c r="Q604" i="25"/>
  <c r="Y597" i="25"/>
  <c r="R597" i="25"/>
  <c r="S597" i="25" s="1"/>
  <c r="R605" i="25"/>
  <c r="S605" i="25" s="1"/>
  <c r="Y605" i="25"/>
  <c r="Y600" i="25"/>
  <c r="R600" i="25"/>
  <c r="S600" i="25" s="1"/>
  <c r="X603" i="25"/>
  <c r="Q603" i="25"/>
  <c r="R627" i="25"/>
  <c r="S627" i="25" s="1"/>
  <c r="AB627" i="25"/>
  <c r="Y622" i="25"/>
  <c r="R622" i="25"/>
  <c r="S622" i="25" s="1"/>
  <c r="Y19" i="25"/>
  <c r="R19" i="25"/>
  <c r="S19" i="25" s="1"/>
  <c r="Q47" i="25"/>
  <c r="X47" i="25"/>
  <c r="X185" i="25"/>
  <c r="Q185" i="25"/>
  <c r="R17" i="25"/>
  <c r="S17" i="25" s="1"/>
  <c r="Y17" i="25"/>
  <c r="R29" i="25"/>
  <c r="S29" i="25" s="1"/>
  <c r="Y29" i="25"/>
  <c r="Y69" i="25"/>
  <c r="R69" i="25"/>
  <c r="S69" i="25" s="1"/>
  <c r="Q102" i="25"/>
  <c r="X102" i="25"/>
  <c r="X157" i="25"/>
  <c r="Q157" i="25"/>
  <c r="Q32" i="25"/>
  <c r="X32" i="25"/>
  <c r="Y21" i="25"/>
  <c r="R21" i="25"/>
  <c r="S21" i="25" s="1"/>
  <c r="Y31" i="25"/>
  <c r="R31" i="25"/>
  <c r="S31" i="25" s="1"/>
  <c r="Q54" i="25"/>
  <c r="X54" i="25"/>
  <c r="X87" i="25"/>
  <c r="Q87" i="25"/>
  <c r="X133" i="25"/>
  <c r="Q133" i="25"/>
  <c r="Q197" i="25"/>
  <c r="X197" i="25"/>
  <c r="Y253" i="25"/>
  <c r="R253" i="25"/>
  <c r="S253" i="25" s="1"/>
  <c r="R77" i="25"/>
  <c r="S77" i="25" s="1"/>
  <c r="Y77" i="25"/>
  <c r="X169" i="25"/>
  <c r="Q169" i="25"/>
  <c r="X17" i="25"/>
  <c r="Q17" i="25"/>
  <c r="X39" i="25"/>
  <c r="Q39" i="25"/>
  <c r="R93" i="25"/>
  <c r="S93" i="25" s="1"/>
  <c r="Y93" i="25"/>
  <c r="Q145" i="25"/>
  <c r="X145" i="25"/>
  <c r="Q209" i="25"/>
  <c r="X209" i="25"/>
  <c r="Q28" i="25"/>
  <c r="X28" i="25"/>
  <c r="X42" i="25"/>
  <c r="Q42" i="25"/>
  <c r="Y57" i="25"/>
  <c r="R57" i="25"/>
  <c r="S57" i="25" s="1"/>
  <c r="R20" i="25"/>
  <c r="S20" i="25" s="1"/>
  <c r="Y20" i="25"/>
  <c r="Y28" i="25"/>
  <c r="R28" i="25"/>
  <c r="S28" i="25" s="1"/>
  <c r="X37" i="25"/>
  <c r="Q37" i="25"/>
  <c r="R51" i="25"/>
  <c r="S51" i="25" s="1"/>
  <c r="Y51" i="25"/>
  <c r="X60" i="25"/>
  <c r="Q60" i="25"/>
  <c r="X69" i="25"/>
  <c r="Q69" i="25"/>
  <c r="R83" i="25"/>
  <c r="S83" i="25" s="1"/>
  <c r="Y83" i="25"/>
  <c r="X92" i="25"/>
  <c r="Q92" i="25"/>
  <c r="Q101" i="25"/>
  <c r="X101" i="25"/>
  <c r="R115" i="25"/>
  <c r="S115" i="25" s="1"/>
  <c r="Y115" i="25"/>
  <c r="Y127" i="25"/>
  <c r="R127" i="25"/>
  <c r="S127" i="25" s="1"/>
  <c r="R143" i="25"/>
  <c r="S143" i="25" s="1"/>
  <c r="Y143" i="25"/>
  <c r="Y159" i="25"/>
  <c r="R159" i="25"/>
  <c r="S159" i="25" s="1"/>
  <c r="Y175" i="25"/>
  <c r="R175" i="25"/>
  <c r="S175" i="25" s="1"/>
  <c r="R191" i="25"/>
  <c r="S191" i="25" s="1"/>
  <c r="Y191" i="25"/>
  <c r="Y207" i="25"/>
  <c r="R207" i="25"/>
  <c r="S207" i="25" s="1"/>
  <c r="X239" i="25"/>
  <c r="Q239" i="25"/>
  <c r="X297" i="25"/>
  <c r="Q297" i="25"/>
  <c r="Y47" i="25"/>
  <c r="R47" i="25"/>
  <c r="S47" i="25" s="1"/>
  <c r="X56" i="25"/>
  <c r="Q56" i="25"/>
  <c r="X65" i="25"/>
  <c r="Q65" i="25"/>
  <c r="R79" i="25"/>
  <c r="S79" i="25" s="1"/>
  <c r="Y79" i="25"/>
  <c r="Q88" i="25"/>
  <c r="X88" i="25"/>
  <c r="X97" i="25"/>
  <c r="Q97" i="25"/>
  <c r="Y111" i="25"/>
  <c r="R111" i="25"/>
  <c r="S111" i="25" s="1"/>
  <c r="R121" i="25"/>
  <c r="S121" i="25" s="1"/>
  <c r="Y121" i="25"/>
  <c r="Y137" i="25"/>
  <c r="R137" i="25"/>
  <c r="S137" i="25" s="1"/>
  <c r="R153" i="25"/>
  <c r="S153" i="25" s="1"/>
  <c r="Y153" i="25"/>
  <c r="Y169" i="25"/>
  <c r="R169" i="25"/>
  <c r="S169" i="25" s="1"/>
  <c r="Y185" i="25"/>
  <c r="R185" i="25"/>
  <c r="S185" i="25" s="1"/>
  <c r="R201" i="25"/>
  <c r="S201" i="25" s="1"/>
  <c r="Y201" i="25"/>
  <c r="Y217" i="25"/>
  <c r="R217" i="25"/>
  <c r="S217" i="25" s="1"/>
  <c r="Y256" i="25"/>
  <c r="R256" i="25"/>
  <c r="S256" i="25" s="1"/>
  <c r="Q50" i="25"/>
  <c r="X50" i="25"/>
  <c r="X66" i="25"/>
  <c r="Q66" i="25"/>
  <c r="X75" i="25"/>
  <c r="Q75" i="25"/>
  <c r="Y89" i="25"/>
  <c r="R89" i="25"/>
  <c r="S89" i="25" s="1"/>
  <c r="X98" i="25"/>
  <c r="Q98" i="25"/>
  <c r="X107" i="25"/>
  <c r="Q107" i="25"/>
  <c r="X123" i="25"/>
  <c r="Q123" i="25"/>
  <c r="X139" i="25"/>
  <c r="Q139" i="25"/>
  <c r="X155" i="25"/>
  <c r="Q155" i="25"/>
  <c r="Q171" i="25"/>
  <c r="X171" i="25"/>
  <c r="Q187" i="25"/>
  <c r="X187" i="25"/>
  <c r="X203" i="25"/>
  <c r="Q203" i="25"/>
  <c r="Q219" i="25"/>
  <c r="X219" i="25"/>
  <c r="Y237" i="25"/>
  <c r="R237" i="25"/>
  <c r="S237" i="25" s="1"/>
  <c r="R327" i="25"/>
  <c r="S327" i="25" s="1"/>
  <c r="Y327" i="25"/>
  <c r="R36" i="25"/>
  <c r="S36" i="25" s="1"/>
  <c r="Y36" i="25"/>
  <c r="R44" i="25"/>
  <c r="S44" i="25" s="1"/>
  <c r="Y44" i="25"/>
  <c r="Y52" i="25"/>
  <c r="R52" i="25"/>
  <c r="S52" i="25" s="1"/>
  <c r="R60" i="25"/>
  <c r="S60" i="25" s="1"/>
  <c r="Y60" i="25"/>
  <c r="R68" i="25"/>
  <c r="S68" i="25" s="1"/>
  <c r="Y68" i="25"/>
  <c r="Y76" i="25"/>
  <c r="R76" i="25"/>
  <c r="S76" i="25" s="1"/>
  <c r="Y84" i="25"/>
  <c r="R84" i="25"/>
  <c r="S84" i="25" s="1"/>
  <c r="Y92" i="25"/>
  <c r="R92" i="25"/>
  <c r="S92" i="25" s="1"/>
  <c r="Y100" i="25"/>
  <c r="R100" i="25"/>
  <c r="S100" i="25" s="1"/>
  <c r="R108" i="25"/>
  <c r="S108" i="25" s="1"/>
  <c r="Y108" i="25"/>
  <c r="Y116" i="25"/>
  <c r="R116" i="25"/>
  <c r="S116" i="25" s="1"/>
  <c r="Y124" i="25"/>
  <c r="R124" i="25"/>
  <c r="S124" i="25" s="1"/>
  <c r="Y132" i="25"/>
  <c r="R132" i="25"/>
  <c r="S132" i="25" s="1"/>
  <c r="R140" i="25"/>
  <c r="S140" i="25" s="1"/>
  <c r="Y140" i="25"/>
  <c r="Y148" i="25"/>
  <c r="R148" i="25"/>
  <c r="S148" i="25" s="1"/>
  <c r="R156" i="25"/>
  <c r="S156" i="25" s="1"/>
  <c r="Y156" i="25"/>
  <c r="R164" i="25"/>
  <c r="S164" i="25" s="1"/>
  <c r="Y164" i="25"/>
  <c r="R172" i="25"/>
  <c r="S172" i="25" s="1"/>
  <c r="Y172" i="25"/>
  <c r="Y180" i="25"/>
  <c r="R180" i="25"/>
  <c r="S180" i="25" s="1"/>
  <c r="Y188" i="25"/>
  <c r="R188" i="25"/>
  <c r="S188" i="25" s="1"/>
  <c r="Y196" i="25"/>
  <c r="R196" i="25"/>
  <c r="S196" i="25" s="1"/>
  <c r="R204" i="25"/>
  <c r="S204" i="25" s="1"/>
  <c r="Y204" i="25"/>
  <c r="R212" i="25"/>
  <c r="S212" i="25" s="1"/>
  <c r="Y212" i="25"/>
  <c r="Y220" i="25"/>
  <c r="R220" i="25"/>
  <c r="S220" i="25" s="1"/>
  <c r="X229" i="25"/>
  <c r="Q229" i="25"/>
  <c r="Y238" i="25"/>
  <c r="R238" i="25"/>
  <c r="S238" i="25" s="1"/>
  <c r="Y251" i="25"/>
  <c r="R251" i="25"/>
  <c r="S251" i="25" s="1"/>
  <c r="X261" i="25"/>
  <c r="Q261" i="25"/>
  <c r="Y287" i="25"/>
  <c r="R287" i="25"/>
  <c r="S287" i="25" s="1"/>
  <c r="X320" i="25"/>
  <c r="Q320" i="25"/>
  <c r="Y225" i="25"/>
  <c r="R225" i="25"/>
  <c r="S225" i="25" s="1"/>
  <c r="Y234" i="25"/>
  <c r="R234" i="25"/>
  <c r="S234" i="25" s="1"/>
  <c r="Y247" i="25"/>
  <c r="R247" i="25"/>
  <c r="S247" i="25" s="1"/>
  <c r="Q257" i="25"/>
  <c r="X257" i="25"/>
  <c r="Y276" i="25"/>
  <c r="R276" i="25"/>
  <c r="S276" i="25" s="1"/>
  <c r="Y335" i="25"/>
  <c r="R335" i="25"/>
  <c r="S335" i="25" s="1"/>
  <c r="Q122" i="25"/>
  <c r="X122" i="25"/>
  <c r="X130" i="25"/>
  <c r="Q130" i="25"/>
  <c r="X138" i="25"/>
  <c r="Q138" i="25"/>
  <c r="X146" i="25"/>
  <c r="Q146" i="25"/>
  <c r="Q154" i="25"/>
  <c r="X154" i="25"/>
  <c r="X162" i="25"/>
  <c r="Q162" i="25"/>
  <c r="X170" i="25"/>
  <c r="Q170" i="25"/>
  <c r="X178" i="25"/>
  <c r="Q178" i="25"/>
  <c r="Q186" i="25"/>
  <c r="X186" i="25"/>
  <c r="X194" i="25"/>
  <c r="Q194" i="25"/>
  <c r="X202" i="25"/>
  <c r="Q202" i="25"/>
  <c r="X210" i="25"/>
  <c r="Q210" i="25"/>
  <c r="Q218" i="25"/>
  <c r="X218" i="25"/>
  <c r="Q227" i="25"/>
  <c r="X227" i="25"/>
  <c r="Y236" i="25"/>
  <c r="R236" i="25"/>
  <c r="S236" i="25" s="1"/>
  <c r="Y249" i="25"/>
  <c r="R249" i="25"/>
  <c r="S249" i="25" s="1"/>
  <c r="Q259" i="25"/>
  <c r="X259" i="25"/>
  <c r="R279" i="25"/>
  <c r="S279" i="25" s="1"/>
  <c r="Y279" i="25"/>
  <c r="X312" i="25"/>
  <c r="Q312" i="25"/>
  <c r="Q226" i="25"/>
  <c r="X226" i="25"/>
  <c r="Q234" i="25"/>
  <c r="X234" i="25"/>
  <c r="Q242" i="25"/>
  <c r="X242" i="25"/>
  <c r="X250" i="25"/>
  <c r="Q250" i="25"/>
  <c r="X258" i="25"/>
  <c r="Q258" i="25"/>
  <c r="X266" i="25"/>
  <c r="Q266" i="25"/>
  <c r="X274" i="25"/>
  <c r="Q274" i="25"/>
  <c r="R285" i="25"/>
  <c r="S285" i="25" s="1"/>
  <c r="Y285" i="25"/>
  <c r="X294" i="25"/>
  <c r="Q294" i="25"/>
  <c r="X303" i="25"/>
  <c r="Q303" i="25"/>
  <c r="R317" i="25"/>
  <c r="S317" i="25" s="1"/>
  <c r="Y317" i="25"/>
  <c r="X326" i="25"/>
  <c r="Q326" i="25"/>
  <c r="X335" i="25"/>
  <c r="Q335" i="25"/>
  <c r="X344" i="25"/>
  <c r="Q344" i="25"/>
  <c r="Q352" i="25"/>
  <c r="X352" i="25"/>
  <c r="X360" i="25"/>
  <c r="Q360" i="25"/>
  <c r="Y393" i="25"/>
  <c r="R393" i="25"/>
  <c r="S393" i="25" s="1"/>
  <c r="X505" i="25"/>
  <c r="Q505" i="25"/>
  <c r="X271" i="25"/>
  <c r="Q271" i="25"/>
  <c r="Y281" i="25"/>
  <c r="R281" i="25"/>
  <c r="S281" i="25" s="1"/>
  <c r="X290" i="25"/>
  <c r="Q290" i="25"/>
  <c r="X299" i="25"/>
  <c r="Q299" i="25"/>
  <c r="Y313" i="25"/>
  <c r="R313" i="25"/>
  <c r="S313" i="25" s="1"/>
  <c r="Q322" i="25"/>
  <c r="X322" i="25"/>
  <c r="X331" i="25"/>
  <c r="Q331" i="25"/>
  <c r="R345" i="25"/>
  <c r="S345" i="25" s="1"/>
  <c r="Y345" i="25"/>
  <c r="Y353" i="25"/>
  <c r="R353" i="25"/>
  <c r="S353" i="25" s="1"/>
  <c r="Y361" i="25"/>
  <c r="R361" i="25"/>
  <c r="S361" i="25" s="1"/>
  <c r="Y377" i="25"/>
  <c r="R377" i="25"/>
  <c r="S377" i="25" s="1"/>
  <c r="Y267" i="25"/>
  <c r="R267" i="25"/>
  <c r="S267" i="25" s="1"/>
  <c r="R275" i="25"/>
  <c r="S275" i="25" s="1"/>
  <c r="Y275" i="25"/>
  <c r="Q285" i="25"/>
  <c r="X285" i="25"/>
  <c r="Y299" i="25"/>
  <c r="R299" i="25"/>
  <c r="S299" i="25" s="1"/>
  <c r="X308" i="25"/>
  <c r="Q308" i="25"/>
  <c r="Q317" i="25"/>
  <c r="X317" i="25"/>
  <c r="Y331" i="25"/>
  <c r="R331" i="25"/>
  <c r="S331" i="25" s="1"/>
  <c r="X340" i="25"/>
  <c r="Q340" i="25"/>
  <c r="X386" i="25"/>
  <c r="Q386" i="25"/>
  <c r="Q349" i="25"/>
  <c r="X349" i="25"/>
  <c r="Q357" i="25"/>
  <c r="X357" i="25"/>
  <c r="X365" i="25"/>
  <c r="Q365" i="25"/>
  <c r="Q373" i="25"/>
  <c r="X373" i="25"/>
  <c r="R383" i="25"/>
  <c r="S383" i="25" s="1"/>
  <c r="Y383" i="25"/>
  <c r="X392" i="25"/>
  <c r="Q392" i="25"/>
  <c r="R420" i="25"/>
  <c r="S420" i="25" s="1"/>
  <c r="Y420" i="25"/>
  <c r="X366" i="25"/>
  <c r="Q366" i="25"/>
  <c r="Q374" i="25"/>
  <c r="X374" i="25"/>
  <c r="R387" i="25"/>
  <c r="S387" i="25" s="1"/>
  <c r="Y387" i="25"/>
  <c r="X396" i="25"/>
  <c r="Q396" i="25"/>
  <c r="Q406" i="25"/>
  <c r="X406" i="25"/>
  <c r="R284" i="25"/>
  <c r="S284" i="25" s="1"/>
  <c r="Y284" i="25"/>
  <c r="R292" i="25"/>
  <c r="S292" i="25" s="1"/>
  <c r="Y292" i="25"/>
  <c r="R300" i="25"/>
  <c r="S300" i="25" s="1"/>
  <c r="Y300" i="25"/>
  <c r="Y308" i="25"/>
  <c r="R308" i="25"/>
  <c r="S308" i="25" s="1"/>
  <c r="Y316" i="25"/>
  <c r="R316" i="25"/>
  <c r="S316" i="25" s="1"/>
  <c r="Y324" i="25"/>
  <c r="R324" i="25"/>
  <c r="S324" i="25" s="1"/>
  <c r="R332" i="25"/>
  <c r="S332" i="25" s="1"/>
  <c r="Y332" i="25"/>
  <c r="Y340" i="25"/>
  <c r="R340" i="25"/>
  <c r="S340" i="25" s="1"/>
  <c r="Y348" i="25"/>
  <c r="R348" i="25"/>
  <c r="S348" i="25" s="1"/>
  <c r="R356" i="25"/>
  <c r="S356" i="25" s="1"/>
  <c r="Y356" i="25"/>
  <c r="Y364" i="25"/>
  <c r="R364" i="25"/>
  <c r="S364" i="25" s="1"/>
  <c r="Y372" i="25"/>
  <c r="R372" i="25"/>
  <c r="S372" i="25" s="1"/>
  <c r="Q382" i="25"/>
  <c r="X382" i="25"/>
  <c r="Q391" i="25"/>
  <c r="X391" i="25"/>
  <c r="Q400" i="25"/>
  <c r="X400" i="25"/>
  <c r="Y458" i="25"/>
  <c r="R458" i="25"/>
  <c r="S458" i="25" s="1"/>
  <c r="Y382" i="25"/>
  <c r="R382" i="25"/>
  <c r="S382" i="25" s="1"/>
  <c r="Y390" i="25"/>
  <c r="R390" i="25"/>
  <c r="S390" i="25" s="1"/>
  <c r="Y398" i="25"/>
  <c r="R398" i="25"/>
  <c r="S398" i="25" s="1"/>
  <c r="R410" i="25"/>
  <c r="S410" i="25" s="1"/>
  <c r="Y410" i="25"/>
  <c r="X419" i="25"/>
  <c r="Q419" i="25"/>
  <c r="R436" i="25"/>
  <c r="S436" i="25" s="1"/>
  <c r="Y436" i="25"/>
  <c r="Q481" i="25"/>
  <c r="X481" i="25"/>
  <c r="Q408" i="25"/>
  <c r="X408" i="25"/>
  <c r="Y422" i="25"/>
  <c r="R422" i="25"/>
  <c r="S422" i="25" s="1"/>
  <c r="R432" i="25"/>
  <c r="S432" i="25" s="1"/>
  <c r="Y432" i="25"/>
  <c r="Q465" i="25"/>
  <c r="X465" i="25"/>
  <c r="Q497" i="25"/>
  <c r="X497" i="25"/>
  <c r="Q402" i="25"/>
  <c r="X402" i="25"/>
  <c r="Y416" i="25"/>
  <c r="R416" i="25"/>
  <c r="S416" i="25" s="1"/>
  <c r="X425" i="25"/>
  <c r="Q425" i="25"/>
  <c r="Y438" i="25"/>
  <c r="R438" i="25"/>
  <c r="S438" i="25" s="1"/>
  <c r="X473" i="25"/>
  <c r="Q473" i="25"/>
  <c r="Y517" i="25"/>
  <c r="R517" i="25"/>
  <c r="S517" i="25" s="1"/>
  <c r="Q436" i="25"/>
  <c r="X436" i="25"/>
  <c r="X444" i="25"/>
  <c r="Q444" i="25"/>
  <c r="Q452" i="25"/>
  <c r="X452" i="25"/>
  <c r="X460" i="25"/>
  <c r="Q460" i="25"/>
  <c r="Q471" i="25"/>
  <c r="X471" i="25"/>
  <c r="Y480" i="25"/>
  <c r="R480" i="25"/>
  <c r="S480" i="25" s="1"/>
  <c r="R514" i="25"/>
  <c r="S514" i="25" s="1"/>
  <c r="Y514" i="25"/>
  <c r="X435" i="25"/>
  <c r="Q435" i="25"/>
  <c r="Q443" i="25"/>
  <c r="X443" i="25"/>
  <c r="X451" i="25"/>
  <c r="Q451" i="25"/>
  <c r="Q459" i="25"/>
  <c r="X459" i="25"/>
  <c r="X467" i="25"/>
  <c r="Q467" i="25"/>
  <c r="Y476" i="25"/>
  <c r="R476" i="25"/>
  <c r="S476" i="25" s="1"/>
  <c r="Q503" i="25"/>
  <c r="X503" i="25"/>
  <c r="R403" i="25"/>
  <c r="S403" i="25" s="1"/>
  <c r="Y403" i="25"/>
  <c r="R411" i="25"/>
  <c r="S411" i="25" s="1"/>
  <c r="Y411" i="25"/>
  <c r="R419" i="25"/>
  <c r="S419" i="25" s="1"/>
  <c r="Y419" i="25"/>
  <c r="Y427" i="25"/>
  <c r="R427" i="25"/>
  <c r="S427" i="25" s="1"/>
  <c r="R435" i="25"/>
  <c r="S435" i="25" s="1"/>
  <c r="Y435" i="25"/>
  <c r="Y443" i="25"/>
  <c r="R443" i="25"/>
  <c r="S443" i="25" s="1"/>
  <c r="R451" i="25"/>
  <c r="S451" i="25" s="1"/>
  <c r="Y451" i="25"/>
  <c r="Y459" i="25"/>
  <c r="R459" i="25"/>
  <c r="S459" i="25" s="1"/>
  <c r="X469" i="25"/>
  <c r="Q469" i="25"/>
  <c r="R478" i="25"/>
  <c r="S478" i="25" s="1"/>
  <c r="Y478" i="25"/>
  <c r="X501" i="25"/>
  <c r="Q501" i="25"/>
  <c r="Y488" i="25"/>
  <c r="R488" i="25"/>
  <c r="S488" i="25" s="1"/>
  <c r="R496" i="25"/>
  <c r="S496" i="25" s="1"/>
  <c r="Y496" i="25"/>
  <c r="Y504" i="25"/>
  <c r="R504" i="25"/>
  <c r="S504" i="25" s="1"/>
  <c r="R512" i="25"/>
  <c r="S512" i="25" s="1"/>
  <c r="Y512" i="25"/>
  <c r="Q522" i="25"/>
  <c r="X522" i="25"/>
  <c r="Y535" i="25"/>
  <c r="R535" i="25"/>
  <c r="S535" i="25" s="1"/>
  <c r="Y489" i="25"/>
  <c r="R489" i="25"/>
  <c r="S489" i="25" s="1"/>
  <c r="R497" i="25"/>
  <c r="S497" i="25" s="1"/>
  <c r="Y497" i="25"/>
  <c r="R505" i="25"/>
  <c r="S505" i="25" s="1"/>
  <c r="Y505" i="25"/>
  <c r="Y516" i="25"/>
  <c r="R516" i="25"/>
  <c r="S516" i="25" s="1"/>
  <c r="Q464" i="25"/>
  <c r="X464" i="25"/>
  <c r="X472" i="25"/>
  <c r="Q472" i="25"/>
  <c r="X480" i="25"/>
  <c r="Q480" i="25"/>
  <c r="X488" i="25"/>
  <c r="Q488" i="25"/>
  <c r="X496" i="25"/>
  <c r="Q496" i="25"/>
  <c r="Q504" i="25"/>
  <c r="X504" i="25"/>
  <c r="X512" i="25"/>
  <c r="Q512" i="25"/>
  <c r="Y521" i="25"/>
  <c r="R521" i="25"/>
  <c r="S521" i="25" s="1"/>
  <c r="X513" i="25"/>
  <c r="Q513" i="25"/>
  <c r="Q521" i="25"/>
  <c r="X521" i="25"/>
  <c r="Y528" i="25"/>
  <c r="R528" i="25"/>
  <c r="S528" i="25" s="1"/>
  <c r="X539" i="25"/>
  <c r="Q539" i="25"/>
  <c r="X524" i="25"/>
  <c r="Q524" i="25"/>
  <c r="R537" i="25"/>
  <c r="S537" i="25" s="1"/>
  <c r="Y537" i="25"/>
  <c r="Y559" i="25"/>
  <c r="R559" i="25"/>
  <c r="S559" i="25" s="1"/>
  <c r="X525" i="25"/>
  <c r="Q525" i="25"/>
  <c r="Y534" i="25"/>
  <c r="R534" i="25"/>
  <c r="S534" i="25" s="1"/>
  <c r="Y542" i="25"/>
  <c r="R542" i="25"/>
  <c r="S542" i="25" s="1"/>
  <c r="Y550" i="25"/>
  <c r="R550" i="25"/>
  <c r="S550" i="25" s="1"/>
  <c r="Y557" i="25"/>
  <c r="R557" i="25"/>
  <c r="S557" i="25" s="1"/>
  <c r="X566" i="25"/>
  <c r="Q566" i="25"/>
  <c r="Y539" i="25"/>
  <c r="R539" i="25"/>
  <c r="S539" i="25" s="1"/>
  <c r="Y547" i="25"/>
  <c r="R547" i="25"/>
  <c r="S547" i="25" s="1"/>
  <c r="R555" i="25"/>
  <c r="S555" i="25" s="1"/>
  <c r="Y555" i="25"/>
  <c r="Q570" i="25"/>
  <c r="X570" i="25"/>
  <c r="X532" i="25"/>
  <c r="Q532" i="25"/>
  <c r="X540" i="25"/>
  <c r="Q540" i="25"/>
  <c r="X548" i="25"/>
  <c r="Q548" i="25"/>
  <c r="X556" i="25"/>
  <c r="Q556" i="25"/>
  <c r="X568" i="25"/>
  <c r="Q568" i="25"/>
  <c r="Y569" i="25"/>
  <c r="R569" i="25"/>
  <c r="S569" i="25" s="1"/>
  <c r="Q578" i="25"/>
  <c r="X578" i="25"/>
  <c r="R566" i="25"/>
  <c r="S566" i="25" s="1"/>
  <c r="Y566" i="25"/>
  <c r="Y574" i="25"/>
  <c r="R574" i="25"/>
  <c r="S574" i="25" s="1"/>
  <c r="Y583" i="25"/>
  <c r="R583" i="25"/>
  <c r="S583" i="25" s="1"/>
  <c r="X559" i="25"/>
  <c r="Q559" i="25"/>
  <c r="Q567" i="25"/>
  <c r="X567" i="25"/>
  <c r="X575" i="25"/>
  <c r="Q575" i="25"/>
  <c r="Y612" i="25"/>
  <c r="R612" i="25"/>
  <c r="S612" i="25" s="1"/>
  <c r="Q583" i="25"/>
  <c r="X583" i="25"/>
  <c r="X591" i="25"/>
  <c r="Q591" i="25"/>
  <c r="X586" i="25"/>
  <c r="Q586" i="25"/>
  <c r="Q593" i="25"/>
  <c r="X593" i="25"/>
  <c r="Y586" i="25"/>
  <c r="R586" i="25"/>
  <c r="S586" i="25" s="1"/>
  <c r="X595" i="25"/>
  <c r="Q595" i="25"/>
  <c r="R593" i="25"/>
  <c r="S593" i="25" s="1"/>
  <c r="Y593" i="25"/>
  <c r="Y601" i="25"/>
  <c r="R601" i="25"/>
  <c r="S601" i="25" s="1"/>
  <c r="Y608" i="25"/>
  <c r="R608" i="25"/>
  <c r="S608" i="25" s="1"/>
  <c r="Y604" i="25"/>
  <c r="R604" i="25"/>
  <c r="S604" i="25" s="1"/>
  <c r="X599" i="25"/>
  <c r="Q599" i="25"/>
  <c r="X608" i="25"/>
  <c r="Q608" i="25"/>
  <c r="X611" i="25"/>
  <c r="Q611" i="25"/>
  <c r="R613" i="25"/>
  <c r="S613" i="25" s="1"/>
  <c r="Y613" i="25"/>
  <c r="Y592" i="17"/>
  <c r="Y516" i="17"/>
  <c r="R524" i="17"/>
  <c r="S524" i="17" s="1"/>
  <c r="Q129" i="17"/>
  <c r="U129" i="17" s="1"/>
  <c r="Q297" i="17"/>
  <c r="U297" i="17" s="1"/>
  <c r="Y138" i="17"/>
  <c r="X36" i="17"/>
  <c r="Q345" i="17"/>
  <c r="U345" i="17" s="1"/>
  <c r="X110" i="17"/>
  <c r="Q263" i="17"/>
  <c r="U263" i="17" s="1"/>
  <c r="Y467" i="17"/>
  <c r="Y45" i="17"/>
  <c r="Y40" i="17"/>
  <c r="X221" i="17"/>
  <c r="Q200" i="17"/>
  <c r="U200" i="17" s="1"/>
  <c r="X151" i="17"/>
  <c r="X209" i="17"/>
  <c r="Q270" i="17"/>
  <c r="U270" i="17" s="1"/>
  <c r="Y217" i="17"/>
  <c r="X435" i="17"/>
  <c r="X350" i="17"/>
  <c r="Y429" i="17"/>
  <c r="X402" i="17"/>
  <c r="Q52" i="17"/>
  <c r="U52" i="17" s="1"/>
  <c r="Q538" i="17"/>
  <c r="U538" i="17" s="1"/>
  <c r="X147" i="17"/>
  <c r="Y482" i="17"/>
  <c r="Y355" i="17"/>
  <c r="Y393" i="17"/>
  <c r="X128" i="17"/>
  <c r="X196" i="17"/>
  <c r="Y306" i="17"/>
  <c r="Q335" i="17"/>
  <c r="U335" i="17" s="1"/>
  <c r="R384" i="17"/>
  <c r="S384" i="17" s="1"/>
  <c r="X138" i="17"/>
  <c r="X217" i="17"/>
  <c r="X572" i="17"/>
  <c r="X43" i="17"/>
  <c r="Y423" i="17"/>
  <c r="X560" i="17"/>
  <c r="Y283" i="17"/>
  <c r="Y19" i="17"/>
  <c r="Q534" i="17"/>
  <c r="U534" i="17" s="1"/>
  <c r="Y362" i="17"/>
  <c r="Y233" i="17"/>
  <c r="X79" i="17"/>
  <c r="X477" i="17"/>
  <c r="X505" i="17"/>
  <c r="X401" i="17"/>
  <c r="Y455" i="17"/>
  <c r="X321" i="17"/>
  <c r="Y224" i="17"/>
  <c r="X423" i="17"/>
  <c r="X364" i="17"/>
  <c r="Y342" i="17"/>
  <c r="X172" i="17"/>
  <c r="Y84" i="17"/>
  <c r="X225" i="17"/>
  <c r="Y434" i="17"/>
  <c r="Y549" i="17"/>
  <c r="X407" i="17"/>
  <c r="X417" i="17"/>
  <c r="Y483" i="17"/>
  <c r="X208" i="17"/>
  <c r="R366" i="17"/>
  <c r="S366" i="17" s="1"/>
  <c r="R602" i="17"/>
  <c r="S602" i="17" s="1"/>
  <c r="R101" i="17"/>
  <c r="S101" i="17" s="1"/>
  <c r="Q597" i="17"/>
  <c r="U597" i="17" s="1"/>
  <c r="R24" i="17"/>
  <c r="S24" i="17" s="1"/>
  <c r="Q58" i="17"/>
  <c r="U58" i="17" s="1"/>
  <c r="R537" i="17"/>
  <c r="S537" i="17" s="1"/>
  <c r="R294" i="17"/>
  <c r="S294" i="17" s="1"/>
  <c r="X323" i="17"/>
  <c r="Y479" i="17"/>
  <c r="Y98" i="17"/>
  <c r="X391" i="17"/>
  <c r="X135" i="17"/>
  <c r="X478" i="17"/>
  <c r="Y433" i="17"/>
  <c r="Y507" i="17"/>
  <c r="X584" i="17"/>
  <c r="X70" i="17"/>
  <c r="Y331" i="17"/>
  <c r="X465" i="17"/>
  <c r="X539" i="17"/>
  <c r="Y200" i="17"/>
  <c r="Y275" i="17"/>
  <c r="X235" i="17"/>
  <c r="X552" i="17"/>
  <c r="X304" i="17"/>
  <c r="X74" i="17"/>
  <c r="X161" i="17"/>
  <c r="Y49" i="17"/>
  <c r="X312" i="17"/>
  <c r="X499" i="17"/>
  <c r="X277" i="17"/>
  <c r="Y565" i="17"/>
  <c r="X56" i="17"/>
  <c r="R115" i="17"/>
  <c r="S115" i="17" s="1"/>
  <c r="R255" i="17"/>
  <c r="S255" i="17" s="1"/>
  <c r="R527" i="17"/>
  <c r="S527" i="17" s="1"/>
  <c r="Q576" i="17"/>
  <c r="U576" i="17" s="1"/>
  <c r="Q93" i="17"/>
  <c r="U93" i="17" s="1"/>
  <c r="Y62" i="17"/>
  <c r="Y488" i="17"/>
  <c r="Y104" i="17"/>
  <c r="X579" i="17"/>
  <c r="X311" i="17"/>
  <c r="Y504" i="17"/>
  <c r="X40" i="17"/>
  <c r="Y518" i="17"/>
  <c r="X140" i="17"/>
  <c r="Y99" i="17"/>
  <c r="X120" i="17"/>
  <c r="Y252" i="17"/>
  <c r="X122" i="17"/>
  <c r="Y25" i="17"/>
  <c r="X371" i="17"/>
  <c r="Y230" i="17"/>
  <c r="X237" i="17"/>
  <c r="X116" i="17"/>
  <c r="Y103" i="17"/>
  <c r="X356" i="17"/>
  <c r="X306" i="17"/>
  <c r="Y178" i="17"/>
  <c r="Y376" i="17"/>
  <c r="Y81" i="17"/>
  <c r="X555" i="17"/>
  <c r="Q219" i="17"/>
  <c r="U219" i="17" s="1"/>
  <c r="R162" i="17"/>
  <c r="S162" i="17" s="1"/>
  <c r="Q485" i="17"/>
  <c r="U485" i="17" s="1"/>
  <c r="R253" i="17"/>
  <c r="S253" i="17" s="1"/>
  <c r="Y295" i="17"/>
  <c r="X283" i="17"/>
  <c r="Y130" i="17"/>
  <c r="Y167" i="17"/>
  <c r="R443" i="17"/>
  <c r="S443" i="17" s="1"/>
  <c r="Y37" i="17"/>
  <c r="X95" i="17"/>
  <c r="X73" i="17"/>
  <c r="X422" i="17"/>
  <c r="Y354" i="17"/>
  <c r="Y431" i="17"/>
  <c r="Q211" i="17"/>
  <c r="U211" i="17" s="1"/>
  <c r="Q458" i="17"/>
  <c r="U458" i="17" s="1"/>
  <c r="R227" i="17"/>
  <c r="S227" i="17" s="1"/>
  <c r="X152" i="17"/>
  <c r="Y156" i="17"/>
  <c r="Y144" i="17"/>
  <c r="X344" i="17"/>
  <c r="X191" i="17"/>
  <c r="Y513" i="17"/>
  <c r="X124" i="17"/>
  <c r="Y561" i="17"/>
  <c r="X438" i="17"/>
  <c r="X68" i="17"/>
  <c r="Y302" i="17"/>
  <c r="R35" i="17"/>
  <c r="S35" i="17" s="1"/>
  <c r="R508" i="17"/>
  <c r="S508" i="17" s="1"/>
  <c r="Q484" i="17"/>
  <c r="U484" i="17" s="1"/>
  <c r="X454" i="17"/>
  <c r="X244" i="17"/>
  <c r="X179" i="17"/>
  <c r="Y460" i="17"/>
  <c r="Y169" i="17"/>
  <c r="Y127" i="17"/>
  <c r="X487" i="17"/>
  <c r="Y184" i="17"/>
  <c r="R608" i="17"/>
  <c r="S608" i="17" s="1"/>
  <c r="Q326" i="17"/>
  <c r="U326" i="17" s="1"/>
  <c r="Y57" i="17"/>
  <c r="R57" i="17"/>
  <c r="S57" i="17" s="1"/>
  <c r="Y445" i="17"/>
  <c r="R445" i="17"/>
  <c r="S445" i="17" s="1"/>
  <c r="Q242" i="17"/>
  <c r="U242" i="17" s="1"/>
  <c r="X242" i="17"/>
  <c r="Y80" i="17"/>
  <c r="R80" i="17"/>
  <c r="S80" i="17" s="1"/>
  <c r="R51" i="17"/>
  <c r="S51" i="17" s="1"/>
  <c r="Y51" i="17"/>
  <c r="R237" i="17"/>
  <c r="S237" i="17" s="1"/>
  <c r="Y237" i="17"/>
  <c r="Q567" i="17"/>
  <c r="U567" i="17" s="1"/>
  <c r="X567" i="17"/>
  <c r="Q213" i="17"/>
  <c r="U213" i="17" s="1"/>
  <c r="X213" i="17"/>
  <c r="Y526" i="17"/>
  <c r="R526" i="17"/>
  <c r="S526" i="17" s="1"/>
  <c r="X355" i="17"/>
  <c r="Q355" i="17"/>
  <c r="U355" i="17" s="1"/>
  <c r="X497" i="17"/>
  <c r="Q497" i="17"/>
  <c r="U497" i="17" s="1"/>
  <c r="R315" i="17"/>
  <c r="S315" i="17" s="1"/>
  <c r="Y315" i="17"/>
  <c r="Q500" i="17"/>
  <c r="U500" i="17" s="1"/>
  <c r="X500" i="17"/>
  <c r="Q569" i="17"/>
  <c r="U569" i="17" s="1"/>
  <c r="X569" i="17"/>
  <c r="R236" i="17"/>
  <c r="S236" i="17" s="1"/>
  <c r="Y236" i="17"/>
  <c r="R441" i="17"/>
  <c r="S441" i="17" s="1"/>
  <c r="Y441" i="17"/>
  <c r="X610" i="17"/>
  <c r="Q610" i="17"/>
  <c r="U610" i="17" s="1"/>
  <c r="Q398" i="17"/>
  <c r="U398" i="17" s="1"/>
  <c r="X398" i="17"/>
  <c r="R44" i="17"/>
  <c r="S44" i="17" s="1"/>
  <c r="Y44" i="17"/>
  <c r="R472" i="17"/>
  <c r="S472" i="17" s="1"/>
  <c r="Y472" i="17"/>
  <c r="Y401" i="17"/>
  <c r="R401" i="17"/>
  <c r="S401" i="17" s="1"/>
  <c r="R196" i="17"/>
  <c r="S196" i="17" s="1"/>
  <c r="Y196" i="17"/>
  <c r="R463" i="17"/>
  <c r="S463" i="17" s="1"/>
  <c r="Y463" i="17"/>
  <c r="Q289" i="17"/>
  <c r="U289" i="17" s="1"/>
  <c r="X289" i="17"/>
  <c r="R484" i="17"/>
  <c r="S484" i="17" s="1"/>
  <c r="Y484" i="17"/>
  <c r="Q393" i="17"/>
  <c r="U393" i="17" s="1"/>
  <c r="X393" i="17"/>
  <c r="X503" i="17"/>
  <c r="Q503" i="17"/>
  <c r="U503" i="17" s="1"/>
  <c r="Q86" i="17"/>
  <c r="AD86" i="17" s="1"/>
  <c r="AE86" i="17" s="1"/>
  <c r="X86" i="17"/>
  <c r="X440" i="17"/>
  <c r="Q440" i="17"/>
  <c r="U440" i="17" s="1"/>
  <c r="R466" i="17"/>
  <c r="S466" i="17" s="1"/>
  <c r="Y466" i="17"/>
  <c r="Q348" i="17"/>
  <c r="U348" i="17" s="1"/>
  <c r="X348" i="17"/>
  <c r="R74" i="17"/>
  <c r="S74" i="17" s="1"/>
  <c r="Y74" i="17"/>
  <c r="Q541" i="17"/>
  <c r="U541" i="17" s="1"/>
  <c r="X541" i="17"/>
  <c r="Y235" i="17"/>
  <c r="R235" i="17"/>
  <c r="S235" i="17" s="1"/>
  <c r="X300" i="17"/>
  <c r="Q300" i="17"/>
  <c r="U300" i="17" s="1"/>
  <c r="Q123" i="17"/>
  <c r="U123" i="17" s="1"/>
  <c r="X123" i="17"/>
  <c r="Q314" i="17"/>
  <c r="U314" i="17" s="1"/>
  <c r="X314" i="17"/>
  <c r="X212" i="17"/>
  <c r="Q212" i="17"/>
  <c r="U212" i="17" s="1"/>
  <c r="Q612" i="17"/>
  <c r="U612" i="17" s="1"/>
  <c r="X612" i="17"/>
  <c r="Q381" i="17"/>
  <c r="U381" i="17" s="1"/>
  <c r="X381" i="17"/>
  <c r="X320" i="17"/>
  <c r="Q320" i="17"/>
  <c r="U320" i="17" s="1"/>
  <c r="R269" i="17"/>
  <c r="S269" i="17" s="1"/>
  <c r="Y269" i="17"/>
  <c r="Q494" i="17"/>
  <c r="U494" i="17" s="1"/>
  <c r="X494" i="17"/>
  <c r="Y263" i="17"/>
  <c r="X385" i="17"/>
  <c r="X333" i="17"/>
  <c r="Y298" i="17"/>
  <c r="X535" i="17"/>
  <c r="Y500" i="17"/>
  <c r="R394" i="17"/>
  <c r="S394" i="17" s="1"/>
  <c r="R400" i="17"/>
  <c r="S400" i="17" s="1"/>
  <c r="Q310" i="17"/>
  <c r="U310" i="17" s="1"/>
  <c r="X394" i="17"/>
  <c r="R195" i="17"/>
  <c r="S195" i="17" s="1"/>
  <c r="R328" i="17"/>
  <c r="S328" i="17" s="1"/>
  <c r="X580" i="17"/>
  <c r="X252" i="17"/>
  <c r="Y422" i="17"/>
  <c r="X182" i="17"/>
  <c r="R206" i="17"/>
  <c r="S206" i="17" s="1"/>
  <c r="Y459" i="17"/>
  <c r="Y495" i="17"/>
  <c r="Y164" i="17"/>
  <c r="Y214" i="17"/>
  <c r="Y22" i="17"/>
  <c r="Y21" i="17"/>
  <c r="Y361" i="17"/>
  <c r="X199" i="17"/>
  <c r="X240" i="17"/>
  <c r="X295" i="17"/>
  <c r="X166" i="17"/>
  <c r="X561" i="17"/>
  <c r="Q24" i="17"/>
  <c r="U24" i="17" s="1"/>
  <c r="R572" i="17"/>
  <c r="S572" i="17" s="1"/>
  <c r="R222" i="17"/>
  <c r="S222" i="17" s="1"/>
  <c r="R552" i="17"/>
  <c r="S552" i="17" s="1"/>
  <c r="X315" i="17"/>
  <c r="Q315" i="17"/>
  <c r="U315" i="17" s="1"/>
  <c r="R323" i="17"/>
  <c r="S323" i="17" s="1"/>
  <c r="Y323" i="17"/>
  <c r="Q316" i="17"/>
  <c r="U316" i="17" s="1"/>
  <c r="X316" i="17"/>
  <c r="Q265" i="17"/>
  <c r="U265" i="17" s="1"/>
  <c r="X265" i="17"/>
  <c r="R32" i="17"/>
  <c r="S32" i="17" s="1"/>
  <c r="Y32" i="17"/>
  <c r="Y31" i="17"/>
  <c r="R31" i="17"/>
  <c r="S31" i="17" s="1"/>
  <c r="R135" i="17"/>
  <c r="S135" i="17" s="1"/>
  <c r="Y135" i="17"/>
  <c r="Q443" i="17"/>
  <c r="U443" i="17" s="1"/>
  <c r="X443" i="17"/>
  <c r="R146" i="17"/>
  <c r="S146" i="17" s="1"/>
  <c r="Y146" i="17"/>
  <c r="R314" i="17"/>
  <c r="S314" i="17" s="1"/>
  <c r="Y314" i="17"/>
  <c r="Q268" i="17"/>
  <c r="U268" i="17" s="1"/>
  <c r="X268" i="17"/>
  <c r="X502" i="17"/>
  <c r="Q502" i="17"/>
  <c r="U502" i="17" s="1"/>
  <c r="R93" i="17"/>
  <c r="S93" i="17" s="1"/>
  <c r="Y93" i="17"/>
  <c r="Y281" i="17"/>
  <c r="R281" i="17"/>
  <c r="S281" i="17" s="1"/>
  <c r="Q274" i="17"/>
  <c r="U274" i="17" s="1"/>
  <c r="X274" i="17"/>
  <c r="X573" i="17"/>
  <c r="Q573" i="17"/>
  <c r="U573" i="17" s="1"/>
  <c r="X132" i="17"/>
  <c r="Q132" i="17"/>
  <c r="U132" i="17" s="1"/>
  <c r="R559" i="17"/>
  <c r="S559" i="17" s="1"/>
  <c r="Y559" i="17"/>
  <c r="Q433" i="17"/>
  <c r="U433" i="17" s="1"/>
  <c r="X433" i="17"/>
  <c r="R54" i="17"/>
  <c r="S54" i="17" s="1"/>
  <c r="Y54" i="17"/>
  <c r="Q14" i="17"/>
  <c r="U14" i="17" s="1"/>
  <c r="X14" i="17"/>
  <c r="R345" i="17"/>
  <c r="S345" i="17" s="1"/>
  <c r="Y345" i="17"/>
  <c r="R114" i="17"/>
  <c r="S114" i="17" s="1"/>
  <c r="Y114" i="17"/>
  <c r="R411" i="17"/>
  <c r="S411" i="17" s="1"/>
  <c r="Y411" i="17"/>
  <c r="Y346" i="17"/>
  <c r="R346" i="17"/>
  <c r="S346" i="17" s="1"/>
  <c r="R494" i="17"/>
  <c r="S494" i="17" s="1"/>
  <c r="Y494" i="17"/>
  <c r="X236" i="17"/>
  <c r="Q236" i="17"/>
  <c r="U236" i="17" s="1"/>
  <c r="Y570" i="17"/>
  <c r="R570" i="17"/>
  <c r="S570" i="17" s="1"/>
  <c r="Q174" i="17"/>
  <c r="U174" i="17" s="1"/>
  <c r="X174" i="17"/>
  <c r="R359" i="17"/>
  <c r="S359" i="17" s="1"/>
  <c r="Y359" i="17"/>
  <c r="R102" i="17"/>
  <c r="S102" i="17" s="1"/>
  <c r="Y102" i="17"/>
  <c r="Q15" i="17"/>
  <c r="U15" i="17" s="1"/>
  <c r="X15" i="17"/>
  <c r="R63" i="17"/>
  <c r="S63" i="17" s="1"/>
  <c r="Y63" i="17"/>
  <c r="R250" i="17"/>
  <c r="S250" i="17" s="1"/>
  <c r="Y250" i="17"/>
  <c r="R347" i="17"/>
  <c r="S347" i="17" s="1"/>
  <c r="Y347" i="17"/>
  <c r="R597" i="17"/>
  <c r="S597" i="17" s="1"/>
  <c r="Y597" i="17"/>
  <c r="Q338" i="17"/>
  <c r="U338" i="17" s="1"/>
  <c r="X338" i="17"/>
  <c r="Q204" i="17"/>
  <c r="U204" i="17" s="1"/>
  <c r="X204" i="17"/>
  <c r="R372" i="17"/>
  <c r="S372" i="17" s="1"/>
  <c r="Y372" i="17"/>
  <c r="R512" i="17"/>
  <c r="S512" i="17" s="1"/>
  <c r="Y512" i="17"/>
  <c r="Y490" i="17"/>
  <c r="R490" i="17"/>
  <c r="S490" i="17" s="1"/>
  <c r="R560" i="17"/>
  <c r="S560" i="17" s="1"/>
  <c r="Y560" i="17"/>
  <c r="Q49" i="17"/>
  <c r="U49" i="17" s="1"/>
  <c r="X49" i="17"/>
  <c r="Y453" i="17"/>
  <c r="R453" i="17"/>
  <c r="S453" i="17" s="1"/>
  <c r="R97" i="17"/>
  <c r="S97" i="17" s="1"/>
  <c r="Y97" i="17"/>
  <c r="R344" i="17"/>
  <c r="S344" i="17" s="1"/>
  <c r="Y344" i="17"/>
  <c r="Q234" i="17"/>
  <c r="U234" i="17" s="1"/>
  <c r="X234" i="17"/>
  <c r="R581" i="17"/>
  <c r="S581" i="17" s="1"/>
  <c r="Y581" i="17"/>
  <c r="R189" i="17"/>
  <c r="S189" i="17" s="1"/>
  <c r="Y189" i="17"/>
  <c r="R266" i="17"/>
  <c r="S266" i="17" s="1"/>
  <c r="Y266" i="17"/>
  <c r="Q521" i="17"/>
  <c r="U521" i="17" s="1"/>
  <c r="X521" i="17"/>
  <c r="R497" i="17"/>
  <c r="S497" i="17" s="1"/>
  <c r="Y497" i="17"/>
  <c r="R292" i="17"/>
  <c r="S292" i="17" s="1"/>
  <c r="Y292" i="17"/>
  <c r="Q115" i="17"/>
  <c r="U115" i="17" s="1"/>
  <c r="X115" i="17"/>
  <c r="R75" i="17"/>
  <c r="S75" i="17" s="1"/>
  <c r="Y75" i="17"/>
  <c r="Q167" i="17"/>
  <c r="U167" i="17" s="1"/>
  <c r="X167" i="17"/>
  <c r="Q82" i="17"/>
  <c r="U82" i="17" s="1"/>
  <c r="X82" i="17"/>
  <c r="R335" i="17"/>
  <c r="S335" i="17" s="1"/>
  <c r="Y335" i="17"/>
  <c r="R503" i="17"/>
  <c r="S503" i="17" s="1"/>
  <c r="Y503" i="17"/>
  <c r="Q278" i="17"/>
  <c r="U278" i="17" s="1"/>
  <c r="X278" i="17"/>
  <c r="X352" i="17"/>
  <c r="Q352" i="17"/>
  <c r="U352" i="17" s="1"/>
  <c r="R535" i="17"/>
  <c r="S535" i="17" s="1"/>
  <c r="Y535" i="17"/>
  <c r="Q593" i="17"/>
  <c r="U593" i="17" s="1"/>
  <c r="X593" i="17"/>
  <c r="Q330" i="17"/>
  <c r="U330" i="17" s="1"/>
  <c r="X330" i="17"/>
  <c r="R529" i="17"/>
  <c r="S529" i="17" s="1"/>
  <c r="Y529" i="17"/>
  <c r="Q354" i="17"/>
  <c r="U354" i="17" s="1"/>
  <c r="X354" i="17"/>
  <c r="Y605" i="17"/>
  <c r="R605" i="17"/>
  <c r="S605" i="17" s="1"/>
  <c r="Q290" i="17"/>
  <c r="U290" i="17" s="1"/>
  <c r="X290" i="17"/>
  <c r="R131" i="17"/>
  <c r="S131" i="17" s="1"/>
  <c r="Y131" i="17"/>
  <c r="R26" i="17"/>
  <c r="S26" i="17" s="1"/>
  <c r="Y26" i="17"/>
  <c r="Q35" i="17"/>
  <c r="U35" i="17" s="1"/>
  <c r="X35" i="17"/>
  <c r="Q623" i="17"/>
  <c r="D633" i="17" s="1"/>
  <c r="X623" i="17"/>
  <c r="Q102" i="17"/>
  <c r="U102" i="17" s="1"/>
  <c r="X102" i="17"/>
  <c r="Y415" i="17"/>
  <c r="R415" i="17"/>
  <c r="S415" i="17" s="1"/>
  <c r="Q590" i="17"/>
  <c r="U590" i="17" s="1"/>
  <c r="X590" i="17"/>
  <c r="Q267" i="17"/>
  <c r="U267" i="17" s="1"/>
  <c r="X267" i="17"/>
  <c r="Q190" i="17"/>
  <c r="U190" i="17" s="1"/>
  <c r="X190" i="17"/>
  <c r="R318" i="17"/>
  <c r="S318" i="17" s="1"/>
  <c r="Y318" i="17"/>
  <c r="Q472" i="17"/>
  <c r="U472" i="17" s="1"/>
  <c r="X472" i="17"/>
  <c r="R498" i="17"/>
  <c r="S498" i="17" s="1"/>
  <c r="Y498" i="17"/>
  <c r="Q281" i="17"/>
  <c r="U281" i="17" s="1"/>
  <c r="X281" i="17"/>
  <c r="Q256" i="17"/>
  <c r="U256" i="17" s="1"/>
  <c r="X256" i="17"/>
  <c r="Q410" i="17"/>
  <c r="U410" i="17" s="1"/>
  <c r="X410" i="17"/>
  <c r="R444" i="17"/>
  <c r="S444" i="17" s="1"/>
  <c r="Y444" i="17"/>
  <c r="Q144" i="17"/>
  <c r="U144" i="17" s="1"/>
  <c r="X144" i="17"/>
  <c r="Q130" i="17"/>
  <c r="X130" i="17"/>
  <c r="R305" i="17"/>
  <c r="S305" i="17" s="1"/>
  <c r="Y305" i="17"/>
  <c r="R137" i="17"/>
  <c r="S137" i="17" s="1"/>
  <c r="Y137" i="17"/>
  <c r="R397" i="17"/>
  <c r="S397" i="17" s="1"/>
  <c r="Y397" i="17"/>
  <c r="Y163" i="17"/>
  <c r="R163" i="17"/>
  <c r="S163" i="17" s="1"/>
  <c r="Y34" i="17"/>
  <c r="R34" i="17"/>
  <c r="S34" i="17" s="1"/>
  <c r="R299" i="17"/>
  <c r="S299" i="17" s="1"/>
  <c r="Y299" i="17"/>
  <c r="Q137" i="17"/>
  <c r="U137" i="17" s="1"/>
  <c r="X137" i="17"/>
  <c r="R68" i="17"/>
  <c r="S68" i="17" s="1"/>
  <c r="Y68" i="17"/>
  <c r="Q114" i="17"/>
  <c r="U114" i="17" s="1"/>
  <c r="X114" i="17"/>
  <c r="Q121" i="17"/>
  <c r="U121" i="17" s="1"/>
  <c r="X121" i="17"/>
  <c r="Q455" i="17"/>
  <c r="U455" i="17" s="1"/>
  <c r="X455" i="17"/>
  <c r="R147" i="17"/>
  <c r="S147" i="17" s="1"/>
  <c r="Y147" i="17"/>
  <c r="Q173" i="17"/>
  <c r="U173" i="17" s="1"/>
  <c r="X173" i="17"/>
  <c r="Q159" i="17"/>
  <c r="U159" i="17" s="1"/>
  <c r="X159" i="17"/>
  <c r="Y50" i="17"/>
  <c r="R50" i="17"/>
  <c r="S50" i="17" s="1"/>
  <c r="R517" i="17"/>
  <c r="S517" i="17" s="1"/>
  <c r="Y517" i="17"/>
  <c r="R312" i="17"/>
  <c r="S312" i="17" s="1"/>
  <c r="Y312" i="17"/>
  <c r="R90" i="17"/>
  <c r="S90" i="17" s="1"/>
  <c r="Y90" i="17"/>
  <c r="R219" i="17"/>
  <c r="S219" i="17" s="1"/>
  <c r="Y219" i="17"/>
  <c r="Y264" i="17"/>
  <c r="R264" i="17"/>
  <c r="S264" i="17" s="1"/>
  <c r="R208" i="17"/>
  <c r="S208" i="17" s="1"/>
  <c r="Y208" i="17"/>
  <c r="R334" i="17"/>
  <c r="S334" i="17" s="1"/>
  <c r="Y334" i="17"/>
  <c r="Q90" i="17"/>
  <c r="U90" i="17" s="1"/>
  <c r="X90" i="17"/>
  <c r="Q475" i="17"/>
  <c r="U475" i="17" s="1"/>
  <c r="X475" i="17"/>
  <c r="R546" i="17"/>
  <c r="S546" i="17" s="1"/>
  <c r="Y546" i="17"/>
  <c r="X366" i="17"/>
  <c r="Q366" i="17"/>
  <c r="U366" i="17" s="1"/>
  <c r="R449" i="17"/>
  <c r="S449" i="17" s="1"/>
  <c r="Y449" i="17"/>
  <c r="R244" i="17"/>
  <c r="S244" i="17" s="1"/>
  <c r="Y244" i="17"/>
  <c r="Q517" i="17"/>
  <c r="U517" i="17" s="1"/>
  <c r="X517" i="17"/>
  <c r="R108" i="17"/>
  <c r="S108" i="17" s="1"/>
  <c r="Y108" i="17"/>
  <c r="R116" i="17"/>
  <c r="S116" i="17" s="1"/>
  <c r="Y116" i="17"/>
  <c r="R489" i="17"/>
  <c r="S489" i="17" s="1"/>
  <c r="Y489" i="17"/>
  <c r="R229" i="17"/>
  <c r="S229" i="17" s="1"/>
  <c r="Y229" i="17"/>
  <c r="R380" i="17"/>
  <c r="S380" i="17" s="1"/>
  <c r="Y380" i="17"/>
  <c r="Y276" i="17"/>
  <c r="Y446" i="17"/>
  <c r="Y547" i="17"/>
  <c r="Y418" i="17"/>
  <c r="Y297" i="17"/>
  <c r="X599" i="17"/>
  <c r="Y257" i="17"/>
  <c r="Y577" i="17"/>
  <c r="X585" i="17"/>
  <c r="Y438" i="17"/>
  <c r="X380" i="17"/>
  <c r="R20" i="17"/>
  <c r="S20" i="17" s="1"/>
  <c r="R339" i="17"/>
  <c r="S339" i="17" s="1"/>
  <c r="X45" i="17"/>
  <c r="X387" i="17"/>
  <c r="Y308" i="17"/>
  <c r="Y369" i="17"/>
  <c r="Y607" i="17"/>
  <c r="Y201" i="17"/>
  <c r="Y172" i="17"/>
  <c r="Y419" i="17"/>
  <c r="X233" i="17"/>
  <c r="X389" i="17"/>
  <c r="X38" i="17"/>
  <c r="Y404" i="17"/>
  <c r="X414" i="17"/>
  <c r="Y96" i="17"/>
  <c r="X169" i="17"/>
  <c r="X171" i="17"/>
  <c r="X526" i="17"/>
  <c r="X145" i="17"/>
  <c r="Y485" i="17"/>
  <c r="R480" i="17"/>
  <c r="S480" i="17" s="1"/>
  <c r="R213" i="17"/>
  <c r="S213" i="17" s="1"/>
  <c r="Q488" i="17"/>
  <c r="U488" i="17" s="1"/>
  <c r="Q586" i="17"/>
  <c r="U586" i="17" s="1"/>
  <c r="X586" i="17"/>
  <c r="X301" i="17"/>
  <c r="Q301" i="17"/>
  <c r="U301" i="17" s="1"/>
  <c r="R14" i="17"/>
  <c r="S14" i="17" s="1"/>
  <c r="Y14" i="17"/>
  <c r="Q568" i="17"/>
  <c r="U568" i="17" s="1"/>
  <c r="X568" i="17"/>
  <c r="Q195" i="17"/>
  <c r="U195" i="17" s="1"/>
  <c r="X195" i="17"/>
  <c r="Q528" i="17"/>
  <c r="U528" i="17" s="1"/>
  <c r="X528" i="17"/>
  <c r="Q470" i="17"/>
  <c r="U470" i="17" s="1"/>
  <c r="X470" i="17"/>
  <c r="Q67" i="17"/>
  <c r="U67" i="17" s="1"/>
  <c r="X67" i="17"/>
  <c r="Q463" i="17"/>
  <c r="U463" i="17" s="1"/>
  <c r="X463" i="17"/>
  <c r="Q27" i="17"/>
  <c r="U27" i="17" s="1"/>
  <c r="X27" i="17"/>
  <c r="R209" i="17"/>
  <c r="S209" i="17" s="1"/>
  <c r="Y209" i="17"/>
  <c r="Q224" i="17"/>
  <c r="U224" i="17" s="1"/>
  <c r="X224" i="17"/>
  <c r="R574" i="17"/>
  <c r="S574" i="17" s="1"/>
  <c r="Y574" i="17"/>
  <c r="Q481" i="17"/>
  <c r="U481" i="17" s="1"/>
  <c r="X481" i="17"/>
  <c r="X34" i="17"/>
  <c r="Q34" i="17"/>
  <c r="U34" i="17" s="1"/>
  <c r="Q197" i="17"/>
  <c r="U197" i="17" s="1"/>
  <c r="X197" i="17"/>
  <c r="R239" i="17"/>
  <c r="S239" i="17" s="1"/>
  <c r="Y239" i="17"/>
  <c r="Q415" i="17"/>
  <c r="U415" i="17" s="1"/>
  <c r="X415" i="17"/>
  <c r="X546" i="17"/>
  <c r="Q546" i="17"/>
  <c r="U546" i="17" s="1"/>
  <c r="Q530" i="17"/>
  <c r="U530" i="17" s="1"/>
  <c r="X530" i="17"/>
  <c r="R430" i="17"/>
  <c r="S430" i="17" s="1"/>
  <c r="Y430" i="17"/>
  <c r="R358" i="17"/>
  <c r="S358" i="17" s="1"/>
  <c r="Y358" i="17"/>
  <c r="Q168" i="17"/>
  <c r="U168" i="17" s="1"/>
  <c r="X168" i="17"/>
  <c r="R583" i="17"/>
  <c r="S583" i="17" s="1"/>
  <c r="Y583" i="17"/>
  <c r="Q146" i="17"/>
  <c r="U146" i="17" s="1"/>
  <c r="X146" i="17"/>
  <c r="Q431" i="17"/>
  <c r="U431" i="17" s="1"/>
  <c r="X431" i="17"/>
  <c r="Q588" i="17"/>
  <c r="U588" i="17" s="1"/>
  <c r="X588" i="17"/>
  <c r="R440" i="17"/>
  <c r="S440" i="17" s="1"/>
  <c r="Y440" i="17"/>
  <c r="R388" i="17"/>
  <c r="S388" i="17" s="1"/>
  <c r="Y388" i="17"/>
  <c r="R610" i="17"/>
  <c r="S610" i="17" s="1"/>
  <c r="Y610" i="17"/>
  <c r="R540" i="17"/>
  <c r="S540" i="17" s="1"/>
  <c r="Y540" i="17"/>
  <c r="R215" i="17"/>
  <c r="S215" i="17" s="1"/>
  <c r="Y215" i="17"/>
  <c r="Q37" i="17"/>
  <c r="U37" i="17" s="1"/>
  <c r="X37" i="17"/>
  <c r="X523" i="17"/>
  <c r="Q523" i="17"/>
  <c r="U523" i="17" s="1"/>
  <c r="R85" i="17"/>
  <c r="S85" i="17" s="1"/>
  <c r="Y85" i="17"/>
  <c r="Q72" i="17"/>
  <c r="U72" i="17" s="1"/>
  <c r="X72" i="17"/>
  <c r="R248" i="17"/>
  <c r="S248" i="17" s="1"/>
  <c r="Y248" i="17"/>
  <c r="Q108" i="17"/>
  <c r="U108" i="17" s="1"/>
  <c r="X108" i="17"/>
  <c r="Q29" i="17"/>
  <c r="U29" i="17" s="1"/>
  <c r="X29" i="17"/>
  <c r="Q441" i="17"/>
  <c r="U441" i="17" s="1"/>
  <c r="X441" i="17"/>
  <c r="R550" i="17"/>
  <c r="S550" i="17" s="1"/>
  <c r="Y550" i="17"/>
  <c r="R515" i="17"/>
  <c r="S515" i="17" s="1"/>
  <c r="Y515" i="17"/>
  <c r="Q571" i="17"/>
  <c r="U571" i="17" s="1"/>
  <c r="X571" i="17"/>
  <c r="R126" i="17"/>
  <c r="S126" i="17" s="1"/>
  <c r="Y126" i="17"/>
  <c r="R187" i="17"/>
  <c r="S187" i="17" s="1"/>
  <c r="Y187" i="17"/>
  <c r="Q493" i="17"/>
  <c r="U493" i="17" s="1"/>
  <c r="X493" i="17"/>
  <c r="R121" i="17"/>
  <c r="S121" i="17" s="1"/>
  <c r="Y121" i="17"/>
  <c r="Q403" i="17"/>
  <c r="U403" i="17" s="1"/>
  <c r="X403" i="17"/>
  <c r="R109" i="17"/>
  <c r="S109" i="17" s="1"/>
  <c r="Y109" i="17"/>
  <c r="R52" i="17"/>
  <c r="S52" i="17" s="1"/>
  <c r="Y52" i="17"/>
  <c r="Q232" i="17"/>
  <c r="U232" i="17" s="1"/>
  <c r="X232" i="17"/>
  <c r="R204" i="17"/>
  <c r="S204" i="17" s="1"/>
  <c r="Y204" i="17"/>
  <c r="R309" i="17"/>
  <c r="S309" i="17" s="1"/>
  <c r="Y309" i="17"/>
  <c r="Q482" i="17"/>
  <c r="U482" i="17" s="1"/>
  <c r="X482" i="17"/>
  <c r="Q218" i="17"/>
  <c r="U218" i="17" s="1"/>
  <c r="X218" i="17"/>
  <c r="R586" i="17"/>
  <c r="S586" i="17" s="1"/>
  <c r="Y586" i="17"/>
  <c r="Y72" i="17"/>
  <c r="X279" i="17"/>
  <c r="X343" i="17"/>
  <c r="X604" i="17"/>
  <c r="Y78" i="17"/>
  <c r="X59" i="17"/>
  <c r="Y481" i="17"/>
  <c r="Y88" i="17"/>
  <c r="Y576" i="17"/>
  <c r="X601" i="17"/>
  <c r="Y611" i="17"/>
  <c r="X239" i="17"/>
  <c r="X373" i="17"/>
  <c r="X388" i="17"/>
  <c r="X334" i="17"/>
  <c r="Y492" i="17"/>
  <c r="Y509" i="17"/>
  <c r="X92" i="17"/>
  <c r="X75" i="17"/>
  <c r="X400" i="17"/>
  <c r="X317" i="17"/>
  <c r="X260" i="17"/>
  <c r="R386" i="17"/>
  <c r="S386" i="17" s="1"/>
  <c r="Q162" i="17"/>
  <c r="U162" i="17" s="1"/>
  <c r="Q395" i="17"/>
  <c r="U395" i="17" s="1"/>
  <c r="X395" i="17"/>
  <c r="X529" i="17"/>
  <c r="Q529" i="17"/>
  <c r="U529" i="17" s="1"/>
  <c r="Y226" i="17"/>
  <c r="R226" i="17"/>
  <c r="S226" i="17" s="1"/>
  <c r="R197" i="17"/>
  <c r="S197" i="17" s="1"/>
  <c r="Y197" i="17"/>
  <c r="Q180" i="17"/>
  <c r="U180" i="17" s="1"/>
  <c r="X180" i="17"/>
  <c r="Y348" i="17"/>
  <c r="R348" i="17"/>
  <c r="S348" i="17" s="1"/>
  <c r="Q508" i="17"/>
  <c r="U508" i="17" s="1"/>
  <c r="X508" i="17"/>
  <c r="Q322" i="17"/>
  <c r="U322" i="17" s="1"/>
  <c r="X322" i="17"/>
  <c r="X294" i="17"/>
  <c r="Q294" i="17"/>
  <c r="U294" i="17" s="1"/>
  <c r="X359" i="17"/>
  <c r="Q359" i="17"/>
  <c r="U359" i="17" s="1"/>
  <c r="Y165" i="17"/>
  <c r="R165" i="17"/>
  <c r="S165" i="17" s="1"/>
  <c r="X420" i="17"/>
  <c r="Q420" i="17"/>
  <c r="U420" i="17" s="1"/>
  <c r="Q248" i="17"/>
  <c r="U248" i="17" s="1"/>
  <c r="X248" i="17"/>
  <c r="Q390" i="17"/>
  <c r="U390" i="17" s="1"/>
  <c r="X390" i="17"/>
  <c r="Y176" i="17"/>
  <c r="R176" i="17"/>
  <c r="S176" i="17" s="1"/>
  <c r="Y159" i="17"/>
  <c r="R159" i="17"/>
  <c r="S159" i="17" s="1"/>
  <c r="R133" i="17"/>
  <c r="S133" i="17" s="1"/>
  <c r="Y133" i="17"/>
  <c r="X136" i="17"/>
  <c r="Q136" i="17"/>
  <c r="U136" i="17" s="1"/>
  <c r="X284" i="17"/>
  <c r="Q284" i="17"/>
  <c r="U284" i="17" s="1"/>
  <c r="X358" i="17"/>
  <c r="Q358" i="17"/>
  <c r="U358" i="17" s="1"/>
  <c r="Y541" i="17"/>
  <c r="R541" i="17"/>
  <c r="S541" i="17" s="1"/>
  <c r="X512" i="17"/>
  <c r="Q512" i="17"/>
  <c r="U512" i="17" s="1"/>
  <c r="Y416" i="17"/>
  <c r="R416" i="17"/>
  <c r="S416" i="17" s="1"/>
  <c r="Y313" i="17"/>
  <c r="R313" i="17"/>
  <c r="S313" i="17" s="1"/>
  <c r="Y179" i="17"/>
  <c r="R179" i="17"/>
  <c r="S179" i="17" s="1"/>
  <c r="X100" i="17"/>
  <c r="Q100" i="17"/>
  <c r="U100" i="17" s="1"/>
  <c r="Y105" i="17"/>
  <c r="R105" i="17"/>
  <c r="S105" i="17" s="1"/>
  <c r="R324" i="17"/>
  <c r="S324" i="17" s="1"/>
  <c r="Y324" i="17"/>
  <c r="X498" i="17"/>
  <c r="Q498" i="17"/>
  <c r="U498" i="17" s="1"/>
  <c r="X516" i="17"/>
  <c r="Q516" i="17"/>
  <c r="U516" i="17" s="1"/>
  <c r="Y125" i="17"/>
  <c r="R125" i="17"/>
  <c r="S125" i="17" s="1"/>
  <c r="Y202" i="17"/>
  <c r="R202" i="17"/>
  <c r="S202" i="17" s="1"/>
  <c r="X459" i="17"/>
  <c r="Q459" i="17"/>
  <c r="U459" i="17" s="1"/>
  <c r="Q349" i="17"/>
  <c r="U349" i="17" s="1"/>
  <c r="X349" i="17"/>
  <c r="Q489" i="17"/>
  <c r="U489" i="17" s="1"/>
  <c r="X489" i="17"/>
  <c r="Y604" i="17"/>
  <c r="R604" i="17"/>
  <c r="S604" i="17" s="1"/>
  <c r="Q198" i="17"/>
  <c r="U198" i="17" s="1"/>
  <c r="X198" i="17"/>
  <c r="Q432" i="17"/>
  <c r="U432" i="17" s="1"/>
  <c r="X432" i="17"/>
  <c r="Y506" i="17"/>
  <c r="R506" i="17"/>
  <c r="S506" i="17" s="1"/>
  <c r="Q598" i="17"/>
  <c r="U598" i="17" s="1"/>
  <c r="X598" i="17"/>
  <c r="Q241" i="17"/>
  <c r="U241" i="17" s="1"/>
  <c r="X241" i="17"/>
  <c r="Q506" i="17"/>
  <c r="U506" i="17" s="1"/>
  <c r="X506" i="17"/>
  <c r="X303" i="17"/>
  <c r="Q303" i="17"/>
  <c r="U303" i="17" s="1"/>
  <c r="Y387" i="17"/>
  <c r="R387" i="17"/>
  <c r="S387" i="17" s="1"/>
  <c r="Y185" i="17"/>
  <c r="R185" i="17"/>
  <c r="S185" i="17" s="1"/>
  <c r="Y128" i="17"/>
  <c r="R128" i="17"/>
  <c r="S128" i="17" s="1"/>
  <c r="R351" i="17"/>
  <c r="S351" i="17" s="1"/>
  <c r="Y351" i="17"/>
  <c r="Q575" i="17"/>
  <c r="U575" i="17" s="1"/>
  <c r="X575" i="17"/>
  <c r="Q126" i="17"/>
  <c r="U126" i="17" s="1"/>
  <c r="X126" i="17"/>
  <c r="Q254" i="17"/>
  <c r="U254" i="17" s="1"/>
  <c r="X254" i="17"/>
  <c r="Y392" i="17"/>
  <c r="R392" i="17"/>
  <c r="S392" i="17" s="1"/>
  <c r="X412" i="17"/>
  <c r="Q412" i="17"/>
  <c r="U412" i="17" s="1"/>
  <c r="X258" i="17"/>
  <c r="Q258" i="17"/>
  <c r="U258" i="17" s="1"/>
  <c r="R113" i="17"/>
  <c r="S113" i="17" s="1"/>
  <c r="Y113" i="17"/>
  <c r="Q447" i="17"/>
  <c r="U447" i="17" s="1"/>
  <c r="X447" i="17"/>
  <c r="Q251" i="17"/>
  <c r="U251" i="17" s="1"/>
  <c r="X251" i="17"/>
  <c r="Q551" i="17"/>
  <c r="U551" i="17" s="1"/>
  <c r="X551" i="17"/>
  <c r="Y193" i="17"/>
  <c r="R193" i="17"/>
  <c r="S193" i="17" s="1"/>
  <c r="Y198" i="17"/>
  <c r="R198" i="17"/>
  <c r="S198" i="17" s="1"/>
  <c r="X532" i="17"/>
  <c r="Q532" i="17"/>
  <c r="U532" i="17" s="1"/>
  <c r="X64" i="17"/>
  <c r="Q64" i="17"/>
  <c r="U64" i="17" s="1"/>
  <c r="X97" i="17"/>
  <c r="Q97" i="17"/>
  <c r="U97" i="17" s="1"/>
  <c r="Q155" i="17"/>
  <c r="U155" i="17" s="1"/>
  <c r="X155" i="17"/>
  <c r="X20" i="17"/>
  <c r="Q20" i="17"/>
  <c r="U20" i="17" s="1"/>
  <c r="Y73" i="17"/>
  <c r="R73" i="17"/>
  <c r="S73" i="17" s="1"/>
  <c r="R544" i="17"/>
  <c r="S544" i="17" s="1"/>
  <c r="Y544" i="17"/>
  <c r="Y571" i="17"/>
  <c r="R571" i="17"/>
  <c r="S571" i="17" s="1"/>
  <c r="X246" i="17"/>
  <c r="Q246" i="17"/>
  <c r="U246" i="17" s="1"/>
  <c r="X125" i="17"/>
  <c r="Q125" i="17"/>
  <c r="U125" i="17" s="1"/>
  <c r="R218" i="17"/>
  <c r="S218" i="17" s="1"/>
  <c r="Y218" i="17"/>
  <c r="X515" i="17"/>
  <c r="Q515" i="17"/>
  <c r="U515" i="17" s="1"/>
  <c r="Q540" i="17"/>
  <c r="U540" i="17" s="1"/>
  <c r="X540" i="17"/>
  <c r="R391" i="17"/>
  <c r="S391" i="17" s="1"/>
  <c r="Y391" i="17"/>
  <c r="R71" i="17"/>
  <c r="S71" i="17" s="1"/>
  <c r="Y71" i="17"/>
  <c r="X149" i="17"/>
  <c r="Q149" i="17"/>
  <c r="U149" i="17" s="1"/>
  <c r="R223" i="17"/>
  <c r="S223" i="17" s="1"/>
  <c r="Y223" i="17"/>
  <c r="X187" i="17"/>
  <c r="Q187" i="17"/>
  <c r="U187" i="17" s="1"/>
  <c r="Q549" i="17"/>
  <c r="U549" i="17" s="1"/>
  <c r="X549" i="17"/>
  <c r="R216" i="17"/>
  <c r="S216" i="17" s="1"/>
  <c r="Y216" i="17"/>
  <c r="R194" i="17"/>
  <c r="S194" i="17" s="1"/>
  <c r="Y194" i="17"/>
  <c r="X337" i="17"/>
  <c r="Q337" i="17"/>
  <c r="U337" i="17" s="1"/>
  <c r="Y456" i="17"/>
  <c r="R456" i="17"/>
  <c r="S456" i="17" s="1"/>
  <c r="X341" i="17"/>
  <c r="Q341" i="17"/>
  <c r="U341" i="17" s="1"/>
  <c r="Y539" i="17"/>
  <c r="R539" i="17"/>
  <c r="S539" i="17" s="1"/>
  <c r="Y556" i="17"/>
  <c r="Y424" i="17"/>
  <c r="Y153" i="17"/>
  <c r="X536" i="17"/>
  <c r="Y594" i="17"/>
  <c r="Y307" i="17"/>
  <c r="Y188" i="17"/>
  <c r="Y220" i="17"/>
  <c r="X570" i="17"/>
  <c r="Y585" i="17"/>
  <c r="X396" i="17"/>
  <c r="X386" i="17"/>
  <c r="X272" i="17"/>
  <c r="Y548" i="17"/>
  <c r="Y280" i="17"/>
  <c r="X603" i="17"/>
  <c r="Y191" i="17"/>
  <c r="X495" i="17"/>
  <c r="Q50" i="17"/>
  <c r="U50" i="17" s="1"/>
  <c r="Q186" i="17"/>
  <c r="U186" i="17" s="1"/>
  <c r="R69" i="17"/>
  <c r="S69" i="17" s="1"/>
  <c r="Q94" i="17"/>
  <c r="U94" i="17" s="1"/>
  <c r="R301" i="17"/>
  <c r="S301" i="17" s="1"/>
  <c r="Q542" i="17"/>
  <c r="U542" i="17" s="1"/>
  <c r="Y186" i="17"/>
  <c r="R186" i="17"/>
  <c r="S186" i="17" s="1"/>
  <c r="R154" i="17"/>
  <c r="S154" i="17" s="1"/>
  <c r="Y154" i="17"/>
  <c r="Q464" i="17"/>
  <c r="U464" i="17" s="1"/>
  <c r="X464" i="17"/>
  <c r="Y468" i="17"/>
  <c r="R468" i="17"/>
  <c r="S468" i="17" s="1"/>
  <c r="Y145" i="17"/>
  <c r="R145" i="17"/>
  <c r="S145" i="17" s="1"/>
  <c r="R291" i="17"/>
  <c r="S291" i="17" s="1"/>
  <c r="Y291" i="17"/>
  <c r="Q331" i="17"/>
  <c r="U331" i="17" s="1"/>
  <c r="X331" i="17"/>
  <c r="Q324" i="17"/>
  <c r="U324" i="17" s="1"/>
  <c r="X324" i="17"/>
  <c r="Y341" i="17"/>
  <c r="X429" i="17"/>
  <c r="Y338" i="17"/>
  <c r="X379" i="17"/>
  <c r="X98" i="17"/>
  <c r="Q63" i="17"/>
  <c r="U63" i="17" s="1"/>
  <c r="Q23" i="17"/>
  <c r="U23" i="17" s="1"/>
  <c r="R180" i="17"/>
  <c r="S180" i="17" s="1"/>
  <c r="Q563" i="17"/>
  <c r="U563" i="17" s="1"/>
  <c r="R60" i="17"/>
  <c r="S60" i="17" s="1"/>
  <c r="Q600" i="17"/>
  <c r="U600" i="17" s="1"/>
  <c r="X51" i="17"/>
  <c r="Q51" i="17"/>
  <c r="U51" i="17" s="1"/>
  <c r="R452" i="17"/>
  <c r="S452" i="17" s="1"/>
  <c r="Y452" i="17"/>
  <c r="Y520" i="17"/>
  <c r="R520" i="17"/>
  <c r="S520" i="17" s="1"/>
  <c r="R303" i="17"/>
  <c r="S303" i="17" s="1"/>
  <c r="Y303" i="17"/>
  <c r="R377" i="17"/>
  <c r="S377" i="17" s="1"/>
  <c r="Y377" i="17"/>
  <c r="R475" i="17"/>
  <c r="S475" i="17" s="1"/>
  <c r="Y475" i="17"/>
  <c r="R410" i="17"/>
  <c r="S410" i="17" s="1"/>
  <c r="Y410" i="17"/>
  <c r="X293" i="17"/>
  <c r="Q293" i="17"/>
  <c r="AD292" i="17" s="1"/>
  <c r="AE292" i="17" s="1"/>
  <c r="R525" i="17"/>
  <c r="S525" i="17" s="1"/>
  <c r="Y525" i="17"/>
  <c r="R251" i="17"/>
  <c r="S251" i="17" s="1"/>
  <c r="Y251" i="17"/>
  <c r="R461" i="17"/>
  <c r="S461" i="17" s="1"/>
  <c r="Y461" i="17"/>
  <c r="Q360" i="17"/>
  <c r="U360" i="17" s="1"/>
  <c r="X360" i="17"/>
  <c r="Q118" i="17"/>
  <c r="U118" i="17" s="1"/>
  <c r="X118" i="17"/>
  <c r="Q413" i="17"/>
  <c r="U413" i="17" s="1"/>
  <c r="X413" i="17"/>
  <c r="R47" i="17"/>
  <c r="S47" i="17" s="1"/>
  <c r="Y47" i="17"/>
  <c r="R140" i="17"/>
  <c r="S140" i="17" s="1"/>
  <c r="Y140" i="17"/>
  <c r="R271" i="17"/>
  <c r="S271" i="17" s="1"/>
  <c r="Y271" i="17"/>
  <c r="R282" i="17"/>
  <c r="S282" i="17" s="1"/>
  <c r="Y282" i="17"/>
  <c r="R245" i="17"/>
  <c r="S245" i="17" s="1"/>
  <c r="Y245" i="17"/>
  <c r="Y442" i="17"/>
  <c r="R442" i="17"/>
  <c r="S442" i="17" s="1"/>
  <c r="Q105" i="17"/>
  <c r="U105" i="17" s="1"/>
  <c r="X105" i="17"/>
  <c r="X608" i="17"/>
  <c r="Q608" i="17"/>
  <c r="U608" i="17" s="1"/>
  <c r="R190" i="17"/>
  <c r="S190" i="17" s="1"/>
  <c r="Y190" i="17"/>
  <c r="X205" i="17"/>
  <c r="Q205" i="17"/>
  <c r="U205" i="17" s="1"/>
  <c r="Y428" i="17"/>
  <c r="R428" i="17"/>
  <c r="S428" i="17" s="1"/>
  <c r="X565" i="17"/>
  <c r="Q565" i="17"/>
  <c r="U565" i="17" s="1"/>
  <c r="X89" i="17"/>
  <c r="Q89" i="17"/>
  <c r="U89" i="17" s="1"/>
  <c r="X185" i="17"/>
  <c r="Q185" i="17"/>
  <c r="U185" i="17" s="1"/>
  <c r="Q474" i="17"/>
  <c r="U474" i="17" s="1"/>
  <c r="X474" i="17"/>
  <c r="X554" i="17"/>
  <c r="Q554" i="17"/>
  <c r="U554" i="17" s="1"/>
  <c r="X33" i="17"/>
  <c r="Q33" i="17"/>
  <c r="U33" i="17" s="1"/>
  <c r="X626" i="17"/>
  <c r="Q626" i="17"/>
  <c r="D636" i="17" s="1"/>
  <c r="Q559" i="17"/>
  <c r="U559" i="17" s="1"/>
  <c r="X559" i="17"/>
  <c r="R622" i="17"/>
  <c r="S622" i="17" s="1"/>
  <c r="Y622" i="17"/>
  <c r="Y432" i="17"/>
  <c r="R432" i="17"/>
  <c r="S432" i="17" s="1"/>
  <c r="Q259" i="17"/>
  <c r="U259" i="17" s="1"/>
  <c r="X259" i="17"/>
  <c r="Q30" i="17"/>
  <c r="U30" i="17" s="1"/>
  <c r="X30" i="17"/>
  <c r="R363" i="17"/>
  <c r="S363" i="17" s="1"/>
  <c r="Y363" i="17"/>
  <c r="Y349" i="17"/>
  <c r="Y265" i="17"/>
  <c r="Y427" i="17"/>
  <c r="Y234" i="17"/>
  <c r="X607" i="17"/>
  <c r="Y296" i="17"/>
  <c r="Y17" i="17"/>
  <c r="X383" i="17"/>
  <c r="Y203" i="17"/>
  <c r="Q76" i="17"/>
  <c r="U76" i="17" s="1"/>
  <c r="R398" i="17"/>
  <c r="S398" i="17" s="1"/>
  <c r="Q139" i="17"/>
  <c r="U139" i="17" s="1"/>
  <c r="R284" i="17"/>
  <c r="S284" i="17" s="1"/>
  <c r="R390" i="17"/>
  <c r="S390" i="17" s="1"/>
  <c r="X308" i="17"/>
  <c r="Q308" i="17"/>
  <c r="U308" i="17" s="1"/>
  <c r="Q223" i="17"/>
  <c r="U223" i="17" s="1"/>
  <c r="X223" i="17"/>
  <c r="X564" i="17"/>
  <c r="Q564" i="17"/>
  <c r="U564" i="17" s="1"/>
  <c r="Q409" i="17"/>
  <c r="U409" i="17" s="1"/>
  <c r="X409" i="17"/>
  <c r="Y132" i="17"/>
  <c r="R132" i="17"/>
  <c r="S132" i="17" s="1"/>
  <c r="R319" i="17"/>
  <c r="S319" i="17" s="1"/>
  <c r="Y319" i="17"/>
  <c r="R557" i="17"/>
  <c r="S557" i="17" s="1"/>
  <c r="Y557" i="17"/>
  <c r="R246" i="17"/>
  <c r="S246" i="17" s="1"/>
  <c r="Y246" i="17"/>
  <c r="Y61" i="17"/>
  <c r="R61" i="17"/>
  <c r="S61" i="17" s="1"/>
  <c r="Y158" i="17"/>
  <c r="R158" i="17"/>
  <c r="S158" i="17" s="1"/>
  <c r="X39" i="17"/>
  <c r="X442" i="17"/>
  <c r="Y493" i="17"/>
  <c r="X437" i="17"/>
  <c r="Y595" i="17"/>
  <c r="X468" i="17"/>
  <c r="Y613" i="17"/>
  <c r="X299" i="17"/>
  <c r="X483" i="17"/>
  <c r="X578" i="17"/>
  <c r="Y117" i="17"/>
  <c r="Y399" i="17"/>
  <c r="Q25" i="17"/>
  <c r="U25" i="17" s="1"/>
  <c r="R270" i="17"/>
  <c r="S270" i="17" s="1"/>
  <c r="R110" i="17"/>
  <c r="S110" i="17" s="1"/>
  <c r="R277" i="17"/>
  <c r="S277" i="17" s="1"/>
  <c r="Q405" i="17"/>
  <c r="U405" i="17" s="1"/>
  <c r="R536" i="17"/>
  <c r="S536" i="17" s="1"/>
  <c r="R350" i="17"/>
  <c r="S350" i="17" s="1"/>
  <c r="Y599" i="17"/>
  <c r="X229" i="17"/>
  <c r="Y542" i="17"/>
  <c r="X282" i="17"/>
  <c r="X466" i="17"/>
  <c r="Y437" i="17"/>
  <c r="X424" i="17"/>
  <c r="X613" i="17"/>
  <c r="Y590" i="17"/>
  <c r="X203" i="17"/>
  <c r="X416" i="17"/>
  <c r="R333" i="17"/>
  <c r="S333" i="17" s="1"/>
  <c r="X490" i="17"/>
  <c r="X57" i="17"/>
  <c r="Q57" i="17"/>
  <c r="U57" i="17" s="1"/>
  <c r="Y579" i="17"/>
  <c r="R579" i="17"/>
  <c r="S579" i="17" s="1"/>
  <c r="X148" i="17"/>
  <c r="Q148" i="17"/>
  <c r="U148" i="17" s="1"/>
  <c r="R274" i="17"/>
  <c r="S274" i="17" s="1"/>
  <c r="Y274" i="17"/>
  <c r="R531" i="17"/>
  <c r="S531" i="17" s="1"/>
  <c r="Y531" i="17"/>
  <c r="X46" i="17"/>
  <c r="Q46" i="17"/>
  <c r="U46" i="17" s="1"/>
  <c r="Q522" i="17"/>
  <c r="U522" i="17" s="1"/>
  <c r="X522" i="17"/>
  <c r="R210" i="17"/>
  <c r="S210" i="17" s="1"/>
  <c r="Y210" i="17"/>
  <c r="R591" i="17"/>
  <c r="S591" i="17" s="1"/>
  <c r="Y591" i="17"/>
  <c r="Y413" i="17"/>
  <c r="R413" i="17"/>
  <c r="S413" i="17" s="1"/>
  <c r="Y42" i="17"/>
  <c r="R42" i="17"/>
  <c r="S42" i="17" s="1"/>
  <c r="R221" i="17"/>
  <c r="S221" i="17" s="1"/>
  <c r="Y221" i="17"/>
  <c r="Q480" i="17"/>
  <c r="U480" i="17" s="1"/>
  <c r="X480" i="17"/>
  <c r="X545" i="17"/>
  <c r="Q545" i="17"/>
  <c r="U545" i="17" s="1"/>
  <c r="X553" i="17"/>
  <c r="Q553" i="17"/>
  <c r="U553" i="17" s="1"/>
  <c r="X264" i="17"/>
  <c r="Q264" i="17"/>
  <c r="U264" i="17" s="1"/>
  <c r="Y243" i="17"/>
  <c r="R243" i="17"/>
  <c r="S243" i="17" s="1"/>
  <c r="Q80" i="17"/>
  <c r="U80" i="17" s="1"/>
  <c r="X80" i="17"/>
  <c r="R357" i="17"/>
  <c r="S357" i="17" s="1"/>
  <c r="Y357" i="17"/>
  <c r="Y403" i="17"/>
  <c r="R403" i="17"/>
  <c r="S403" i="17" s="1"/>
  <c r="R365" i="17"/>
  <c r="S365" i="17" s="1"/>
  <c r="Y365" i="17"/>
  <c r="Q84" i="17"/>
  <c r="U84" i="17" s="1"/>
  <c r="X84" i="17"/>
  <c r="R469" i="17"/>
  <c r="S469" i="17" s="1"/>
  <c r="Y469" i="17"/>
  <c r="Y474" i="17"/>
  <c r="R474" i="17"/>
  <c r="S474" i="17" s="1"/>
  <c r="R486" i="17"/>
  <c r="S486" i="17" s="1"/>
  <c r="Y486" i="17"/>
  <c r="R207" i="17"/>
  <c r="S207" i="17" s="1"/>
  <c r="Y207" i="17"/>
  <c r="R79" i="17"/>
  <c r="S79" i="17" s="1"/>
  <c r="Y79" i="17"/>
  <c r="Q479" i="17"/>
  <c r="U479" i="17" s="1"/>
  <c r="X479" i="17"/>
  <c r="Q178" i="17"/>
  <c r="U178" i="17" s="1"/>
  <c r="X178" i="17"/>
  <c r="Y566" i="17"/>
  <c r="R566" i="17"/>
  <c r="S566" i="17" s="1"/>
  <c r="X13" i="17"/>
  <c r="X71" i="17"/>
  <c r="Y92" i="17"/>
  <c r="X507" i="17"/>
  <c r="X87" i="17"/>
  <c r="Y247" i="17"/>
  <c r="X231" i="17"/>
  <c r="Y408" i="17"/>
  <c r="X446" i="17"/>
  <c r="X206" i="17"/>
  <c r="Y450" i="17"/>
  <c r="Y278" i="17"/>
  <c r="Y268" i="17"/>
  <c r="Y83" i="17"/>
  <c r="X421" i="17"/>
  <c r="X280" i="17"/>
  <c r="Y211" i="17"/>
  <c r="Y373" i="17"/>
  <c r="Y18" i="17"/>
  <c r="X156" i="17"/>
  <c r="X220" i="17"/>
  <c r="X62" i="17"/>
  <c r="Y340" i="17"/>
  <c r="Y232" i="17"/>
  <c r="Y267" i="17"/>
  <c r="X107" i="17"/>
  <c r="Y543" i="17"/>
  <c r="X457" i="17"/>
  <c r="X384" i="17"/>
  <c r="Y606" i="17"/>
  <c r="X557" i="17"/>
  <c r="Q347" i="17"/>
  <c r="U347" i="17" s="1"/>
  <c r="R58" i="17"/>
  <c r="S58" i="17" s="1"/>
  <c r="R327" i="17"/>
  <c r="S327" i="17" s="1"/>
  <c r="Q543" i="17"/>
  <c r="U543" i="17" s="1"/>
  <c r="Q31" i="17"/>
  <c r="U31" i="17" s="1"/>
  <c r="R136" i="17"/>
  <c r="S136" i="17" s="1"/>
  <c r="Q287" i="17"/>
  <c r="U287" i="17" s="1"/>
  <c r="Q262" i="17"/>
  <c r="U262" i="17" s="1"/>
  <c r="Q372" i="17"/>
  <c r="U372" i="17" s="1"/>
  <c r="Q430" i="17"/>
  <c r="U430" i="17" s="1"/>
  <c r="R502" i="17"/>
  <c r="S502" i="17" s="1"/>
  <c r="Q249" i="17"/>
  <c r="U249" i="17" s="1"/>
  <c r="R82" i="17"/>
  <c r="S82" i="17" s="1"/>
  <c r="Q399" i="17"/>
  <c r="U399" i="17" s="1"/>
  <c r="R521" i="17"/>
  <c r="S521" i="17" s="1"/>
  <c r="Q157" i="17"/>
  <c r="U157" i="17" s="1"/>
  <c r="Q160" i="17"/>
  <c r="U160" i="17" s="1"/>
  <c r="R567" i="17"/>
  <c r="S567" i="17" s="1"/>
  <c r="Y70" i="17"/>
  <c r="R70" i="17"/>
  <c r="S70" i="17" s="1"/>
  <c r="R505" i="17"/>
  <c r="S505" i="17" s="1"/>
  <c r="Y505" i="17"/>
  <c r="X606" i="17"/>
  <c r="Q606" i="17"/>
  <c r="U606" i="17" s="1"/>
  <c r="Y205" i="17"/>
  <c r="R205" i="17"/>
  <c r="S205" i="17" s="1"/>
  <c r="Q582" i="17"/>
  <c r="U582" i="17" s="1"/>
  <c r="X582" i="17"/>
  <c r="Q596" i="17"/>
  <c r="U596" i="17" s="1"/>
  <c r="X596" i="17"/>
  <c r="Q496" i="17"/>
  <c r="U496" i="17" s="1"/>
  <c r="X496" i="17"/>
  <c r="X558" i="17"/>
  <c r="Q558" i="17"/>
  <c r="U558" i="17" s="1"/>
  <c r="Q66" i="17"/>
  <c r="U66" i="17" s="1"/>
  <c r="X66" i="17"/>
  <c r="Y573" i="17"/>
  <c r="R573" i="17"/>
  <c r="S573" i="17" s="1"/>
  <c r="Q226" i="17"/>
  <c r="U226" i="17" s="1"/>
  <c r="X226" i="17"/>
  <c r="Y249" i="17"/>
  <c r="R249" i="17"/>
  <c r="S249" i="17" s="1"/>
  <c r="R256" i="17"/>
  <c r="S256" i="17" s="1"/>
  <c r="Y256" i="17"/>
  <c r="X524" i="17"/>
  <c r="Q524" i="17"/>
  <c r="U524" i="17" s="1"/>
  <c r="X375" i="17"/>
  <c r="Q375" i="17"/>
  <c r="U375" i="17" s="1"/>
  <c r="Y119" i="17"/>
  <c r="R119" i="17"/>
  <c r="S119" i="17" s="1"/>
  <c r="Q275" i="17"/>
  <c r="U275" i="17" s="1"/>
  <c r="X275" i="17"/>
  <c r="Q143" i="17"/>
  <c r="U143" i="17" s="1"/>
  <c r="X143" i="17"/>
  <c r="Y94" i="17"/>
  <c r="R94" i="17"/>
  <c r="S94" i="17" s="1"/>
  <c r="X192" i="17"/>
  <c r="Q192" i="17"/>
  <c r="U192" i="17" s="1"/>
  <c r="R112" i="17"/>
  <c r="S112" i="17" s="1"/>
  <c r="Y112" i="17"/>
  <c r="Y28" i="17"/>
  <c r="X238" i="17"/>
  <c r="Y300" i="17"/>
  <c r="X357" i="17"/>
  <c r="X452" i="17"/>
  <c r="Y364" i="17"/>
  <c r="X77" i="17"/>
  <c r="Y473" i="17"/>
  <c r="Y409" i="17"/>
  <c r="Y29" i="17"/>
  <c r="X514" i="17"/>
  <c r="Y368" i="17"/>
  <c r="Y343" i="17"/>
  <c r="Y170" i="17"/>
  <c r="Y141" i="17"/>
  <c r="Y589" i="17"/>
  <c r="Y286" i="17"/>
  <c r="X397" i="17"/>
  <c r="Y258" i="17"/>
  <c r="X16" i="17"/>
  <c r="Y568" i="17"/>
  <c r="Y383" i="17"/>
  <c r="X589" i="17"/>
  <c r="X583" i="17"/>
  <c r="Q48" i="17"/>
  <c r="U48" i="17" s="1"/>
  <c r="Q202" i="17"/>
  <c r="U202" i="17" s="1"/>
  <c r="Q428" i="17"/>
  <c r="U428" i="17" s="1"/>
  <c r="Q243" i="17"/>
  <c r="U243" i="17" s="1"/>
  <c r="R464" i="17"/>
  <c r="S464" i="17" s="1"/>
  <c r="R321" i="17"/>
  <c r="S321" i="17" s="1"/>
  <c r="Q544" i="17"/>
  <c r="U544" i="17" s="1"/>
  <c r="R379" i="17"/>
  <c r="S379" i="17" s="1"/>
  <c r="R470" i="17"/>
  <c r="S470" i="17" s="1"/>
  <c r="R477" i="17"/>
  <c r="S477" i="17" s="1"/>
  <c r="R181" i="17"/>
  <c r="S181" i="17" s="1"/>
  <c r="R496" i="17"/>
  <c r="S496" i="17" s="1"/>
  <c r="R538" i="17"/>
  <c r="S538" i="17" s="1"/>
  <c r="Y330" i="17"/>
  <c r="R330" i="17"/>
  <c r="S330" i="17" s="1"/>
  <c r="Y462" i="17"/>
  <c r="R462" i="17"/>
  <c r="S462" i="17" s="1"/>
  <c r="R396" i="17"/>
  <c r="S396" i="17" s="1"/>
  <c r="Y396" i="17"/>
  <c r="X462" i="17"/>
  <c r="Q462" i="17"/>
  <c r="U462" i="17" s="1"/>
  <c r="Q448" i="17"/>
  <c r="U448" i="17" s="1"/>
  <c r="X448" i="17"/>
  <c r="Y231" i="17"/>
  <c r="R231" i="17"/>
  <c r="S231" i="17" s="1"/>
  <c r="Q581" i="17"/>
  <c r="U581" i="17" s="1"/>
  <c r="X581" i="17"/>
  <c r="Y41" i="17"/>
  <c r="R41" i="17"/>
  <c r="S41" i="17" s="1"/>
  <c r="X450" i="17"/>
  <c r="Q450" i="17"/>
  <c r="U450" i="17" s="1"/>
  <c r="Q227" i="17"/>
  <c r="U227" i="17" s="1"/>
  <c r="X227" i="17"/>
  <c r="R173" i="17"/>
  <c r="S173" i="17" s="1"/>
  <c r="Y173" i="17"/>
  <c r="Q353" i="17"/>
  <c r="U353" i="17" s="1"/>
  <c r="X353" i="17"/>
  <c r="X436" i="17"/>
  <c r="Q436" i="17"/>
  <c r="U436" i="17" s="1"/>
  <c r="X142" i="17"/>
  <c r="Q142" i="17"/>
  <c r="U142" i="17" s="1"/>
  <c r="Q622" i="17"/>
  <c r="D632" i="17" s="1"/>
  <c r="X622" i="17"/>
  <c r="Y36" i="17"/>
  <c r="R36" i="17"/>
  <c r="S36" i="17" s="1"/>
  <c r="X370" i="17"/>
  <c r="Q370" i="17"/>
  <c r="U370" i="17" s="1"/>
  <c r="Y86" i="17"/>
  <c r="R86" i="17"/>
  <c r="S86" i="17" s="1"/>
  <c r="X527" i="17"/>
  <c r="Q527" i="17"/>
  <c r="U527" i="17" s="1"/>
  <c r="Y352" i="17"/>
  <c r="R352" i="17"/>
  <c r="S352" i="17" s="1"/>
  <c r="R254" i="17"/>
  <c r="S254" i="17" s="1"/>
  <c r="Y254" i="17"/>
  <c r="Y511" i="17"/>
  <c r="R511" i="17"/>
  <c r="S511" i="17" s="1"/>
  <c r="X346" i="17"/>
  <c r="Q346" i="17"/>
  <c r="U346" i="17" s="1"/>
  <c r="Q509" i="17"/>
  <c r="U509" i="17" s="1"/>
  <c r="X509" i="17"/>
  <c r="Y238" i="17"/>
  <c r="R238" i="17"/>
  <c r="S238" i="17" s="1"/>
  <c r="Y33" i="17"/>
  <c r="R33" i="17"/>
  <c r="S33" i="17" s="1"/>
  <c r="Y405" i="17"/>
  <c r="R405" i="17"/>
  <c r="S405" i="17" s="1"/>
  <c r="Y289" i="17"/>
  <c r="R289" i="17"/>
  <c r="S289" i="17" s="1"/>
  <c r="Y160" i="17"/>
  <c r="R160" i="17"/>
  <c r="S160" i="17" s="1"/>
  <c r="X96" i="17"/>
  <c r="Q96" i="17"/>
  <c r="U96" i="17" s="1"/>
  <c r="R65" i="17"/>
  <c r="S65" i="17" s="1"/>
  <c r="Y65" i="17"/>
  <c r="Y15" i="17"/>
  <c r="R15" i="17"/>
  <c r="S15" i="17" s="1"/>
  <c r="X594" i="17"/>
  <c r="X266" i="17"/>
  <c r="X434" i="17"/>
  <c r="X183" i="17"/>
  <c r="Y118" i="17"/>
  <c r="Y199" i="17"/>
  <c r="X562" i="17"/>
  <c r="X298" i="17"/>
  <c r="Y555" i="17"/>
  <c r="Y575" i="17"/>
  <c r="X361" i="17"/>
  <c r="X53" i="17"/>
  <c r="Y48" i="17"/>
  <c r="Y414" i="17"/>
  <c r="X22" i="17"/>
  <c r="Y59" i="17"/>
  <c r="X99" i="17"/>
  <c r="Y134" i="17"/>
  <c r="X501" i="17"/>
  <c r="Y407" i="17"/>
  <c r="Y55" i="17"/>
  <c r="X367" i="17"/>
  <c r="X177" i="17"/>
  <c r="X188" i="17"/>
  <c r="X406" i="17"/>
  <c r="Y564" i="17"/>
  <c r="X318" i="17"/>
  <c r="X69" i="17"/>
  <c r="X158" i="17"/>
  <c r="X518" i="17"/>
  <c r="X253" i="17"/>
  <c r="X288" i="17"/>
  <c r="X207" i="17"/>
  <c r="X113" i="17"/>
  <c r="X134" i="17"/>
  <c r="X520" i="17"/>
  <c r="Y177" i="17"/>
  <c r="X194" i="17"/>
  <c r="R161" i="17"/>
  <c r="S161" i="17" s="1"/>
  <c r="R273" i="17"/>
  <c r="S273" i="17" s="1"/>
  <c r="Q165" i="17"/>
  <c r="U165" i="17" s="1"/>
  <c r="R242" i="17"/>
  <c r="S242" i="17" s="1"/>
  <c r="R123" i="17"/>
  <c r="S123" i="17" s="1"/>
  <c r="Q445" i="17"/>
  <c r="U445" i="17" s="1"/>
  <c r="Q609" i="17"/>
  <c r="U609" i="17" s="1"/>
  <c r="Q193" i="17"/>
  <c r="U193" i="17" s="1"/>
  <c r="Q456" i="17"/>
  <c r="U456" i="17" s="1"/>
  <c r="Q587" i="17"/>
  <c r="U587" i="17" s="1"/>
  <c r="Q88" i="17"/>
  <c r="U88" i="17" s="1"/>
  <c r="R124" i="17"/>
  <c r="S124" i="17" s="1"/>
  <c r="R425" i="17"/>
  <c r="S425" i="17" s="1"/>
  <c r="R580" i="17"/>
  <c r="S580" i="17" s="1"/>
  <c r="R325" i="17"/>
  <c r="S325" i="17" s="1"/>
  <c r="Q28" i="17"/>
  <c r="U28" i="17" s="1"/>
  <c r="X28" i="17"/>
  <c r="Q104" i="17"/>
  <c r="U104" i="17" s="1"/>
  <c r="X104" i="17"/>
  <c r="Y304" i="17"/>
  <c r="R304" i="17"/>
  <c r="S304" i="17" s="1"/>
  <c r="Y360" i="17"/>
  <c r="R360" i="17"/>
  <c r="S360" i="17" s="1"/>
  <c r="Q378" i="17"/>
  <c r="U378" i="17" s="1"/>
  <c r="X378" i="17"/>
  <c r="Q103" i="17"/>
  <c r="U103" i="17" s="1"/>
  <c r="X103" i="17"/>
  <c r="R95" i="17"/>
  <c r="S95" i="17" s="1"/>
  <c r="Y95" i="17"/>
  <c r="X131" i="17"/>
  <c r="Q131" i="17"/>
  <c r="U131" i="17" s="1"/>
  <c r="R175" i="17"/>
  <c r="S175" i="17" s="1"/>
  <c r="Y175" i="17"/>
  <c r="X453" i="17"/>
  <c r="Q453" i="17"/>
  <c r="U453" i="17" s="1"/>
  <c r="Q404" i="17"/>
  <c r="U404" i="17" s="1"/>
  <c r="X404" i="17"/>
  <c r="R448" i="17"/>
  <c r="S448" i="17" s="1"/>
  <c r="Y448" i="17"/>
  <c r="R553" i="17"/>
  <c r="S553" i="17" s="1"/>
  <c r="Y553" i="17"/>
  <c r="R371" i="17"/>
  <c r="S371" i="17" s="1"/>
  <c r="Y371" i="17"/>
  <c r="X332" i="17"/>
  <c r="Q332" i="17"/>
  <c r="U332" i="17" s="1"/>
  <c r="R420" i="17"/>
  <c r="S420" i="17" s="1"/>
  <c r="Y420" i="17"/>
  <c r="Y514" i="17"/>
  <c r="R514" i="17"/>
  <c r="S514" i="17" s="1"/>
  <c r="R23" i="17"/>
  <c r="S23" i="17" s="1"/>
  <c r="Y23" i="17"/>
  <c r="Y143" i="17"/>
  <c r="R143" i="17"/>
  <c r="S143" i="17" s="1"/>
  <c r="R385" i="17"/>
  <c r="S385" i="17" s="1"/>
  <c r="Y385" i="17"/>
  <c r="Q451" i="17"/>
  <c r="U451" i="17" s="1"/>
  <c r="X451" i="17"/>
  <c r="Q276" i="17"/>
  <c r="U276" i="17" s="1"/>
  <c r="X276" i="17"/>
  <c r="Q342" i="17"/>
  <c r="U342" i="17" s="1"/>
  <c r="X342" i="17"/>
  <c r="Y533" i="17"/>
  <c r="R533" i="17"/>
  <c r="S533" i="17" s="1"/>
  <c r="R530" i="17"/>
  <c r="S530" i="17" s="1"/>
  <c r="Y530" i="17"/>
  <c r="Q305" i="17"/>
  <c r="U305" i="17" s="1"/>
  <c r="X305" i="17"/>
  <c r="Q328" i="17"/>
  <c r="U328" i="17" s="1"/>
  <c r="X328" i="17"/>
  <c r="Y64" i="17"/>
  <c r="R64" i="17"/>
  <c r="S64" i="17" s="1"/>
  <c r="R148" i="17"/>
  <c r="S148" i="17" s="1"/>
  <c r="Y148" i="17"/>
  <c r="R510" i="17"/>
  <c r="S510" i="17" s="1"/>
  <c r="Y510" i="17"/>
  <c r="X245" i="17"/>
  <c r="Q245" i="17"/>
  <c r="U245" i="17" s="1"/>
  <c r="X486" i="17"/>
  <c r="Q486" i="17"/>
  <c r="U486" i="17" s="1"/>
  <c r="Q556" i="17"/>
  <c r="U556" i="17" s="1"/>
  <c r="X556" i="17"/>
  <c r="Q519" i="17"/>
  <c r="U519" i="17" s="1"/>
  <c r="X519" i="17"/>
  <c r="X273" i="17"/>
  <c r="Q273" i="17"/>
  <c r="U273" i="17" s="1"/>
  <c r="Y336" i="17"/>
  <c r="R336" i="17"/>
  <c r="S336" i="17" s="1"/>
  <c r="R476" i="17"/>
  <c r="S476" i="17" s="1"/>
  <c r="Y476" i="17"/>
  <c r="Y626" i="17"/>
  <c r="R626" i="17"/>
  <c r="S626" i="17" s="1"/>
  <c r="R588" i="17"/>
  <c r="S588" i="17" s="1"/>
  <c r="Y588" i="17"/>
  <c r="R534" i="17"/>
  <c r="S534" i="17" s="1"/>
  <c r="Y534" i="17"/>
  <c r="Q510" i="17"/>
  <c r="U510" i="17" s="1"/>
  <c r="X510" i="17"/>
  <c r="Q382" i="17"/>
  <c r="U382" i="17" s="1"/>
  <c r="X382" i="17"/>
  <c r="R356" i="17"/>
  <c r="S356" i="17" s="1"/>
  <c r="Y356" i="17"/>
  <c r="Q228" i="17"/>
  <c r="U228" i="17" s="1"/>
  <c r="X228" i="17"/>
  <c r="Y478" i="17"/>
  <c r="R478" i="17"/>
  <c r="S478" i="17" s="1"/>
  <c r="Q170" i="17"/>
  <c r="U170" i="17" s="1"/>
  <c r="X170" i="17"/>
  <c r="R395" i="17"/>
  <c r="S395" i="17" s="1"/>
  <c r="Y395" i="17"/>
  <c r="Q547" i="17"/>
  <c r="U547" i="17" s="1"/>
  <c r="X547" i="17"/>
  <c r="R465" i="17"/>
  <c r="S465" i="17" s="1"/>
  <c r="Y465" i="17"/>
  <c r="Q106" i="17"/>
  <c r="U106" i="17" s="1"/>
  <c r="X106" i="17"/>
  <c r="Y593" i="17"/>
  <c r="R593" i="17"/>
  <c r="S593" i="17" s="1"/>
  <c r="R326" i="17"/>
  <c r="S326" i="17" s="1"/>
  <c r="Y326" i="17"/>
  <c r="Q176" i="17"/>
  <c r="U176" i="17" s="1"/>
  <c r="X176" i="17"/>
  <c r="R584" i="17"/>
  <c r="S584" i="17" s="1"/>
  <c r="Y584" i="17"/>
  <c r="Q296" i="17"/>
  <c r="U296" i="17" s="1"/>
  <c r="X296" i="17"/>
  <c r="X444" i="17"/>
  <c r="Q444" i="17"/>
  <c r="U444" i="17" s="1"/>
  <c r="X511" i="17"/>
  <c r="Q511" i="17"/>
  <c r="U511" i="17" s="1"/>
  <c r="R600" i="17"/>
  <c r="S600" i="17" s="1"/>
  <c r="Y600" i="17"/>
  <c r="R106" i="17"/>
  <c r="S106" i="17" s="1"/>
  <c r="Y106" i="17"/>
  <c r="Q54" i="17"/>
  <c r="U54" i="17" s="1"/>
  <c r="X54" i="17"/>
  <c r="Q61" i="17"/>
  <c r="U61" i="17" s="1"/>
  <c r="X61" i="17"/>
  <c r="Y447" i="17"/>
  <c r="R447" i="17"/>
  <c r="S447" i="17" s="1"/>
  <c r="X376" i="17"/>
  <c r="Q376" i="17"/>
  <c r="U376" i="17" s="1"/>
  <c r="X504" i="17"/>
  <c r="Q504" i="17"/>
  <c r="U504" i="17" s="1"/>
  <c r="R528" i="17"/>
  <c r="S528" i="17" s="1"/>
  <c r="Y528" i="17"/>
  <c r="Y582" i="17"/>
  <c r="R582" i="17"/>
  <c r="S582" i="17" s="1"/>
  <c r="X285" i="17"/>
  <c r="Q285" i="17"/>
  <c r="U285" i="17" s="1"/>
  <c r="X476" i="17"/>
  <c r="Q476" i="17"/>
  <c r="U476" i="17" s="1"/>
  <c r="Y435" i="17"/>
  <c r="R435" i="17"/>
  <c r="S435" i="17" s="1"/>
  <c r="Q117" i="17"/>
  <c r="AD116" i="17" s="1"/>
  <c r="AE116" i="17" s="1"/>
  <c r="X117" i="17"/>
  <c r="Y569" i="17"/>
  <c r="R569" i="17"/>
  <c r="S569" i="17" s="1"/>
  <c r="Y139" i="17"/>
  <c r="R139" i="17"/>
  <c r="S139" i="17" s="1"/>
  <c r="X60" i="17"/>
  <c r="Q60" i="17"/>
  <c r="U60" i="17" s="1"/>
  <c r="Q85" i="17"/>
  <c r="U85" i="17" s="1"/>
  <c r="X85" i="17"/>
  <c r="R76" i="17"/>
  <c r="S76" i="17" s="1"/>
  <c r="Y76" i="17"/>
  <c r="X17" i="17"/>
  <c r="Q17" i="17"/>
  <c r="U17" i="17" s="1"/>
  <c r="Y100" i="17"/>
  <c r="R100" i="17"/>
  <c r="S100" i="17" s="1"/>
  <c r="Y491" i="17"/>
  <c r="Y30" i="17"/>
  <c r="Y337" i="17"/>
  <c r="Y53" i="17"/>
  <c r="X201" i="17"/>
  <c r="X473" i="17"/>
  <c r="X133" i="17"/>
  <c r="Y27" i="17"/>
  <c r="X111" i="17"/>
  <c r="X309" i="17"/>
  <c r="X184" i="17"/>
  <c r="X83" i="17"/>
  <c r="X32" i="17"/>
  <c r="Y225" i="17"/>
  <c r="Y609" i="17"/>
  <c r="X150" i="17"/>
  <c r="X154" i="17"/>
  <c r="X340" i="17"/>
  <c r="Y412" i="17"/>
  <c r="Y285" i="17"/>
  <c r="Y89" i="17"/>
  <c r="Y598" i="17"/>
  <c r="Y120" i="17"/>
  <c r="Y374" i="17"/>
  <c r="X592" i="17"/>
  <c r="X112" i="17"/>
  <c r="Y320" i="17"/>
  <c r="X319" i="17"/>
  <c r="Y458" i="17"/>
  <c r="X255" i="17"/>
  <c r="Y150" i="17"/>
  <c r="Y241" i="17"/>
  <c r="Y532" i="17"/>
  <c r="Y381" i="17"/>
  <c r="Y322" i="17"/>
  <c r="R402" i="17"/>
  <c r="S402" i="17" s="1"/>
  <c r="R212" i="17"/>
  <c r="S212" i="17" s="1"/>
  <c r="Q210" i="17"/>
  <c r="U210" i="17" s="1"/>
  <c r="Q461" i="17"/>
  <c r="U461" i="17" s="1"/>
  <c r="R375" i="17"/>
  <c r="S375" i="17" s="1"/>
  <c r="R353" i="17"/>
  <c r="S353" i="17" s="1"/>
  <c r="Q216" i="17"/>
  <c r="U216" i="17" s="1"/>
  <c r="Q419" i="17"/>
  <c r="U419" i="17" s="1"/>
  <c r="R91" i="17"/>
  <c r="S91" i="17" s="1"/>
  <c r="Q119" i="17"/>
  <c r="U119" i="17" s="1"/>
  <c r="R290" i="17"/>
  <c r="S290" i="17" s="1"/>
  <c r="R168" i="17"/>
  <c r="S168" i="17" s="1"/>
  <c r="Q247" i="17"/>
  <c r="U247" i="17" s="1"/>
  <c r="R38" i="17"/>
  <c r="S38" i="17" s="1"/>
  <c r="R311" i="17"/>
  <c r="S311" i="17" s="1"/>
  <c r="R562" i="17"/>
  <c r="S562" i="17" s="1"/>
  <c r="R487" i="17"/>
  <c r="S487" i="17" s="1"/>
  <c r="R262" i="17"/>
  <c r="S262" i="17" s="1"/>
  <c r="Q141" i="17"/>
  <c r="U141" i="17" s="1"/>
  <c r="Q449" i="17"/>
  <c r="U449" i="17" s="1"/>
  <c r="X439" i="17"/>
  <c r="Y417" i="17"/>
  <c r="Y522" i="17"/>
  <c r="X302" i="17"/>
  <c r="X492" i="17"/>
  <c r="X291" i="17"/>
  <c r="Y39" i="17"/>
  <c r="Y519" i="17"/>
  <c r="X78" i="17"/>
  <c r="Y596" i="17"/>
  <c r="X533" i="17"/>
  <c r="Y317" i="17"/>
  <c r="Y501" i="17"/>
  <c r="X351" i="17"/>
  <c r="X325" i="17"/>
  <c r="X215" i="17"/>
  <c r="Q602" i="17"/>
  <c r="U602" i="17" s="1"/>
  <c r="Q19" i="17"/>
  <c r="U19" i="17" s="1"/>
  <c r="R287" i="17"/>
  <c r="S287" i="17" s="1"/>
  <c r="R612" i="17"/>
  <c r="S612" i="17" s="1"/>
  <c r="R587" i="17"/>
  <c r="S587" i="17" s="1"/>
  <c r="R293" i="17"/>
  <c r="S293" i="17" s="1"/>
  <c r="Q313" i="17"/>
  <c r="U313" i="17" s="1"/>
  <c r="R558" i="17"/>
  <c r="S558" i="17" s="1"/>
  <c r="R13" i="17"/>
  <c r="S13" i="17" s="1"/>
  <c r="Q127" i="17"/>
  <c r="U127" i="17" s="1"/>
  <c r="R240" i="17"/>
  <c r="S240" i="17" s="1"/>
  <c r="R183" i="17"/>
  <c r="S183" i="17" s="1"/>
  <c r="Q222" i="17"/>
  <c r="U222" i="17" s="1"/>
  <c r="Q339" i="17"/>
  <c r="U339" i="17" s="1"/>
  <c r="R554" i="17"/>
  <c r="S554" i="17" s="1"/>
  <c r="Q377" i="17"/>
  <c r="U377" i="17" s="1"/>
  <c r="Q611" i="17"/>
  <c r="U611" i="17" s="1"/>
  <c r="R122" i="17"/>
  <c r="S122" i="17" s="1"/>
  <c r="Q365" i="17"/>
  <c r="U365" i="17" s="1"/>
  <c r="Q257" i="17"/>
  <c r="U257" i="17" s="1"/>
  <c r="Y272" i="17"/>
  <c r="X491" i="17"/>
  <c r="Y523" i="17"/>
  <c r="X329" i="17"/>
  <c r="X418" i="17"/>
  <c r="Y603" i="17"/>
  <c r="Y499" i="17"/>
  <c r="Y545" i="17"/>
  <c r="Y439" i="17"/>
  <c r="Y389" i="17"/>
  <c r="X18" i="17"/>
  <c r="X374" i="17"/>
  <c r="Y157" i="17"/>
  <c r="Y66" i="17"/>
  <c r="X392" i="17"/>
  <c r="Y261" i="17"/>
  <c r="X230" i="17"/>
  <c r="X426" i="17"/>
  <c r="R378" i="17"/>
  <c r="S378" i="17" s="1"/>
  <c r="R142" i="17"/>
  <c r="S142" i="17" s="1"/>
  <c r="R129" i="17"/>
  <c r="S129" i="17" s="1"/>
  <c r="Q550" i="17"/>
  <c r="U550" i="17" s="1"/>
  <c r="R149" i="17"/>
  <c r="S149" i="17" s="1"/>
  <c r="R260" i="17"/>
  <c r="S260" i="17" s="1"/>
  <c r="R288" i="17"/>
  <c r="S288" i="17" s="1"/>
  <c r="R111" i="17"/>
  <c r="S111" i="17" s="1"/>
  <c r="Q269" i="17"/>
  <c r="U269" i="17" s="1"/>
  <c r="R16" i="17"/>
  <c r="S16" i="17" s="1"/>
  <c r="Q109" i="17"/>
  <c r="U109" i="17" s="1"/>
  <c r="Q425" i="17"/>
  <c r="U425" i="17" s="1"/>
  <c r="Y623" i="17"/>
  <c r="X327" i="17"/>
  <c r="Y436" i="17"/>
  <c r="Y601" i="17"/>
  <c r="Y228" i="17"/>
  <c r="X21" i="17"/>
  <c r="X47" i="17"/>
  <c r="X595" i="17"/>
  <c r="X408" i="17"/>
  <c r="Y107" i="17"/>
  <c r="Y43" i="17"/>
  <c r="Y166" i="17"/>
  <c r="Y451" i="17"/>
  <c r="Y578" i="17"/>
  <c r="X250" i="17"/>
  <c r="Y316" i="17"/>
  <c r="X101" i="17"/>
  <c r="X42" i="17"/>
  <c r="X175" i="17"/>
  <c r="Y454" i="17"/>
  <c r="Y151" i="17"/>
  <c r="X411" i="17"/>
  <c r="X91" i="17"/>
  <c r="X531" i="17"/>
  <c r="X41" i="17"/>
  <c r="X513" i="17"/>
  <c r="X271" i="17"/>
  <c r="X548" i="17"/>
  <c r="X362" i="17"/>
  <c r="Y382" i="17"/>
  <c r="Y551" i="17"/>
  <c r="Y155" i="17"/>
  <c r="Y421" i="17"/>
  <c r="Q44" i="17"/>
  <c r="U44" i="17" s="1"/>
  <c r="R192" i="17"/>
  <c r="S192" i="17" s="1"/>
  <c r="R563" i="17"/>
  <c r="S563" i="17" s="1"/>
  <c r="R426" i="17"/>
  <c r="S426" i="17" s="1"/>
  <c r="R174" i="17"/>
  <c r="S174" i="17" s="1"/>
  <c r="Q181" i="17"/>
  <c r="U181" i="17" s="1"/>
  <c r="Q467" i="17"/>
  <c r="U467" i="17" s="1"/>
  <c r="Q55" i="17"/>
  <c r="U55" i="17" s="1"/>
  <c r="Q65" i="17"/>
  <c r="U65" i="17" s="1"/>
  <c r="Q525" i="17"/>
  <c r="U525" i="17" s="1"/>
  <c r="Q336" i="17"/>
  <c r="U336" i="17" s="1"/>
  <c r="Y46" i="17"/>
  <c r="Y259" i="17"/>
  <c r="X537" i="17"/>
  <c r="Y56" i="17"/>
  <c r="X427" i="17"/>
  <c r="Y182" i="17"/>
  <c r="Y310" i="17"/>
  <c r="Y279" i="17"/>
  <c r="X163" i="17"/>
  <c r="X153" i="17"/>
  <c r="Y67" i="17"/>
  <c r="X369" i="17"/>
  <c r="X261" i="17"/>
  <c r="Y171" i="17"/>
  <c r="Y329" i="17"/>
  <c r="Y457" i="17"/>
  <c r="Y332" i="17"/>
  <c r="X363" i="17"/>
  <c r="Y77" i="17"/>
  <c r="X460" i="17"/>
  <c r="X214" i="17"/>
  <c r="X591" i="17"/>
  <c r="X26" i="17"/>
  <c r="Y87" i="17"/>
  <c r="X469" i="17"/>
  <c r="X164" i="17"/>
  <c r="X292" i="17"/>
  <c r="Y152" i="17"/>
  <c r="X189" i="17"/>
  <c r="Y370" i="17"/>
  <c r="X286" i="17"/>
  <c r="Y471" i="17"/>
  <c r="X605" i="17"/>
  <c r="X577" i="17"/>
  <c r="X574" i="17"/>
  <c r="X307" i="17"/>
  <c r="Y406" i="17"/>
  <c r="Y367" i="17"/>
  <c r="X471" i="17"/>
  <c r="X566" i="17"/>
  <c r="X368" i="17"/>
  <c r="AB627" i="17"/>
  <c r="R627" i="17"/>
  <c r="S627" i="17" s="1"/>
  <c r="AA627" i="17"/>
  <c r="AD468" i="17"/>
  <c r="AE468" i="17" s="1"/>
  <c r="U469" i="17"/>
  <c r="U391" i="17"/>
  <c r="AD21" i="17"/>
  <c r="AE21" i="17" s="1"/>
  <c r="U22" i="17"/>
  <c r="AD613" i="17"/>
  <c r="AE613" i="17" s="1"/>
  <c r="U613" i="17"/>
  <c r="U18" i="17"/>
  <c r="U110" i="17"/>
  <c r="AD237" i="17"/>
  <c r="AE237" i="17" s="1"/>
  <c r="U238" i="17"/>
  <c r="AD584" i="17"/>
  <c r="U584" i="17"/>
  <c r="U487" i="17"/>
  <c r="X625" i="17"/>
  <c r="AD422" i="17"/>
  <c r="AE422" i="17" s="1"/>
  <c r="AD437" i="17"/>
  <c r="AE437" i="17" s="1"/>
  <c r="AD68" i="17"/>
  <c r="AE68" i="17" s="1"/>
  <c r="AD385" i="17"/>
  <c r="AD400" i="17"/>
  <c r="AD333" i="17"/>
  <c r="AE333" i="17" s="1"/>
  <c r="AD490" i="17"/>
  <c r="AE490" i="17" s="1"/>
  <c r="AD383" i="17"/>
  <c r="AE383" i="17" s="1"/>
  <c r="AD151" i="17"/>
  <c r="AE151" i="17" s="1"/>
  <c r="R624" i="17"/>
  <c r="S624" i="17" s="1"/>
  <c r="AA624" i="17"/>
  <c r="E634" i="17" s="1"/>
  <c r="R625" i="17"/>
  <c r="S625" i="17" s="1"/>
  <c r="AA625" i="17"/>
  <c r="E635" i="17" s="1"/>
  <c r="AD73" i="17"/>
  <c r="AE73" i="17" s="1"/>
  <c r="AD111" i="17"/>
  <c r="AE111" i="17" s="1"/>
  <c r="AD298" i="17"/>
  <c r="AE298" i="17" s="1"/>
  <c r="Q627" i="17"/>
  <c r="AB624" i="17"/>
  <c r="Q624" i="17"/>
  <c r="D634" i="17" s="1"/>
  <c r="Q625" i="17"/>
  <c r="D635" i="17" s="1"/>
  <c r="AD477" i="17"/>
  <c r="AD513" i="17"/>
  <c r="AE513" i="17" s="1"/>
  <c r="AD535" i="17"/>
  <c r="AD239" i="17"/>
  <c r="AE239" i="17" s="1"/>
  <c r="AD407" i="17"/>
  <c r="AE407" i="17" s="1"/>
  <c r="AD112" i="17"/>
  <c r="AE112" i="17" s="1"/>
  <c r="AD465" i="17"/>
  <c r="AD208" i="17"/>
  <c r="AE208" i="17" s="1"/>
  <c r="AD379" i="17"/>
  <c r="AE379" i="17" s="1"/>
  <c r="AD560" i="17"/>
  <c r="AE560" i="17" s="1"/>
  <c r="AD583" i="17"/>
  <c r="AE583" i="17" s="1"/>
  <c r="AD594" i="17"/>
  <c r="AE594" i="17" s="1"/>
  <c r="AD591" i="17"/>
  <c r="AD183" i="17"/>
  <c r="AE183" i="17" s="1"/>
  <c r="AD577" i="17"/>
  <c r="AE577" i="17" s="1"/>
  <c r="AD396" i="17"/>
  <c r="AE396" i="17" s="1"/>
  <c r="AD182" i="17"/>
  <c r="AE182" i="17" s="1"/>
  <c r="AD77" i="17"/>
  <c r="AE77" i="17" s="1"/>
  <c r="AD91" i="17"/>
  <c r="AE91" i="17" s="1"/>
  <c r="AD367" i="17"/>
  <c r="AE367" i="17" s="1"/>
  <c r="AD220" i="17"/>
  <c r="AE220" i="17" s="1"/>
  <c r="AD150" i="17"/>
  <c r="AE150" i="17" s="1"/>
  <c r="AD41" i="17"/>
  <c r="AE41" i="17" s="1"/>
  <c r="AD384" i="17"/>
  <c r="AE384" i="17" s="1"/>
  <c r="AD98" i="17"/>
  <c r="AE98" i="17" s="1"/>
  <c r="AD306" i="17"/>
  <c r="AE306" i="17" s="1"/>
  <c r="AD491" i="17"/>
  <c r="AE491" i="17" s="1"/>
  <c r="AD361" i="17"/>
  <c r="AE361" i="17" s="1"/>
  <c r="AD417" i="17"/>
  <c r="AE417" i="17" s="1"/>
  <c r="AD343" i="17"/>
  <c r="AE343" i="17" s="1"/>
  <c r="AD40" i="17"/>
  <c r="AE40" i="17" s="1"/>
  <c r="AD536" i="17"/>
  <c r="AE536" i="17" s="1"/>
  <c r="AD230" i="17"/>
  <c r="AE230" i="17" s="1"/>
  <c r="AD416" i="17"/>
  <c r="AD311" i="17"/>
  <c r="AE311" i="17" s="1"/>
  <c r="AD171" i="17"/>
  <c r="AE171" i="17" s="1"/>
  <c r="AD271" i="17"/>
  <c r="AE271" i="17" s="1"/>
  <c r="AD363" i="17"/>
  <c r="AE363" i="17" s="1"/>
  <c r="AD604" i="17"/>
  <c r="AE604" i="17" s="1"/>
  <c r="AD110" i="17"/>
  <c r="AE110" i="17" s="1"/>
  <c r="AD386" i="17"/>
  <c r="AE386" i="17" s="1"/>
  <c r="AD426" i="17"/>
  <c r="AD434" i="17"/>
  <c r="AE434" i="17" s="1"/>
  <c r="AD561" i="17"/>
  <c r="AE561" i="17" s="1"/>
  <c r="AD214" i="17"/>
  <c r="AE214" i="17" s="1"/>
  <c r="AD153" i="17"/>
  <c r="AE153" i="17" s="1"/>
  <c r="AD282" i="17"/>
  <c r="AE282" i="17" s="1"/>
  <c r="AD603" i="17"/>
  <c r="AE603" i="17" s="1"/>
  <c r="AD252" i="17"/>
  <c r="AE252" i="17" s="1"/>
  <c r="AD163" i="17"/>
  <c r="AE163" i="17" s="1"/>
  <c r="AD207" i="17"/>
  <c r="AE207" i="17" s="1"/>
  <c r="AD39" i="17"/>
  <c r="AE39" i="17" s="1"/>
  <c r="AD78" i="17"/>
  <c r="AE78" i="17" s="1"/>
  <c r="AD373" i="17"/>
  <c r="AE373" i="17" s="1"/>
  <c r="AD238" i="17"/>
  <c r="AE238" i="17" s="1"/>
  <c r="AD438" i="17"/>
  <c r="AE438" i="17" s="1"/>
  <c r="AD406" i="17"/>
  <c r="AE406" i="17" s="1"/>
  <c r="AD188" i="17"/>
  <c r="AE188" i="17" s="1"/>
  <c r="AD134" i="17"/>
  <c r="AE134" i="17" s="1"/>
  <c r="AD350" i="17"/>
  <c r="AE350" i="17" s="1"/>
  <c r="AD578" i="17"/>
  <c r="AE578" i="17" s="1"/>
  <c r="AD579" i="17"/>
  <c r="AD423" i="17"/>
  <c r="AE423" i="17" s="1"/>
  <c r="AD206" i="17"/>
  <c r="AE206" i="17" s="1"/>
  <c r="AD70" i="17"/>
  <c r="AE70" i="17" s="1"/>
  <c r="AD74" i="17"/>
  <c r="AE74" i="17" s="1"/>
  <c r="AD42" i="17"/>
  <c r="AE42" i="17" s="1"/>
  <c r="AD362" i="17"/>
  <c r="AE362" i="17" s="1"/>
  <c r="AD260" i="17"/>
  <c r="AE260" i="17" s="1"/>
  <c r="Y624" i="17"/>
  <c r="X624" i="17"/>
  <c r="Y625" i="17"/>
  <c r="AD391" i="17"/>
  <c r="AE391" i="17" s="1"/>
  <c r="AD291" i="17"/>
  <c r="AE291" i="17" s="1"/>
  <c r="AD388" i="17"/>
  <c r="AE388" i="17" s="1"/>
  <c r="AD38" i="17"/>
  <c r="AE38" i="17" s="1"/>
  <c r="AD318" i="17"/>
  <c r="AD133" i="17"/>
  <c r="AE133" i="17" s="1"/>
  <c r="AD279" i="17"/>
  <c r="AE279" i="17" s="1"/>
  <c r="AD401" i="17"/>
  <c r="AD317" i="17"/>
  <c r="AE317" i="17" s="1"/>
  <c r="AD229" i="17"/>
  <c r="AE229" i="17" s="1"/>
  <c r="AD152" i="17"/>
  <c r="AE152" i="17" s="1"/>
  <c r="AD356" i="17"/>
  <c r="AE356" i="17" s="1"/>
  <c r="AD69" i="17"/>
  <c r="AE69" i="17" s="1"/>
  <c r="AD387" i="17"/>
  <c r="AD421" i="17"/>
  <c r="AE421" i="17" s="1"/>
  <c r="AD368" i="17"/>
  <c r="AE368" i="17" s="1"/>
  <c r="AD129" i="17" l="1"/>
  <c r="AE129" i="17" s="1"/>
  <c r="AE477" i="17"/>
  <c r="AE465" i="17"/>
  <c r="AE591" i="17"/>
  <c r="AE584" i="17"/>
  <c r="AE385" i="17"/>
  <c r="AE579" i="17"/>
  <c r="AE318" i="17"/>
  <c r="AD537" i="17"/>
  <c r="AE537" i="17" s="1"/>
  <c r="U86" i="17"/>
  <c r="AD344" i="17"/>
  <c r="AE344" i="17" s="1"/>
  <c r="AE400" i="17"/>
  <c r="AE401" i="17"/>
  <c r="U567" i="25"/>
  <c r="AD566" i="25"/>
  <c r="AE566" i="25" s="1"/>
  <c r="U570" i="25"/>
  <c r="AD569" i="25"/>
  <c r="AE569" i="25" s="1"/>
  <c r="AD521" i="25"/>
  <c r="AE521" i="25" s="1"/>
  <c r="U522" i="25"/>
  <c r="U503" i="25"/>
  <c r="AD502" i="25"/>
  <c r="AE502" i="25" s="1"/>
  <c r="U408" i="25"/>
  <c r="AD407" i="25"/>
  <c r="AE407" i="25" s="1"/>
  <c r="U391" i="25"/>
  <c r="AD390" i="25"/>
  <c r="AE390" i="25" s="1"/>
  <c r="U406" i="25"/>
  <c r="AD405" i="25"/>
  <c r="AE405" i="25" s="1"/>
  <c r="U373" i="25"/>
  <c r="AD372" i="25"/>
  <c r="AE372" i="25" s="1"/>
  <c r="U285" i="25"/>
  <c r="AD284" i="25"/>
  <c r="AE284" i="25" s="1"/>
  <c r="U234" i="25"/>
  <c r="AD233" i="25"/>
  <c r="AE233" i="25" s="1"/>
  <c r="U259" i="25"/>
  <c r="AD258" i="25"/>
  <c r="AE258" i="25" s="1"/>
  <c r="U218" i="25"/>
  <c r="AD217" i="25"/>
  <c r="AE217" i="25" s="1"/>
  <c r="U186" i="25"/>
  <c r="AD185" i="25"/>
  <c r="AE185" i="25" s="1"/>
  <c r="U154" i="25"/>
  <c r="AD153" i="25"/>
  <c r="AE153" i="25" s="1"/>
  <c r="U171" i="25"/>
  <c r="AD170" i="25"/>
  <c r="AE170" i="25" s="1"/>
  <c r="U88" i="25"/>
  <c r="AD87" i="25"/>
  <c r="AE87" i="25" s="1"/>
  <c r="U101" i="25"/>
  <c r="AD100" i="25"/>
  <c r="AE100" i="25" s="1"/>
  <c r="U197" i="25"/>
  <c r="AD196" i="25"/>
  <c r="AE196" i="25" s="1"/>
  <c r="U32" i="25"/>
  <c r="AD31" i="25"/>
  <c r="AE31" i="25" s="1"/>
  <c r="U563" i="25"/>
  <c r="AD562" i="25"/>
  <c r="AE562" i="25" s="1"/>
  <c r="U552" i="25"/>
  <c r="AD551" i="25"/>
  <c r="AE551" i="25" s="1"/>
  <c r="U422" i="25"/>
  <c r="AD421" i="25"/>
  <c r="AE421" i="25" s="1"/>
  <c r="U270" i="25"/>
  <c r="AD269" i="25"/>
  <c r="AE269" i="25" s="1"/>
  <c r="AD229" i="25"/>
  <c r="AE229" i="25" s="1"/>
  <c r="U230" i="25"/>
  <c r="U198" i="25"/>
  <c r="AD197" i="25"/>
  <c r="AE197" i="25" s="1"/>
  <c r="U166" i="25"/>
  <c r="AD165" i="25"/>
  <c r="AE165" i="25" s="1"/>
  <c r="U82" i="25"/>
  <c r="AD81" i="25"/>
  <c r="AE81" i="25" s="1"/>
  <c r="U117" i="25"/>
  <c r="AD116" i="25"/>
  <c r="AE116" i="25" s="1"/>
  <c r="U607" i="25"/>
  <c r="AD606" i="25"/>
  <c r="AE606" i="25" s="1"/>
  <c r="AD580" i="25"/>
  <c r="AE580" i="25" s="1"/>
  <c r="U581" i="25"/>
  <c r="U546" i="25"/>
  <c r="AD545" i="25"/>
  <c r="AE545" i="25" s="1"/>
  <c r="U502" i="25"/>
  <c r="AD501" i="25"/>
  <c r="AE501" i="25" s="1"/>
  <c r="U470" i="25"/>
  <c r="AD469" i="25"/>
  <c r="AE469" i="25" s="1"/>
  <c r="AD456" i="25"/>
  <c r="AE456" i="25" s="1"/>
  <c r="U457" i="25"/>
  <c r="U507" i="25"/>
  <c r="AD506" i="25"/>
  <c r="AE506" i="25" s="1"/>
  <c r="U399" i="25"/>
  <c r="AD398" i="25"/>
  <c r="AE398" i="25" s="1"/>
  <c r="U363" i="25"/>
  <c r="AD362" i="25"/>
  <c r="AE362" i="25" s="1"/>
  <c r="U350" i="25"/>
  <c r="AD349" i="25"/>
  <c r="AE349" i="25" s="1"/>
  <c r="AD268" i="25"/>
  <c r="AE268" i="25" s="1"/>
  <c r="U269" i="25"/>
  <c r="U233" i="25"/>
  <c r="AD232" i="25"/>
  <c r="AE232" i="25" s="1"/>
  <c r="U296" i="25"/>
  <c r="AD295" i="25"/>
  <c r="AE295" i="25" s="1"/>
  <c r="U183" i="25"/>
  <c r="AD182" i="25"/>
  <c r="AE182" i="25" s="1"/>
  <c r="U151" i="25"/>
  <c r="AD150" i="25"/>
  <c r="AE150" i="25" s="1"/>
  <c r="U96" i="25"/>
  <c r="AD95" i="25"/>
  <c r="AE95" i="25" s="1"/>
  <c r="U109" i="25"/>
  <c r="AD108" i="25"/>
  <c r="AE108" i="25" s="1"/>
  <c r="AD67" i="25"/>
  <c r="AE67" i="25" s="1"/>
  <c r="U68" i="25"/>
  <c r="U129" i="25"/>
  <c r="AD128" i="25"/>
  <c r="AE128" i="25" s="1"/>
  <c r="U119" i="25"/>
  <c r="AD118" i="25"/>
  <c r="AE118" i="25" s="1"/>
  <c r="U612" i="25"/>
  <c r="AD611" i="25"/>
  <c r="AE611" i="25" s="1"/>
  <c r="U370" i="25"/>
  <c r="AD369" i="25"/>
  <c r="AE369" i="25" s="1"/>
  <c r="U142" i="25"/>
  <c r="AD141" i="25"/>
  <c r="AE141" i="25" s="1"/>
  <c r="U596" i="25"/>
  <c r="AD595" i="25"/>
  <c r="AE595" i="25" s="1"/>
  <c r="AD576" i="25"/>
  <c r="AE576" i="25" s="1"/>
  <c r="U577" i="25"/>
  <c r="U526" i="25"/>
  <c r="AD525" i="25"/>
  <c r="AE525" i="25" s="1"/>
  <c r="U541" i="25"/>
  <c r="AD540" i="25"/>
  <c r="AE540" i="25" s="1"/>
  <c r="U498" i="25"/>
  <c r="AD497" i="25"/>
  <c r="AE497" i="25" s="1"/>
  <c r="U482" i="25"/>
  <c r="AD481" i="25"/>
  <c r="AE481" i="25" s="1"/>
  <c r="U437" i="25"/>
  <c r="AD436" i="25"/>
  <c r="AE436" i="25" s="1"/>
  <c r="U446" i="25"/>
  <c r="AD445" i="25"/>
  <c r="AE445" i="25" s="1"/>
  <c r="U516" i="25"/>
  <c r="AD515" i="25"/>
  <c r="AE515" i="25" s="1"/>
  <c r="U252" i="25"/>
  <c r="AD251" i="25"/>
  <c r="AE251" i="25" s="1"/>
  <c r="U313" i="25"/>
  <c r="AD312" i="25"/>
  <c r="AE312" i="25" s="1"/>
  <c r="AD139" i="25"/>
  <c r="AE139" i="25" s="1"/>
  <c r="U140" i="25"/>
  <c r="U288" i="25"/>
  <c r="AD287" i="25"/>
  <c r="AE287" i="25" s="1"/>
  <c r="AD252" i="25"/>
  <c r="AE252" i="25" s="1"/>
  <c r="U253" i="25"/>
  <c r="U78" i="25"/>
  <c r="AD77" i="25"/>
  <c r="AE77" i="25" s="1"/>
  <c r="U20" i="25"/>
  <c r="AD19" i="25"/>
  <c r="AE19" i="25" s="1"/>
  <c r="AD534" i="25"/>
  <c r="AE534" i="25" s="1"/>
  <c r="U535" i="25"/>
  <c r="U500" i="25"/>
  <c r="AD499" i="25"/>
  <c r="AE499" i="25" s="1"/>
  <c r="U361" i="25"/>
  <c r="AD360" i="25"/>
  <c r="AE360" i="25" s="1"/>
  <c r="AD261" i="25"/>
  <c r="AE261" i="25" s="1"/>
  <c r="U262" i="25"/>
  <c r="U150" i="25"/>
  <c r="AD149" i="25"/>
  <c r="AE149" i="25" s="1"/>
  <c r="AD607" i="25"/>
  <c r="AE607" i="25" s="1"/>
  <c r="U608" i="25"/>
  <c r="U595" i="25"/>
  <c r="AD594" i="25"/>
  <c r="AE594" i="25" s="1"/>
  <c r="U591" i="25"/>
  <c r="AD590" i="25"/>
  <c r="AE590" i="25" s="1"/>
  <c r="AD555" i="25"/>
  <c r="AE555" i="25" s="1"/>
  <c r="U556" i="25"/>
  <c r="U540" i="25"/>
  <c r="AD539" i="25"/>
  <c r="AE539" i="25" s="1"/>
  <c r="U566" i="25"/>
  <c r="AD565" i="25"/>
  <c r="AE565" i="25" s="1"/>
  <c r="U524" i="25"/>
  <c r="AD523" i="25"/>
  <c r="AE523" i="25" s="1"/>
  <c r="U513" i="25"/>
  <c r="AD512" i="25"/>
  <c r="AE512" i="25" s="1"/>
  <c r="U512" i="25"/>
  <c r="AD511" i="25"/>
  <c r="AE511" i="25" s="1"/>
  <c r="U496" i="25"/>
  <c r="AD495" i="25"/>
  <c r="AE495" i="25" s="1"/>
  <c r="AD479" i="25"/>
  <c r="AE479" i="25" s="1"/>
  <c r="U480" i="25"/>
  <c r="U467" i="25"/>
  <c r="AD466" i="25"/>
  <c r="AE466" i="25" s="1"/>
  <c r="U451" i="25"/>
  <c r="AD450" i="25"/>
  <c r="AE450" i="25" s="1"/>
  <c r="U435" i="25"/>
  <c r="AD434" i="25"/>
  <c r="AE434" i="25" s="1"/>
  <c r="U460" i="25"/>
  <c r="AD459" i="25"/>
  <c r="AE459" i="25" s="1"/>
  <c r="U444" i="25"/>
  <c r="AD443" i="25"/>
  <c r="AE443" i="25" s="1"/>
  <c r="AD365" i="25"/>
  <c r="AE365" i="25" s="1"/>
  <c r="U366" i="25"/>
  <c r="U392" i="25"/>
  <c r="AD391" i="25"/>
  <c r="AE391" i="25" s="1"/>
  <c r="U386" i="25"/>
  <c r="AD385" i="25"/>
  <c r="AE385" i="25" s="1"/>
  <c r="U308" i="25"/>
  <c r="AD307" i="25"/>
  <c r="AE307" i="25" s="1"/>
  <c r="U299" i="25"/>
  <c r="AD298" i="25"/>
  <c r="AE298" i="25" s="1"/>
  <c r="U505" i="25"/>
  <c r="AD504" i="25"/>
  <c r="AE504" i="25" s="1"/>
  <c r="U360" i="25"/>
  <c r="AD359" i="25"/>
  <c r="AE359" i="25" s="1"/>
  <c r="U344" i="25"/>
  <c r="AD343" i="25"/>
  <c r="AE343" i="25" s="1"/>
  <c r="AD325" i="25"/>
  <c r="AE325" i="25" s="1"/>
  <c r="U326" i="25"/>
  <c r="U303" i="25"/>
  <c r="AD302" i="25"/>
  <c r="AE302" i="25" s="1"/>
  <c r="U266" i="25"/>
  <c r="AD265" i="25"/>
  <c r="AE265" i="25" s="1"/>
  <c r="U250" i="25"/>
  <c r="AD249" i="25"/>
  <c r="AE249" i="25" s="1"/>
  <c r="U312" i="25"/>
  <c r="AD311" i="25"/>
  <c r="AE311" i="25" s="1"/>
  <c r="U202" i="25"/>
  <c r="AD201" i="25"/>
  <c r="AE201" i="25" s="1"/>
  <c r="U170" i="25"/>
  <c r="AD169" i="25"/>
  <c r="AE169" i="25" s="1"/>
  <c r="U138" i="25"/>
  <c r="AD137" i="25"/>
  <c r="AE137" i="25" s="1"/>
  <c r="U229" i="25"/>
  <c r="AD228" i="25"/>
  <c r="AE228" i="25" s="1"/>
  <c r="U203" i="25"/>
  <c r="AD202" i="25"/>
  <c r="AE202" i="25" s="1"/>
  <c r="U139" i="25"/>
  <c r="AD138" i="25"/>
  <c r="AE138" i="25" s="1"/>
  <c r="U107" i="25"/>
  <c r="AD106" i="25"/>
  <c r="AE106" i="25" s="1"/>
  <c r="U66" i="25"/>
  <c r="AD65" i="25"/>
  <c r="AE65" i="25" s="1"/>
  <c r="U65" i="25"/>
  <c r="AD64" i="25"/>
  <c r="AE64" i="25" s="1"/>
  <c r="U239" i="25"/>
  <c r="AD238" i="25"/>
  <c r="AE238" i="25" s="1"/>
  <c r="U60" i="25"/>
  <c r="AD59" i="25"/>
  <c r="AE59" i="25" s="1"/>
  <c r="U37" i="25"/>
  <c r="AD36" i="25"/>
  <c r="AE36" i="25" s="1"/>
  <c r="U42" i="25"/>
  <c r="AD41" i="25"/>
  <c r="AE41" i="25" s="1"/>
  <c r="U17" i="25"/>
  <c r="AD16" i="25"/>
  <c r="AE16" i="25" s="1"/>
  <c r="U87" i="25"/>
  <c r="AD86" i="25"/>
  <c r="AE86" i="25" s="1"/>
  <c r="U185" i="25"/>
  <c r="AD184" i="25"/>
  <c r="AE184" i="25" s="1"/>
  <c r="U590" i="25"/>
  <c r="AD589" i="25"/>
  <c r="AE589" i="25" s="1"/>
  <c r="U587" i="25"/>
  <c r="AD586" i="25"/>
  <c r="AE586" i="25" s="1"/>
  <c r="AD535" i="25"/>
  <c r="AE535" i="25" s="1"/>
  <c r="U536" i="25"/>
  <c r="U564" i="25"/>
  <c r="AD563" i="25"/>
  <c r="AE563" i="25" s="1"/>
  <c r="U508" i="25"/>
  <c r="AD507" i="25"/>
  <c r="AE507" i="25" s="1"/>
  <c r="U537" i="25"/>
  <c r="AD536" i="25"/>
  <c r="AE536" i="25" s="1"/>
  <c r="AD446" i="25"/>
  <c r="AE446" i="25" s="1"/>
  <c r="U447" i="25"/>
  <c r="U409" i="25"/>
  <c r="AD408" i="25"/>
  <c r="AE408" i="25" s="1"/>
  <c r="U424" i="25"/>
  <c r="AD423" i="25"/>
  <c r="AE423" i="25" s="1"/>
  <c r="U353" i="25"/>
  <c r="AD352" i="25"/>
  <c r="AE352" i="25" s="1"/>
  <c r="U324" i="25"/>
  <c r="AD323" i="25"/>
  <c r="AE323" i="25" s="1"/>
  <c r="U356" i="25"/>
  <c r="AD355" i="25"/>
  <c r="AE355" i="25" s="1"/>
  <c r="U134" i="25"/>
  <c r="AD133" i="25"/>
  <c r="AE133" i="25" s="1"/>
  <c r="U211" i="25"/>
  <c r="AD210" i="25"/>
  <c r="AE210" i="25" s="1"/>
  <c r="U131" i="25"/>
  <c r="AD130" i="25"/>
  <c r="AE130" i="25" s="1"/>
  <c r="U165" i="25"/>
  <c r="AD164" i="25"/>
  <c r="AE164" i="25" s="1"/>
  <c r="U23" i="25"/>
  <c r="AD22" i="25"/>
  <c r="AE22" i="25" s="1"/>
  <c r="U609" i="25"/>
  <c r="AD608" i="25"/>
  <c r="AE608" i="25" s="1"/>
  <c r="U597" i="25"/>
  <c r="AD596" i="25"/>
  <c r="AE596" i="25" s="1"/>
  <c r="U606" i="25"/>
  <c r="AD605" i="25"/>
  <c r="AE605" i="25" s="1"/>
  <c r="U584" i="25"/>
  <c r="AD583" i="25"/>
  <c r="AE583" i="25" s="1"/>
  <c r="U573" i="25"/>
  <c r="AD572" i="25"/>
  <c r="AE572" i="25" s="1"/>
  <c r="U519" i="25"/>
  <c r="AD518" i="25"/>
  <c r="AE518" i="25" s="1"/>
  <c r="U520" i="25"/>
  <c r="AD519" i="25"/>
  <c r="AE519" i="25" s="1"/>
  <c r="U486" i="25"/>
  <c r="AD485" i="25"/>
  <c r="AE485" i="25" s="1"/>
  <c r="U475" i="25"/>
  <c r="AD474" i="25"/>
  <c r="AE474" i="25" s="1"/>
  <c r="AD440" i="25"/>
  <c r="AE440" i="25" s="1"/>
  <c r="U441" i="25"/>
  <c r="U450" i="25"/>
  <c r="AD449" i="25"/>
  <c r="AE449" i="25" s="1"/>
  <c r="U434" i="25"/>
  <c r="AD433" i="25"/>
  <c r="AE433" i="25" s="1"/>
  <c r="U401" i="25"/>
  <c r="AD400" i="25"/>
  <c r="AE400" i="25" s="1"/>
  <c r="U416" i="25"/>
  <c r="AD415" i="25"/>
  <c r="AE415" i="25" s="1"/>
  <c r="AD371" i="25"/>
  <c r="AE371" i="25" s="1"/>
  <c r="U372" i="25"/>
  <c r="U377" i="25"/>
  <c r="AD376" i="25"/>
  <c r="AE376" i="25" s="1"/>
  <c r="U347" i="25"/>
  <c r="AD346" i="25"/>
  <c r="AE346" i="25" s="1"/>
  <c r="U316" i="25"/>
  <c r="AD315" i="25"/>
  <c r="AE315" i="25" s="1"/>
  <c r="U293" i="25"/>
  <c r="AD292" i="25"/>
  <c r="AE292" i="25" s="1"/>
  <c r="U307" i="25"/>
  <c r="AD306" i="25"/>
  <c r="AE306" i="25" s="1"/>
  <c r="AD333" i="25"/>
  <c r="AE333" i="25" s="1"/>
  <c r="U334" i="25"/>
  <c r="U272" i="25"/>
  <c r="AD271" i="25"/>
  <c r="AE271" i="25" s="1"/>
  <c r="AD255" i="25"/>
  <c r="AE255" i="25" s="1"/>
  <c r="U256" i="25"/>
  <c r="AD239" i="25"/>
  <c r="AE239" i="25" s="1"/>
  <c r="U240" i="25"/>
  <c r="U224" i="25"/>
  <c r="AD223" i="25"/>
  <c r="AE223" i="25" s="1"/>
  <c r="AD207" i="25"/>
  <c r="AE207" i="25" s="1"/>
  <c r="U208" i="25"/>
  <c r="AD191" i="25"/>
  <c r="AE191" i="25" s="1"/>
  <c r="U192" i="25"/>
  <c r="AD159" i="25"/>
  <c r="AE159" i="25" s="1"/>
  <c r="U160" i="25"/>
  <c r="AD143" i="25"/>
  <c r="AE143" i="25" s="1"/>
  <c r="U144" i="25"/>
  <c r="U305" i="25"/>
  <c r="AD304" i="25"/>
  <c r="AE304" i="25" s="1"/>
  <c r="U74" i="25"/>
  <c r="AD73" i="25"/>
  <c r="AE73" i="25" s="1"/>
  <c r="U35" i="25"/>
  <c r="AD34" i="25"/>
  <c r="AE34" i="25" s="1"/>
  <c r="U45" i="25"/>
  <c r="AD44" i="25"/>
  <c r="AE44" i="25" s="1"/>
  <c r="U51" i="25"/>
  <c r="AD50" i="25"/>
  <c r="AE50" i="25" s="1"/>
  <c r="AD25" i="25"/>
  <c r="AE25" i="25" s="1"/>
  <c r="U26" i="25"/>
  <c r="U137" i="25"/>
  <c r="AD136" i="25"/>
  <c r="AE136" i="25" s="1"/>
  <c r="U247" i="25"/>
  <c r="AD246" i="25"/>
  <c r="AE246" i="25" s="1"/>
  <c r="U15" i="25"/>
  <c r="AD14" i="25"/>
  <c r="AE14" i="25" s="1"/>
  <c r="U141" i="25"/>
  <c r="AD140" i="25"/>
  <c r="AE140" i="25" s="1"/>
  <c r="U531" i="25"/>
  <c r="AD530" i="25"/>
  <c r="AE530" i="25" s="1"/>
  <c r="U492" i="25"/>
  <c r="AD491" i="25"/>
  <c r="AE491" i="25" s="1"/>
  <c r="AD454" i="25"/>
  <c r="AE454" i="25" s="1"/>
  <c r="U455" i="25"/>
  <c r="U456" i="25"/>
  <c r="AD455" i="25"/>
  <c r="AE455" i="25" s="1"/>
  <c r="U369" i="25"/>
  <c r="AD368" i="25"/>
  <c r="AE368" i="25" s="1"/>
  <c r="U278" i="25"/>
  <c r="AD277" i="25"/>
  <c r="AE277" i="25" s="1"/>
  <c r="AD244" i="25"/>
  <c r="AE244" i="25" s="1"/>
  <c r="U245" i="25"/>
  <c r="U231" i="25"/>
  <c r="AD230" i="25"/>
  <c r="AE230" i="25" s="1"/>
  <c r="U147" i="25"/>
  <c r="AD146" i="25"/>
  <c r="AE146" i="25" s="1"/>
  <c r="U59" i="25"/>
  <c r="AD58" i="25"/>
  <c r="AE58" i="25" s="1"/>
  <c r="U81" i="25"/>
  <c r="AD80" i="25"/>
  <c r="AE80" i="25" s="1"/>
  <c r="AD107" i="25"/>
  <c r="AE107" i="25" s="1"/>
  <c r="U108" i="25"/>
  <c r="U95" i="25"/>
  <c r="AD94" i="25"/>
  <c r="AE94" i="25" s="1"/>
  <c r="U118" i="25"/>
  <c r="AD117" i="25"/>
  <c r="AE117" i="25" s="1"/>
  <c r="U19" i="25"/>
  <c r="AD18" i="25"/>
  <c r="AE18" i="25" s="1"/>
  <c r="U542" i="25"/>
  <c r="AD541" i="25"/>
  <c r="AE541" i="25" s="1"/>
  <c r="U574" i="25"/>
  <c r="AD573" i="25"/>
  <c r="AE573" i="25" s="1"/>
  <c r="AD514" i="25"/>
  <c r="AE514" i="25" s="1"/>
  <c r="U515" i="25"/>
  <c r="U511" i="25"/>
  <c r="AD510" i="25"/>
  <c r="AE510" i="25" s="1"/>
  <c r="U491" i="25"/>
  <c r="AD490" i="25"/>
  <c r="AE490" i="25" s="1"/>
  <c r="U462" i="25"/>
  <c r="AD461" i="25"/>
  <c r="AE461" i="25" s="1"/>
  <c r="U430" i="25"/>
  <c r="AD429" i="25"/>
  <c r="AE429" i="25" s="1"/>
  <c r="U411" i="25"/>
  <c r="AD410" i="25"/>
  <c r="AE410" i="25" s="1"/>
  <c r="U368" i="25"/>
  <c r="AD367" i="25"/>
  <c r="AE367" i="25" s="1"/>
  <c r="U393" i="25"/>
  <c r="AD392" i="25"/>
  <c r="AE392" i="25" s="1"/>
  <c r="U359" i="25"/>
  <c r="AD358" i="25"/>
  <c r="AE358" i="25" s="1"/>
  <c r="U387" i="25"/>
  <c r="AD386" i="25"/>
  <c r="AE386" i="25" s="1"/>
  <c r="U332" i="25"/>
  <c r="AD331" i="25"/>
  <c r="AE331" i="25" s="1"/>
  <c r="U309" i="25"/>
  <c r="AD308" i="25"/>
  <c r="AE308" i="25" s="1"/>
  <c r="U362" i="25"/>
  <c r="AD361" i="25"/>
  <c r="AE361" i="25" s="1"/>
  <c r="U346" i="25"/>
  <c r="AD345" i="25"/>
  <c r="AE345" i="25" s="1"/>
  <c r="U323" i="25"/>
  <c r="AD322" i="25"/>
  <c r="AE322" i="25" s="1"/>
  <c r="U282" i="25"/>
  <c r="AD281" i="25"/>
  <c r="AE281" i="25" s="1"/>
  <c r="U265" i="25"/>
  <c r="AD264" i="25"/>
  <c r="AE264" i="25" s="1"/>
  <c r="U327" i="25"/>
  <c r="AD326" i="25"/>
  <c r="AE326" i="25" s="1"/>
  <c r="U286" i="25"/>
  <c r="AD285" i="25"/>
  <c r="AE285" i="25" s="1"/>
  <c r="U236" i="25"/>
  <c r="AD235" i="25"/>
  <c r="AE235" i="25" s="1"/>
  <c r="U220" i="25"/>
  <c r="AD219" i="25"/>
  <c r="AE219" i="25" s="1"/>
  <c r="AD187" i="25"/>
  <c r="AE187" i="25" s="1"/>
  <c r="U188" i="25"/>
  <c r="AD171" i="25"/>
  <c r="AE171" i="25" s="1"/>
  <c r="U172" i="25"/>
  <c r="AD155" i="25"/>
  <c r="AE155" i="25" s="1"/>
  <c r="U156" i="25"/>
  <c r="AD123" i="25"/>
  <c r="AE123" i="25" s="1"/>
  <c r="U124" i="25"/>
  <c r="U249" i="25"/>
  <c r="AD248" i="25"/>
  <c r="AE248" i="25" s="1"/>
  <c r="U263" i="25"/>
  <c r="AD262" i="25"/>
  <c r="AE262" i="25" s="1"/>
  <c r="U207" i="25"/>
  <c r="AD206" i="25"/>
  <c r="AE206" i="25" s="1"/>
  <c r="U175" i="25"/>
  <c r="AD174" i="25"/>
  <c r="AE174" i="25" s="1"/>
  <c r="U143" i="25"/>
  <c r="AD142" i="25"/>
  <c r="AE142" i="25" s="1"/>
  <c r="U90" i="25"/>
  <c r="AD89" i="25"/>
  <c r="AE89" i="25" s="1"/>
  <c r="U67" i="25"/>
  <c r="AD66" i="25"/>
  <c r="AE66" i="25" s="1"/>
  <c r="U112" i="25"/>
  <c r="AD111" i="25"/>
  <c r="AE111" i="25" s="1"/>
  <c r="U89" i="25"/>
  <c r="AD88" i="25"/>
  <c r="AE88" i="25" s="1"/>
  <c r="U48" i="25"/>
  <c r="AD47" i="25"/>
  <c r="AE47" i="25" s="1"/>
  <c r="AD83" i="25"/>
  <c r="AE83" i="25" s="1"/>
  <c r="U84" i="25"/>
  <c r="U61" i="25"/>
  <c r="AD60" i="25"/>
  <c r="AE60" i="25" s="1"/>
  <c r="U43" i="25"/>
  <c r="AD42" i="25"/>
  <c r="AE42" i="25" s="1"/>
  <c r="U94" i="25"/>
  <c r="AD93" i="25"/>
  <c r="AE93" i="25" s="1"/>
  <c r="U79" i="25"/>
  <c r="AD78" i="25"/>
  <c r="AE78" i="25" s="1"/>
  <c r="U213" i="25"/>
  <c r="AD212" i="25"/>
  <c r="AE212" i="25" s="1"/>
  <c r="U103" i="25"/>
  <c r="AD102" i="25"/>
  <c r="AE102" i="25" s="1"/>
  <c r="U30" i="25"/>
  <c r="AD29" i="25"/>
  <c r="AE29" i="25" s="1"/>
  <c r="U217" i="25"/>
  <c r="AD216" i="25"/>
  <c r="AE216" i="25" s="1"/>
  <c r="U485" i="25"/>
  <c r="AD484" i="25"/>
  <c r="AE484" i="25" s="1"/>
  <c r="U418" i="25"/>
  <c r="AD417" i="25"/>
  <c r="AE417" i="25" s="1"/>
  <c r="U338" i="25"/>
  <c r="AD337" i="25"/>
  <c r="AE337" i="25" s="1"/>
  <c r="U214" i="25"/>
  <c r="AD213" i="25"/>
  <c r="AE213" i="25" s="1"/>
  <c r="U241" i="25"/>
  <c r="AD240" i="25"/>
  <c r="AE240" i="25" s="1"/>
  <c r="U163" i="25"/>
  <c r="AD162" i="25"/>
  <c r="AE162" i="25" s="1"/>
  <c r="U62" i="25"/>
  <c r="AD61" i="25"/>
  <c r="AE61" i="25" s="1"/>
  <c r="U33" i="25"/>
  <c r="AD32" i="25"/>
  <c r="AE32" i="25" s="1"/>
  <c r="U593" i="25"/>
  <c r="AD592" i="25"/>
  <c r="AE592" i="25" s="1"/>
  <c r="AD463" i="25"/>
  <c r="AE463" i="25" s="1"/>
  <c r="U464" i="25"/>
  <c r="U497" i="25"/>
  <c r="AD496" i="25"/>
  <c r="AE496" i="25" s="1"/>
  <c r="U357" i="25"/>
  <c r="AD356" i="25"/>
  <c r="AE356" i="25" s="1"/>
  <c r="U322" i="25"/>
  <c r="AD321" i="25"/>
  <c r="AE321" i="25" s="1"/>
  <c r="U122" i="25"/>
  <c r="AD121" i="25"/>
  <c r="AE121" i="25" s="1"/>
  <c r="U209" i="25"/>
  <c r="AD208" i="25"/>
  <c r="AE208" i="25" s="1"/>
  <c r="U102" i="25"/>
  <c r="AD101" i="25"/>
  <c r="AE101" i="25" s="1"/>
  <c r="U560" i="25"/>
  <c r="AD559" i="25"/>
  <c r="AE559" i="25" s="1"/>
  <c r="U551" i="25"/>
  <c r="AD550" i="25"/>
  <c r="AE550" i="25" s="1"/>
  <c r="U440" i="25"/>
  <c r="AD439" i="25"/>
  <c r="AE439" i="25" s="1"/>
  <c r="U413" i="25"/>
  <c r="AD412" i="25"/>
  <c r="AE412" i="25" s="1"/>
  <c r="U283" i="25"/>
  <c r="AD282" i="25"/>
  <c r="AE282" i="25" s="1"/>
  <c r="U310" i="25"/>
  <c r="AD309" i="25"/>
  <c r="AE309" i="25" s="1"/>
  <c r="U243" i="25"/>
  <c r="AD242" i="25"/>
  <c r="AE242" i="25" s="1"/>
  <c r="AD75" i="25"/>
  <c r="AE75" i="25" s="1"/>
  <c r="U76" i="25"/>
  <c r="U177" i="25"/>
  <c r="AD176" i="25"/>
  <c r="AE176" i="25" s="1"/>
  <c r="U71" i="25"/>
  <c r="AD70" i="25"/>
  <c r="AE70" i="25" s="1"/>
  <c r="AD556" i="25"/>
  <c r="AE556" i="25" s="1"/>
  <c r="U557" i="25"/>
  <c r="AD529" i="25"/>
  <c r="AE529" i="25" s="1"/>
  <c r="U530" i="25"/>
  <c r="U493" i="25"/>
  <c r="AD492" i="25"/>
  <c r="AE492" i="25" s="1"/>
  <c r="U330" i="25"/>
  <c r="AD329" i="25"/>
  <c r="AE329" i="25" s="1"/>
  <c r="U311" i="25"/>
  <c r="AD310" i="25"/>
  <c r="AE310" i="25" s="1"/>
  <c r="AD175" i="25"/>
  <c r="AE175" i="25" s="1"/>
  <c r="U176" i="25"/>
  <c r="AD127" i="25"/>
  <c r="AE127" i="25" s="1"/>
  <c r="U128" i="25"/>
  <c r="U237" i="25"/>
  <c r="AD236" i="25"/>
  <c r="AE236" i="25" s="1"/>
  <c r="U215" i="25"/>
  <c r="AD214" i="25"/>
  <c r="AE214" i="25" s="1"/>
  <c r="U115" i="25"/>
  <c r="AD114" i="25"/>
  <c r="AE114" i="25" s="1"/>
  <c r="U73" i="25"/>
  <c r="AD72" i="25"/>
  <c r="AE72" i="25" s="1"/>
  <c r="U348" i="25"/>
  <c r="AD347" i="25"/>
  <c r="AE347" i="25" s="1"/>
  <c r="U206" i="25"/>
  <c r="AD205" i="25"/>
  <c r="AE205" i="25" s="1"/>
  <c r="U610" i="25"/>
  <c r="AD609" i="25"/>
  <c r="AE609" i="25" s="1"/>
  <c r="U594" i="25"/>
  <c r="AD593" i="25"/>
  <c r="AE593" i="25" s="1"/>
  <c r="U569" i="25"/>
  <c r="AD568" i="25"/>
  <c r="AE568" i="25" s="1"/>
  <c r="AD465" i="25"/>
  <c r="AE465" i="25" s="1"/>
  <c r="U466" i="25"/>
  <c r="U453" i="25"/>
  <c r="AD452" i="25"/>
  <c r="AE452" i="25" s="1"/>
  <c r="U417" i="25"/>
  <c r="AD416" i="25"/>
  <c r="AE416" i="25" s="1"/>
  <c r="U388" i="25"/>
  <c r="AD387" i="25"/>
  <c r="AE387" i="25" s="1"/>
  <c r="U268" i="25"/>
  <c r="AD267" i="25"/>
  <c r="AE267" i="25" s="1"/>
  <c r="AD203" i="25"/>
  <c r="AE203" i="25" s="1"/>
  <c r="U204" i="25"/>
  <c r="AD462" i="25"/>
  <c r="AE462" i="25" s="1"/>
  <c r="U463" i="25"/>
  <c r="U415" i="25"/>
  <c r="AD414" i="25"/>
  <c r="AE414" i="25" s="1"/>
  <c r="U380" i="25"/>
  <c r="AD379" i="25"/>
  <c r="AE379" i="25" s="1"/>
  <c r="U292" i="25"/>
  <c r="AD291" i="25"/>
  <c r="AE291" i="25" s="1"/>
  <c r="AD274" i="25"/>
  <c r="AE274" i="25" s="1"/>
  <c r="U275" i="25"/>
  <c r="U281" i="25"/>
  <c r="AD280" i="25"/>
  <c r="AE280" i="25" s="1"/>
  <c r="U72" i="25"/>
  <c r="AD71" i="25"/>
  <c r="AE71" i="25" s="1"/>
  <c r="AD610" i="25"/>
  <c r="AE610" i="25" s="1"/>
  <c r="U611" i="25"/>
  <c r="U599" i="25"/>
  <c r="AD598" i="25"/>
  <c r="AE598" i="25" s="1"/>
  <c r="AD585" i="25"/>
  <c r="AE585" i="25" s="1"/>
  <c r="U586" i="25"/>
  <c r="U575" i="25"/>
  <c r="AD574" i="25"/>
  <c r="AE574" i="25" s="1"/>
  <c r="AD558" i="25"/>
  <c r="AE558" i="25" s="1"/>
  <c r="U559" i="25"/>
  <c r="U568" i="25"/>
  <c r="AD567" i="25"/>
  <c r="AE567" i="25" s="1"/>
  <c r="U548" i="25"/>
  <c r="AD547" i="25"/>
  <c r="AE547" i="25" s="1"/>
  <c r="U532" i="25"/>
  <c r="AD531" i="25"/>
  <c r="AE531" i="25" s="1"/>
  <c r="AD524" i="25"/>
  <c r="AE524" i="25" s="1"/>
  <c r="U525" i="25"/>
  <c r="U539" i="25"/>
  <c r="AD538" i="25"/>
  <c r="AE538" i="25" s="1"/>
  <c r="U488" i="25"/>
  <c r="AD487" i="25"/>
  <c r="AE487" i="25" s="1"/>
  <c r="AD471" i="25"/>
  <c r="AE471" i="25" s="1"/>
  <c r="U472" i="25"/>
  <c r="U501" i="25"/>
  <c r="AD500" i="25"/>
  <c r="AE500" i="25" s="1"/>
  <c r="U469" i="25"/>
  <c r="AD468" i="25"/>
  <c r="AE468" i="25" s="1"/>
  <c r="U473" i="25"/>
  <c r="AD472" i="25"/>
  <c r="AE472" i="25" s="1"/>
  <c r="U425" i="25"/>
  <c r="AD424" i="25"/>
  <c r="AE424" i="25" s="1"/>
  <c r="U419" i="25"/>
  <c r="AD418" i="25"/>
  <c r="AE418" i="25" s="1"/>
  <c r="U396" i="25"/>
  <c r="AD395" i="25"/>
  <c r="AE395" i="25" s="1"/>
  <c r="U365" i="25"/>
  <c r="AD364" i="25"/>
  <c r="AE364" i="25" s="1"/>
  <c r="U340" i="25"/>
  <c r="AD339" i="25"/>
  <c r="AE339" i="25" s="1"/>
  <c r="U331" i="25"/>
  <c r="AD330" i="25"/>
  <c r="AE330" i="25" s="1"/>
  <c r="U290" i="25"/>
  <c r="AD289" i="25"/>
  <c r="AE289" i="25" s="1"/>
  <c r="U271" i="25"/>
  <c r="AD270" i="25"/>
  <c r="AE270" i="25" s="1"/>
  <c r="U335" i="25"/>
  <c r="AD334" i="25"/>
  <c r="AE334" i="25" s="1"/>
  <c r="AD293" i="25"/>
  <c r="AE293" i="25" s="1"/>
  <c r="U294" i="25"/>
  <c r="U274" i="25"/>
  <c r="AD273" i="25"/>
  <c r="AE273" i="25" s="1"/>
  <c r="U258" i="25"/>
  <c r="AD257" i="25"/>
  <c r="AE257" i="25" s="1"/>
  <c r="U210" i="25"/>
  <c r="AD209" i="25"/>
  <c r="AE209" i="25" s="1"/>
  <c r="U194" i="25"/>
  <c r="AD193" i="25"/>
  <c r="AE193" i="25" s="1"/>
  <c r="U178" i="25"/>
  <c r="AD177" i="25"/>
  <c r="AE177" i="25" s="1"/>
  <c r="U162" i="25"/>
  <c r="AD161" i="25"/>
  <c r="AE161" i="25" s="1"/>
  <c r="U146" i="25"/>
  <c r="AD145" i="25"/>
  <c r="AE145" i="25" s="1"/>
  <c r="U130" i="25"/>
  <c r="AD129" i="25"/>
  <c r="AE129" i="25" s="1"/>
  <c r="U320" i="25"/>
  <c r="AD319" i="25"/>
  <c r="AE319" i="25" s="1"/>
  <c r="U261" i="25"/>
  <c r="AD260" i="25"/>
  <c r="AE260" i="25" s="1"/>
  <c r="U155" i="25"/>
  <c r="AD154" i="25"/>
  <c r="AE154" i="25" s="1"/>
  <c r="U123" i="25"/>
  <c r="AD122" i="25"/>
  <c r="AE122" i="25" s="1"/>
  <c r="U98" i="25"/>
  <c r="AD97" i="25"/>
  <c r="AE97" i="25" s="1"/>
  <c r="U75" i="25"/>
  <c r="AD74" i="25"/>
  <c r="AE74" i="25" s="1"/>
  <c r="U97" i="25"/>
  <c r="AD96" i="25"/>
  <c r="AE96" i="25" s="1"/>
  <c r="AD55" i="25"/>
  <c r="AE55" i="25" s="1"/>
  <c r="U56" i="25"/>
  <c r="U297" i="25"/>
  <c r="AD296" i="25"/>
  <c r="AE296" i="25" s="1"/>
  <c r="U92" i="25"/>
  <c r="AD91" i="25"/>
  <c r="AE91" i="25" s="1"/>
  <c r="U69" i="25"/>
  <c r="AD68" i="25"/>
  <c r="AE68" i="25" s="1"/>
  <c r="U39" i="25"/>
  <c r="AD38" i="25"/>
  <c r="AE38" i="25" s="1"/>
  <c r="U169" i="25"/>
  <c r="AD168" i="25"/>
  <c r="AE168" i="25" s="1"/>
  <c r="U133" i="25"/>
  <c r="AD132" i="25"/>
  <c r="AE132" i="25" s="1"/>
  <c r="U157" i="25"/>
  <c r="AD156" i="25"/>
  <c r="AE156" i="25" s="1"/>
  <c r="U603" i="25"/>
  <c r="AD602" i="25"/>
  <c r="AE602" i="25" s="1"/>
  <c r="U604" i="25"/>
  <c r="AD603" i="25"/>
  <c r="AE603" i="25" s="1"/>
  <c r="U602" i="25"/>
  <c r="AD601" i="25"/>
  <c r="AE601" i="25" s="1"/>
  <c r="AD578" i="25"/>
  <c r="AE578" i="25" s="1"/>
  <c r="U579" i="25"/>
  <c r="U571" i="25"/>
  <c r="AD570" i="25"/>
  <c r="AE570" i="25" s="1"/>
  <c r="U600" i="25"/>
  <c r="AD599" i="25"/>
  <c r="AE599" i="25" s="1"/>
  <c r="U562" i="25"/>
  <c r="AD561" i="25"/>
  <c r="AE561" i="25" s="1"/>
  <c r="U544" i="25"/>
  <c r="AD543" i="25"/>
  <c r="AE543" i="25" s="1"/>
  <c r="U572" i="25"/>
  <c r="AD571" i="25"/>
  <c r="AE571" i="25" s="1"/>
  <c r="U555" i="25"/>
  <c r="AD554" i="25"/>
  <c r="AE554" i="25" s="1"/>
  <c r="U484" i="25"/>
  <c r="AD483" i="25"/>
  <c r="AE483" i="25" s="1"/>
  <c r="AD430" i="25"/>
  <c r="AE430" i="25" s="1"/>
  <c r="U431" i="25"/>
  <c r="U448" i="25"/>
  <c r="AD447" i="25"/>
  <c r="AE447" i="25" s="1"/>
  <c r="U301" i="25"/>
  <c r="AD300" i="25"/>
  <c r="AE300" i="25" s="1"/>
  <c r="U395" i="25"/>
  <c r="AD394" i="25"/>
  <c r="AE394" i="25" s="1"/>
  <c r="U342" i="25"/>
  <c r="AD341" i="25"/>
  <c r="AE341" i="25" s="1"/>
  <c r="U287" i="25"/>
  <c r="AD286" i="25"/>
  <c r="AE286" i="25" s="1"/>
  <c r="U222" i="25"/>
  <c r="AD221" i="25"/>
  <c r="AE221" i="25" s="1"/>
  <c r="U190" i="25"/>
  <c r="AD189" i="25"/>
  <c r="AE189" i="25" s="1"/>
  <c r="U158" i="25"/>
  <c r="AD157" i="25"/>
  <c r="AE157" i="25" s="1"/>
  <c r="U304" i="25"/>
  <c r="AD303" i="25"/>
  <c r="AE303" i="25" s="1"/>
  <c r="U179" i="25"/>
  <c r="AD178" i="25"/>
  <c r="AE178" i="25" s="1"/>
  <c r="AD43" i="25"/>
  <c r="AE43" i="25" s="1"/>
  <c r="U44" i="25"/>
  <c r="U34" i="25"/>
  <c r="AD33" i="25"/>
  <c r="AE33" i="25" s="1"/>
  <c r="AD37" i="25"/>
  <c r="AE37" i="25" s="1"/>
  <c r="U38" i="25"/>
  <c r="U14" i="25"/>
  <c r="AD13" i="25"/>
  <c r="U565" i="25"/>
  <c r="AD564" i="25"/>
  <c r="AE564" i="25" s="1"/>
  <c r="U582" i="25"/>
  <c r="AD581" i="25"/>
  <c r="AE581" i="25" s="1"/>
  <c r="U554" i="25"/>
  <c r="AD553" i="25"/>
  <c r="AE553" i="25" s="1"/>
  <c r="U533" i="25"/>
  <c r="AD532" i="25"/>
  <c r="AE532" i="25" s="1"/>
  <c r="U580" i="25"/>
  <c r="AD579" i="25"/>
  <c r="AE579" i="25" s="1"/>
  <c r="U527" i="25"/>
  <c r="AD526" i="25"/>
  <c r="AE526" i="25" s="1"/>
  <c r="U510" i="25"/>
  <c r="AD509" i="25"/>
  <c r="AE509" i="25" s="1"/>
  <c r="U553" i="25"/>
  <c r="AD552" i="25"/>
  <c r="AE552" i="25" s="1"/>
  <c r="U477" i="25"/>
  <c r="AD476" i="25"/>
  <c r="AE476" i="25" s="1"/>
  <c r="U495" i="25"/>
  <c r="AD494" i="25"/>
  <c r="AE494" i="25" s="1"/>
  <c r="AD448" i="25"/>
  <c r="AE448" i="25" s="1"/>
  <c r="U449" i="25"/>
  <c r="U479" i="25"/>
  <c r="AD478" i="25"/>
  <c r="AE478" i="25" s="1"/>
  <c r="U489" i="25"/>
  <c r="AD488" i="25"/>
  <c r="AE488" i="25" s="1"/>
  <c r="U410" i="25"/>
  <c r="AD409" i="25"/>
  <c r="AE409" i="25" s="1"/>
  <c r="U483" i="25"/>
  <c r="AD482" i="25"/>
  <c r="AE482" i="25" s="1"/>
  <c r="U428" i="25"/>
  <c r="AD427" i="25"/>
  <c r="AE427" i="25" s="1"/>
  <c r="AD426" i="25"/>
  <c r="AE426" i="25" s="1"/>
  <c r="U427" i="25"/>
  <c r="U404" i="25"/>
  <c r="AD403" i="25"/>
  <c r="AE403" i="25" s="1"/>
  <c r="U414" i="25"/>
  <c r="AD413" i="25"/>
  <c r="AE413" i="25" s="1"/>
  <c r="U390" i="25"/>
  <c r="AD389" i="25"/>
  <c r="AE389" i="25" s="1"/>
  <c r="U405" i="25"/>
  <c r="AD404" i="25"/>
  <c r="AE404" i="25" s="1"/>
  <c r="U381" i="25"/>
  <c r="AD380" i="25"/>
  <c r="AE380" i="25" s="1"/>
  <c r="U371" i="25"/>
  <c r="AD370" i="25"/>
  <c r="AE370" i="25" s="1"/>
  <c r="AD357" i="25"/>
  <c r="AE357" i="25" s="1"/>
  <c r="U358" i="25"/>
  <c r="U298" i="25"/>
  <c r="AD297" i="25"/>
  <c r="AE297" i="25" s="1"/>
  <c r="AD276" i="25"/>
  <c r="AE276" i="25" s="1"/>
  <c r="U277" i="25"/>
  <c r="U343" i="25"/>
  <c r="AD342" i="25"/>
  <c r="AE342" i="25" s="1"/>
  <c r="U279" i="25"/>
  <c r="AD278" i="25"/>
  <c r="AE278" i="25" s="1"/>
  <c r="AD247" i="25"/>
  <c r="AE247" i="25" s="1"/>
  <c r="U248" i="25"/>
  <c r="U235" i="25"/>
  <c r="AD234" i="25"/>
  <c r="AE234" i="25" s="1"/>
  <c r="AD215" i="25"/>
  <c r="AE215" i="25" s="1"/>
  <c r="U216" i="25"/>
  <c r="AD183" i="25"/>
  <c r="AE183" i="25" s="1"/>
  <c r="U184" i="25"/>
  <c r="AD151" i="25"/>
  <c r="AE151" i="25" s="1"/>
  <c r="U152" i="25"/>
  <c r="AD119" i="25"/>
  <c r="AE119" i="25" s="1"/>
  <c r="U120" i="25"/>
  <c r="U106" i="25"/>
  <c r="AD105" i="25"/>
  <c r="AE105" i="25" s="1"/>
  <c r="U83" i="25"/>
  <c r="AD82" i="25"/>
  <c r="AE82" i="25" s="1"/>
  <c r="U255" i="25"/>
  <c r="AD254" i="25"/>
  <c r="AE254" i="25" s="1"/>
  <c r="U64" i="25"/>
  <c r="AD63" i="25"/>
  <c r="AE63" i="25" s="1"/>
  <c r="U100" i="25"/>
  <c r="AD99" i="25"/>
  <c r="AE99" i="25" s="1"/>
  <c r="U77" i="25"/>
  <c r="AD76" i="25"/>
  <c r="AE76" i="25" s="1"/>
  <c r="U36" i="25"/>
  <c r="AD35" i="25"/>
  <c r="AE35" i="25" s="1"/>
  <c r="U63" i="25"/>
  <c r="AD62" i="25"/>
  <c r="AE62" i="25" s="1"/>
  <c r="U16" i="25"/>
  <c r="AD15" i="25"/>
  <c r="AE15" i="25" s="1"/>
  <c r="U46" i="25"/>
  <c r="AD45" i="25"/>
  <c r="AE45" i="25" s="1"/>
  <c r="U181" i="25"/>
  <c r="AD180" i="25"/>
  <c r="AE180" i="25" s="1"/>
  <c r="U25" i="25"/>
  <c r="AD24" i="25"/>
  <c r="AE24" i="25" s="1"/>
  <c r="U153" i="25"/>
  <c r="AD152" i="25"/>
  <c r="AE152" i="25" s="1"/>
  <c r="U549" i="25"/>
  <c r="AD548" i="25"/>
  <c r="AE548" i="25" s="1"/>
  <c r="U499" i="25"/>
  <c r="AD498" i="25"/>
  <c r="AE498" i="25" s="1"/>
  <c r="U432" i="25"/>
  <c r="AD431" i="25"/>
  <c r="AE431" i="25" s="1"/>
  <c r="AD402" i="25"/>
  <c r="AE402" i="25" s="1"/>
  <c r="U403" i="25"/>
  <c r="U375" i="25"/>
  <c r="AD374" i="25"/>
  <c r="AE374" i="25" s="1"/>
  <c r="U345" i="25"/>
  <c r="AD344" i="25"/>
  <c r="AE344" i="25" s="1"/>
  <c r="AD266" i="25"/>
  <c r="AE266" i="25" s="1"/>
  <c r="U267" i="25"/>
  <c r="U289" i="25"/>
  <c r="AD288" i="25"/>
  <c r="AE288" i="25" s="1"/>
  <c r="U195" i="25"/>
  <c r="AD194" i="25"/>
  <c r="AE194" i="25" s="1"/>
  <c r="U104" i="25"/>
  <c r="AD103" i="25"/>
  <c r="AE103" i="25" s="1"/>
  <c r="U121" i="25"/>
  <c r="AD120" i="25"/>
  <c r="AE120" i="25" s="1"/>
  <c r="U189" i="25"/>
  <c r="AD188" i="25"/>
  <c r="AE188" i="25" s="1"/>
  <c r="U21" i="25"/>
  <c r="AD20" i="25"/>
  <c r="AE20" i="25" s="1"/>
  <c r="U601" i="25"/>
  <c r="AD600" i="25"/>
  <c r="AE600" i="25" s="1"/>
  <c r="U585" i="25"/>
  <c r="AD584" i="25"/>
  <c r="AE584" i="25" s="1"/>
  <c r="U561" i="25"/>
  <c r="AD560" i="25"/>
  <c r="AE560" i="25" s="1"/>
  <c r="U534" i="25"/>
  <c r="AD533" i="25"/>
  <c r="AE533" i="25" s="1"/>
  <c r="U543" i="25"/>
  <c r="AD542" i="25"/>
  <c r="AE542" i="25" s="1"/>
  <c r="U523" i="25"/>
  <c r="AD522" i="25"/>
  <c r="AE522" i="25" s="1"/>
  <c r="U506" i="25"/>
  <c r="AD505" i="25"/>
  <c r="AE505" i="25" s="1"/>
  <c r="AD473" i="25"/>
  <c r="AE473" i="25" s="1"/>
  <c r="U474" i="25"/>
  <c r="U518" i="25"/>
  <c r="AD517" i="25"/>
  <c r="AE517" i="25" s="1"/>
  <c r="U509" i="25"/>
  <c r="AD508" i="25"/>
  <c r="AE508" i="25" s="1"/>
  <c r="U461" i="25"/>
  <c r="AD460" i="25"/>
  <c r="AE460" i="25" s="1"/>
  <c r="U445" i="25"/>
  <c r="AD444" i="25"/>
  <c r="AE444" i="25" s="1"/>
  <c r="U429" i="25"/>
  <c r="AD428" i="25"/>
  <c r="AE428" i="25" s="1"/>
  <c r="U438" i="25"/>
  <c r="AD437" i="25"/>
  <c r="AE437" i="25" s="1"/>
  <c r="U426" i="25"/>
  <c r="AD425" i="25"/>
  <c r="AE425" i="25" s="1"/>
  <c r="U423" i="25"/>
  <c r="AD422" i="25"/>
  <c r="AE422" i="25" s="1"/>
  <c r="U420" i="25"/>
  <c r="AD419" i="25"/>
  <c r="AE419" i="25" s="1"/>
  <c r="U383" i="25"/>
  <c r="AD382" i="25"/>
  <c r="AE382" i="25" s="1"/>
  <c r="U421" i="25"/>
  <c r="AD420" i="25"/>
  <c r="AE420" i="25" s="1"/>
  <c r="U300" i="25"/>
  <c r="AD299" i="25"/>
  <c r="AE299" i="25" s="1"/>
  <c r="U378" i="25"/>
  <c r="AD377" i="25"/>
  <c r="AE377" i="25" s="1"/>
  <c r="U291" i="25"/>
  <c r="AD290" i="25"/>
  <c r="AE290" i="25" s="1"/>
  <c r="U273" i="25"/>
  <c r="AD272" i="25"/>
  <c r="AE272" i="25" s="1"/>
  <c r="U318" i="25"/>
  <c r="AD317" i="25"/>
  <c r="AE317" i="25" s="1"/>
  <c r="U276" i="25"/>
  <c r="AD275" i="25"/>
  <c r="AE275" i="25" s="1"/>
  <c r="U251" i="25"/>
  <c r="AD250" i="25"/>
  <c r="AE250" i="25" s="1"/>
  <c r="AD195" i="25"/>
  <c r="AE195" i="25" s="1"/>
  <c r="U196" i="25"/>
  <c r="AD163" i="25"/>
  <c r="AE163" i="25" s="1"/>
  <c r="U164" i="25"/>
  <c r="AD131" i="25"/>
  <c r="AE131" i="25" s="1"/>
  <c r="U132" i="25"/>
  <c r="U321" i="25"/>
  <c r="AD320" i="25"/>
  <c r="AE320" i="25" s="1"/>
  <c r="U221" i="25"/>
  <c r="AD220" i="25"/>
  <c r="AE220" i="25" s="1"/>
  <c r="U191" i="25"/>
  <c r="AD190" i="25"/>
  <c r="AE190" i="25" s="1"/>
  <c r="U159" i="25"/>
  <c r="AD158" i="25"/>
  <c r="AE158" i="25" s="1"/>
  <c r="U127" i="25"/>
  <c r="AD126" i="25"/>
  <c r="AE126" i="25" s="1"/>
  <c r="U58" i="25"/>
  <c r="AD57" i="25"/>
  <c r="AE57" i="25" s="1"/>
  <c r="U223" i="25"/>
  <c r="AD222" i="25"/>
  <c r="AE222" i="25" s="1"/>
  <c r="U80" i="25"/>
  <c r="AD79" i="25"/>
  <c r="AE79" i="25" s="1"/>
  <c r="U57" i="25"/>
  <c r="AD56" i="25"/>
  <c r="AE56" i="25" s="1"/>
  <c r="U328" i="25"/>
  <c r="AD327" i="25"/>
  <c r="AE327" i="25" s="1"/>
  <c r="AD115" i="25"/>
  <c r="AE115" i="25" s="1"/>
  <c r="U116" i="25"/>
  <c r="U29" i="25"/>
  <c r="AD28" i="25"/>
  <c r="AE28" i="25" s="1"/>
  <c r="U201" i="25"/>
  <c r="AD200" i="25"/>
  <c r="AE200" i="25" s="1"/>
  <c r="U31" i="25"/>
  <c r="AD30" i="25"/>
  <c r="AE30" i="25" s="1"/>
  <c r="U22" i="25"/>
  <c r="AD21" i="25"/>
  <c r="AE21" i="25" s="1"/>
  <c r="U70" i="25"/>
  <c r="AD69" i="25"/>
  <c r="AE69" i="25" s="1"/>
  <c r="U18" i="25"/>
  <c r="AD17" i="25"/>
  <c r="AE17" i="25" s="1"/>
  <c r="U385" i="25"/>
  <c r="AD384" i="25"/>
  <c r="AE384" i="25" s="1"/>
  <c r="U379" i="25"/>
  <c r="AD378" i="25"/>
  <c r="AE378" i="25" s="1"/>
  <c r="AD237" i="25"/>
  <c r="AE237" i="25" s="1"/>
  <c r="U238" i="25"/>
  <c r="U182" i="25"/>
  <c r="AD181" i="25"/>
  <c r="AE181" i="25" s="1"/>
  <c r="U126" i="25"/>
  <c r="AD125" i="25"/>
  <c r="AE125" i="25" s="1"/>
  <c r="U53" i="25"/>
  <c r="AD52" i="25"/>
  <c r="AE52" i="25" s="1"/>
  <c r="U110" i="25"/>
  <c r="AD109" i="25"/>
  <c r="AE109" i="25" s="1"/>
  <c r="U583" i="25"/>
  <c r="AD582" i="25"/>
  <c r="AE582" i="25" s="1"/>
  <c r="AD577" i="25"/>
  <c r="AE577" i="25" s="1"/>
  <c r="U578" i="25"/>
  <c r="U521" i="25"/>
  <c r="AD520" i="25"/>
  <c r="AE520" i="25" s="1"/>
  <c r="U504" i="25"/>
  <c r="AD503" i="25"/>
  <c r="AE503" i="25" s="1"/>
  <c r="U459" i="25"/>
  <c r="AD458" i="25"/>
  <c r="AE458" i="25" s="1"/>
  <c r="U443" i="25"/>
  <c r="AD442" i="25"/>
  <c r="AE442" i="25" s="1"/>
  <c r="U471" i="25"/>
  <c r="AD470" i="25"/>
  <c r="AE470" i="25" s="1"/>
  <c r="U452" i="25"/>
  <c r="AD451" i="25"/>
  <c r="AE451" i="25" s="1"/>
  <c r="U436" i="25"/>
  <c r="AD435" i="25"/>
  <c r="AE435" i="25" s="1"/>
  <c r="U402" i="25"/>
  <c r="AD401" i="25"/>
  <c r="AE401" i="25" s="1"/>
  <c r="U465" i="25"/>
  <c r="AD464" i="25"/>
  <c r="AE464" i="25" s="1"/>
  <c r="U481" i="25"/>
  <c r="AD480" i="25"/>
  <c r="AE480" i="25" s="1"/>
  <c r="U400" i="25"/>
  <c r="AD399" i="25"/>
  <c r="AE399" i="25" s="1"/>
  <c r="U382" i="25"/>
  <c r="AD381" i="25"/>
  <c r="AE381" i="25" s="1"/>
  <c r="AD373" i="25"/>
  <c r="AE373" i="25" s="1"/>
  <c r="U374" i="25"/>
  <c r="U349" i="25"/>
  <c r="AD348" i="25"/>
  <c r="AE348" i="25" s="1"/>
  <c r="U317" i="25"/>
  <c r="AD316" i="25"/>
  <c r="AE316" i="25" s="1"/>
  <c r="U352" i="25"/>
  <c r="AD351" i="25"/>
  <c r="AE351" i="25" s="1"/>
  <c r="U242" i="25"/>
  <c r="AD241" i="25"/>
  <c r="AE241" i="25" s="1"/>
  <c r="U226" i="25"/>
  <c r="AD225" i="25"/>
  <c r="AE225" i="25" s="1"/>
  <c r="U227" i="25"/>
  <c r="AD226" i="25"/>
  <c r="AE226" i="25" s="1"/>
  <c r="U257" i="25"/>
  <c r="AD256" i="25"/>
  <c r="AE256" i="25" s="1"/>
  <c r="U219" i="25"/>
  <c r="AD218" i="25"/>
  <c r="AE218" i="25" s="1"/>
  <c r="U187" i="25"/>
  <c r="AD186" i="25"/>
  <c r="AE186" i="25" s="1"/>
  <c r="U50" i="25"/>
  <c r="AD49" i="25"/>
  <c r="AE49" i="25" s="1"/>
  <c r="AD27" i="25"/>
  <c r="AE27" i="25" s="1"/>
  <c r="U28" i="25"/>
  <c r="U145" i="25"/>
  <c r="AD144" i="25"/>
  <c r="AE144" i="25" s="1"/>
  <c r="U54" i="25"/>
  <c r="AD53" i="25"/>
  <c r="AE53" i="25" s="1"/>
  <c r="U47" i="25"/>
  <c r="AD46" i="25"/>
  <c r="AE46" i="25" s="1"/>
  <c r="U598" i="25"/>
  <c r="AD597" i="25"/>
  <c r="AE597" i="25" s="1"/>
  <c r="AD527" i="25"/>
  <c r="AE527" i="25" s="1"/>
  <c r="U528" i="25"/>
  <c r="U529" i="25"/>
  <c r="AD528" i="25"/>
  <c r="AE528" i="25" s="1"/>
  <c r="U398" i="25"/>
  <c r="AD397" i="25"/>
  <c r="AE397" i="25" s="1"/>
  <c r="AD375" i="25"/>
  <c r="AE375" i="25" s="1"/>
  <c r="U376" i="25"/>
  <c r="AD253" i="25"/>
  <c r="AE253" i="25" s="1"/>
  <c r="U254" i="25"/>
  <c r="U114" i="25"/>
  <c r="AD113" i="25"/>
  <c r="AE113" i="25" s="1"/>
  <c r="U85" i="25"/>
  <c r="AD84" i="25"/>
  <c r="AE84" i="25" s="1"/>
  <c r="U24" i="25"/>
  <c r="AD23" i="25"/>
  <c r="AE23" i="25" s="1"/>
  <c r="U225" i="25"/>
  <c r="AD224" i="25"/>
  <c r="AE224" i="25" s="1"/>
  <c r="U125" i="25"/>
  <c r="AD124" i="25"/>
  <c r="AE124" i="25" s="1"/>
  <c r="U605" i="25"/>
  <c r="AD604" i="25"/>
  <c r="AE604" i="25" s="1"/>
  <c r="U589" i="25"/>
  <c r="AD588" i="25"/>
  <c r="AE588" i="25" s="1"/>
  <c r="U592" i="25"/>
  <c r="AD591" i="25"/>
  <c r="AE591" i="25" s="1"/>
  <c r="U538" i="25"/>
  <c r="AD537" i="25"/>
  <c r="AE537" i="25" s="1"/>
  <c r="U558" i="25"/>
  <c r="AD557" i="25"/>
  <c r="AE557" i="25" s="1"/>
  <c r="U494" i="25"/>
  <c r="AD493" i="25"/>
  <c r="AE493" i="25" s="1"/>
  <c r="U478" i="25"/>
  <c r="AD477" i="25"/>
  <c r="AE477" i="25" s="1"/>
  <c r="AD432" i="25"/>
  <c r="AE432" i="25" s="1"/>
  <c r="U433" i="25"/>
  <c r="U458" i="25"/>
  <c r="AD457" i="25"/>
  <c r="AE457" i="25" s="1"/>
  <c r="U442" i="25"/>
  <c r="AD441" i="25"/>
  <c r="AE441" i="25" s="1"/>
  <c r="U407" i="25"/>
  <c r="AD406" i="25"/>
  <c r="AE406" i="25" s="1"/>
  <c r="U355" i="25"/>
  <c r="AD354" i="25"/>
  <c r="AE354" i="25" s="1"/>
  <c r="U325" i="25"/>
  <c r="AD324" i="25"/>
  <c r="AE324" i="25" s="1"/>
  <c r="U284" i="25"/>
  <c r="AD283" i="25"/>
  <c r="AE283" i="25" s="1"/>
  <c r="U339" i="25"/>
  <c r="AD338" i="25"/>
  <c r="AE338" i="25" s="1"/>
  <c r="AD301" i="25"/>
  <c r="AE301" i="25" s="1"/>
  <c r="U302" i="25"/>
  <c r="U264" i="25"/>
  <c r="AD263" i="25"/>
  <c r="AE263" i="25" s="1"/>
  <c r="AD231" i="25"/>
  <c r="AE231" i="25" s="1"/>
  <c r="U232" i="25"/>
  <c r="AD199" i="25"/>
  <c r="AE199" i="25" s="1"/>
  <c r="U200" i="25"/>
  <c r="AD167" i="25"/>
  <c r="AE167" i="25" s="1"/>
  <c r="U168" i="25"/>
  <c r="AD135" i="25"/>
  <c r="AE135" i="25" s="1"/>
  <c r="U136" i="25"/>
  <c r="U199" i="25"/>
  <c r="AD198" i="25"/>
  <c r="AE198" i="25" s="1"/>
  <c r="U167" i="25"/>
  <c r="AD166" i="25"/>
  <c r="AE166" i="25" s="1"/>
  <c r="U135" i="25"/>
  <c r="AD134" i="25"/>
  <c r="AE134" i="25" s="1"/>
  <c r="U105" i="25"/>
  <c r="AD104" i="25"/>
  <c r="AE104" i="25" s="1"/>
  <c r="U41" i="25"/>
  <c r="AD40" i="25"/>
  <c r="AE40" i="25" s="1"/>
  <c r="U193" i="25"/>
  <c r="AD192" i="25"/>
  <c r="AE192" i="25" s="1"/>
  <c r="U86" i="25"/>
  <c r="AD85" i="25"/>
  <c r="AE85" i="25" s="1"/>
  <c r="U205" i="25"/>
  <c r="AD204" i="25"/>
  <c r="AE204" i="25" s="1"/>
  <c r="U27" i="25"/>
  <c r="AD26" i="25"/>
  <c r="AE26" i="25" s="1"/>
  <c r="AD516" i="25"/>
  <c r="AE516" i="25" s="1"/>
  <c r="U517" i="25"/>
  <c r="U468" i="25"/>
  <c r="AD467" i="25"/>
  <c r="AE467" i="25" s="1"/>
  <c r="U487" i="25"/>
  <c r="AD486" i="25"/>
  <c r="AE486" i="25" s="1"/>
  <c r="U389" i="25"/>
  <c r="AD388" i="25"/>
  <c r="AE388" i="25" s="1"/>
  <c r="U315" i="25"/>
  <c r="AD314" i="25"/>
  <c r="AE314" i="25" s="1"/>
  <c r="U319" i="25"/>
  <c r="AD318" i="25"/>
  <c r="AE318" i="25" s="1"/>
  <c r="AD245" i="25"/>
  <c r="AE245" i="25" s="1"/>
  <c r="U246" i="25"/>
  <c r="U174" i="25"/>
  <c r="AD173" i="25"/>
  <c r="AE173" i="25" s="1"/>
  <c r="U337" i="25"/>
  <c r="AD336" i="25"/>
  <c r="AE336" i="25" s="1"/>
  <c r="U49" i="25"/>
  <c r="AD48" i="25"/>
  <c r="AE48" i="25" s="1"/>
  <c r="AD613" i="25"/>
  <c r="AE613" i="25" s="1"/>
  <c r="U613" i="25"/>
  <c r="AD612" i="25"/>
  <c r="AE612" i="25" s="1"/>
  <c r="U588" i="25"/>
  <c r="AD587" i="25"/>
  <c r="AE587" i="25" s="1"/>
  <c r="U576" i="25"/>
  <c r="AD575" i="25"/>
  <c r="AE575" i="25" s="1"/>
  <c r="U550" i="25"/>
  <c r="AD549" i="25"/>
  <c r="AE549" i="25" s="1"/>
  <c r="U547" i="25"/>
  <c r="AD546" i="25"/>
  <c r="AE546" i="25" s="1"/>
  <c r="U490" i="25"/>
  <c r="AD489" i="25"/>
  <c r="AE489" i="25" s="1"/>
  <c r="AD513" i="25"/>
  <c r="AE513" i="25" s="1"/>
  <c r="U514" i="25"/>
  <c r="U454" i="25"/>
  <c r="AD453" i="25"/>
  <c r="AE453" i="25" s="1"/>
  <c r="U397" i="25"/>
  <c r="AD396" i="25"/>
  <c r="AE396" i="25" s="1"/>
  <c r="U384" i="25"/>
  <c r="AD383" i="25"/>
  <c r="AE383" i="25" s="1"/>
  <c r="U367" i="25"/>
  <c r="AD366" i="25"/>
  <c r="AE366" i="25" s="1"/>
  <c r="U351" i="25"/>
  <c r="AD350" i="25"/>
  <c r="AE350" i="25" s="1"/>
  <c r="U341" i="25"/>
  <c r="AD340" i="25"/>
  <c r="AE340" i="25" s="1"/>
  <c r="AD353" i="25"/>
  <c r="AE353" i="25" s="1"/>
  <c r="U354" i="25"/>
  <c r="U314" i="25"/>
  <c r="AD313" i="25"/>
  <c r="AE313" i="25" s="1"/>
  <c r="U394" i="25"/>
  <c r="AD393" i="25"/>
  <c r="AE393" i="25" s="1"/>
  <c r="U295" i="25"/>
  <c r="AD294" i="25"/>
  <c r="AE294" i="25" s="1"/>
  <c r="U260" i="25"/>
  <c r="AD259" i="25"/>
  <c r="AE259" i="25" s="1"/>
  <c r="U244" i="25"/>
  <c r="AD243" i="25"/>
  <c r="AE243" i="25" s="1"/>
  <c r="U228" i="25"/>
  <c r="AD227" i="25"/>
  <c r="AE227" i="25" s="1"/>
  <c r="U280" i="25"/>
  <c r="AD279" i="25"/>
  <c r="AE279" i="25" s="1"/>
  <c r="AD211" i="25"/>
  <c r="AE211" i="25" s="1"/>
  <c r="U212" i="25"/>
  <c r="AD179" i="25"/>
  <c r="AE179" i="25" s="1"/>
  <c r="U180" i="25"/>
  <c r="AD147" i="25"/>
  <c r="AE147" i="25" s="1"/>
  <c r="U148" i="25"/>
  <c r="U336" i="25"/>
  <c r="AD335" i="25"/>
  <c r="AE335" i="25" s="1"/>
  <c r="U99" i="25"/>
  <c r="AD98" i="25"/>
  <c r="AE98" i="25" s="1"/>
  <c r="U93" i="25"/>
  <c r="AD92" i="25"/>
  <c r="AE92" i="25" s="1"/>
  <c r="AD51" i="25"/>
  <c r="AE51" i="25" s="1"/>
  <c r="U52" i="25"/>
  <c r="U161" i="25"/>
  <c r="AD160" i="25"/>
  <c r="AE160" i="25" s="1"/>
  <c r="U149" i="25"/>
  <c r="AD148" i="25"/>
  <c r="AE148" i="25" s="1"/>
  <c r="U55" i="25"/>
  <c r="AD54" i="25"/>
  <c r="AE54" i="25" s="1"/>
  <c r="U173" i="25"/>
  <c r="AD172" i="25"/>
  <c r="AE172" i="25" s="1"/>
  <c r="U545" i="25"/>
  <c r="AD544" i="25"/>
  <c r="AE544" i="25" s="1"/>
  <c r="U476" i="25"/>
  <c r="AD475" i="25"/>
  <c r="AE475" i="25" s="1"/>
  <c r="AD438" i="25"/>
  <c r="AE438" i="25" s="1"/>
  <c r="U439" i="25"/>
  <c r="U412" i="25"/>
  <c r="AD411" i="25"/>
  <c r="AE411" i="25" s="1"/>
  <c r="U333" i="25"/>
  <c r="AD332" i="25"/>
  <c r="AE332" i="25" s="1"/>
  <c r="U306" i="25"/>
  <c r="AD305" i="25"/>
  <c r="AE305" i="25" s="1"/>
  <c r="AD363" i="25"/>
  <c r="AE363" i="25" s="1"/>
  <c r="U364" i="25"/>
  <c r="U91" i="25"/>
  <c r="AD90" i="25"/>
  <c r="AE90" i="25" s="1"/>
  <c r="U113" i="25"/>
  <c r="AD112" i="25"/>
  <c r="AE112" i="25" s="1"/>
  <c r="U40" i="25"/>
  <c r="AD39" i="25"/>
  <c r="AE39" i="25" s="1"/>
  <c r="U329" i="25"/>
  <c r="AD328" i="25"/>
  <c r="AE328" i="25" s="1"/>
  <c r="U111" i="25"/>
  <c r="AD110" i="25"/>
  <c r="AE110" i="25" s="1"/>
  <c r="AE387" i="17"/>
  <c r="AE535" i="17"/>
  <c r="AE416" i="17"/>
  <c r="AE426" i="17"/>
  <c r="AD128" i="17"/>
  <c r="AE128" i="17" s="1"/>
  <c r="AD297" i="17"/>
  <c r="AE297" i="17" s="1"/>
  <c r="AD62" i="17"/>
  <c r="AE62" i="17" s="1"/>
  <c r="AD533" i="17"/>
  <c r="AE533" i="17" s="1"/>
  <c r="AD520" i="17"/>
  <c r="AE520" i="17" s="1"/>
  <c r="AD35" i="17"/>
  <c r="AE35" i="17" s="1"/>
  <c r="AD93" i="17"/>
  <c r="AE93" i="17" s="1"/>
  <c r="AD199" i="17"/>
  <c r="AE199" i="17" s="1"/>
  <c r="AD175" i="17"/>
  <c r="AE175" i="17" s="1"/>
  <c r="AD534" i="17"/>
  <c r="AE534" i="17" s="1"/>
  <c r="AD200" i="17"/>
  <c r="AE200" i="17" s="1"/>
  <c r="AD190" i="17"/>
  <c r="AE190" i="17" s="1"/>
  <c r="AD270" i="17"/>
  <c r="AE270" i="17" s="1"/>
  <c r="AD82" i="17"/>
  <c r="AE82" i="17" s="1"/>
  <c r="AD538" i="17"/>
  <c r="AE538" i="17" s="1"/>
  <c r="AD302" i="17"/>
  <c r="AE302" i="17" s="1"/>
  <c r="AD355" i="17"/>
  <c r="AE355" i="17" s="1"/>
  <c r="AD52" i="17"/>
  <c r="AE52" i="17" s="1"/>
  <c r="AD219" i="17"/>
  <c r="AE219" i="17" s="1"/>
  <c r="AD334" i="17"/>
  <c r="AE334" i="17" s="1"/>
  <c r="AD137" i="17"/>
  <c r="AE137" i="17" s="1"/>
  <c r="AD325" i="17"/>
  <c r="AE325" i="17" s="1"/>
  <c r="AD360" i="17"/>
  <c r="AE360" i="17" s="1"/>
  <c r="AD283" i="17"/>
  <c r="AE283" i="17" s="1"/>
  <c r="AD63" i="17"/>
  <c r="AE63" i="17" s="1"/>
  <c r="AD326" i="17"/>
  <c r="AE326" i="17" s="1"/>
  <c r="AD576" i="17"/>
  <c r="AE576" i="17" s="1"/>
  <c r="AD593" i="17"/>
  <c r="AE593" i="17" s="1"/>
  <c r="AD592" i="17"/>
  <c r="AE592" i="17" s="1"/>
  <c r="AD316" i="17"/>
  <c r="AE316" i="17" s="1"/>
  <c r="AD101" i="17"/>
  <c r="AE101" i="17" s="1"/>
  <c r="AD90" i="17"/>
  <c r="AE90" i="17" s="1"/>
  <c r="AD410" i="17"/>
  <c r="AE410" i="17" s="1"/>
  <c r="AD294" i="17"/>
  <c r="AE294" i="17" s="1"/>
  <c r="AD413" i="17"/>
  <c r="AE413" i="17" s="1"/>
  <c r="AD234" i="17"/>
  <c r="AE234" i="17" s="1"/>
  <c r="AD58" i="17"/>
  <c r="AE58" i="17" s="1"/>
  <c r="AD233" i="17"/>
  <c r="AE233" i="17" s="1"/>
  <c r="AD459" i="17"/>
  <c r="AE459" i="17" s="1"/>
  <c r="AD590" i="17"/>
  <c r="AE590" i="17" s="1"/>
  <c r="AD405" i="17"/>
  <c r="AE405" i="17" s="1"/>
  <c r="AD92" i="17"/>
  <c r="AE92" i="17" s="1"/>
  <c r="AD453" i="17"/>
  <c r="AE453" i="17" s="1"/>
  <c r="AD259" i="17"/>
  <c r="AE259" i="17" s="1"/>
  <c r="AD132" i="17"/>
  <c r="AE132" i="17" s="1"/>
  <c r="AD482" i="17"/>
  <c r="AE482" i="17" s="1"/>
  <c r="AD457" i="17"/>
  <c r="AE457" i="17" s="1"/>
  <c r="AD146" i="17"/>
  <c r="AE146" i="17" s="1"/>
  <c r="AD135" i="17"/>
  <c r="AE135" i="17" s="1"/>
  <c r="AD266" i="17"/>
  <c r="AE266" i="17" s="1"/>
  <c r="AD99" i="17"/>
  <c r="AE99" i="17" s="1"/>
  <c r="AD205" i="17"/>
  <c r="AE205" i="17" s="1"/>
  <c r="AD213" i="17"/>
  <c r="AE213" i="17" s="1"/>
  <c r="AD469" i="17"/>
  <c r="AE469" i="17" s="1"/>
  <c r="AD397" i="17"/>
  <c r="AE397" i="17" s="1"/>
  <c r="AD156" i="17"/>
  <c r="AE156" i="17" s="1"/>
  <c r="AD569" i="17"/>
  <c r="AE569" i="17" s="1"/>
  <c r="AD288" i="17"/>
  <c r="AE288" i="17" s="1"/>
  <c r="AD122" i="17"/>
  <c r="AE122" i="17" s="1"/>
  <c r="AD145" i="17"/>
  <c r="AE145" i="17" s="1"/>
  <c r="AD470" i="17"/>
  <c r="AE470" i="17" s="1"/>
  <c r="AD37" i="17"/>
  <c r="AE37" i="17" s="1"/>
  <c r="AD585" i="17"/>
  <c r="AE585" i="17" s="1"/>
  <c r="AD464" i="17"/>
  <c r="AE464" i="17" s="1"/>
  <c r="AD393" i="17"/>
  <c r="AE393" i="17" s="1"/>
  <c r="AD211" i="17"/>
  <c r="AE211" i="17" s="1"/>
  <c r="AD501" i="17"/>
  <c r="AE501" i="17" s="1"/>
  <c r="AD380" i="17"/>
  <c r="AE380" i="17" s="1"/>
  <c r="AD309" i="17"/>
  <c r="AE309" i="17" s="1"/>
  <c r="AD512" i="17"/>
  <c r="AE512" i="17" s="1"/>
  <c r="AD241" i="17"/>
  <c r="AE241" i="17" s="1"/>
  <c r="AD123" i="17"/>
  <c r="AE123" i="17" s="1"/>
  <c r="AD540" i="17"/>
  <c r="AE540" i="17" s="1"/>
  <c r="AD448" i="17"/>
  <c r="AE448" i="17" s="1"/>
  <c r="AD500" i="17"/>
  <c r="AE500" i="17" s="1"/>
  <c r="AD499" i="17"/>
  <c r="AE499" i="17" s="1"/>
  <c r="AD483" i="17"/>
  <c r="AE483" i="17" s="1"/>
  <c r="U130" i="17"/>
  <c r="AD597" i="17"/>
  <c r="AE597" i="17" s="1"/>
  <c r="AD166" i="17"/>
  <c r="AE166" i="17" s="1"/>
  <c r="AD442" i="17"/>
  <c r="AE442" i="17" s="1"/>
  <c r="AD67" i="17"/>
  <c r="AE67" i="17" s="1"/>
  <c r="AD411" i="17"/>
  <c r="AE411" i="17" s="1"/>
  <c r="AD329" i="17"/>
  <c r="AE329" i="17" s="1"/>
  <c r="AD255" i="17"/>
  <c r="AE255" i="17" s="1"/>
  <c r="AD289" i="17"/>
  <c r="AE289" i="17" s="1"/>
  <c r="AD484" i="17"/>
  <c r="AE484" i="17" s="1"/>
  <c r="AD607" i="17"/>
  <c r="AE607" i="17" s="1"/>
  <c r="AD26" i="17"/>
  <c r="AE26" i="17" s="1"/>
  <c r="AD203" i="17"/>
  <c r="AE203" i="17" s="1"/>
  <c r="AD348" i="17"/>
  <c r="AE348" i="17" s="1"/>
  <c r="AD253" i="17"/>
  <c r="AE253" i="17" s="1"/>
  <c r="AD97" i="17"/>
  <c r="AE97" i="17" s="1"/>
  <c r="AD55" i="17"/>
  <c r="AE55" i="17" s="1"/>
  <c r="AD515" i="17"/>
  <c r="AE515" i="17" s="1"/>
  <c r="AD265" i="17"/>
  <c r="AE265" i="17" s="1"/>
  <c r="AD278" i="17"/>
  <c r="AE278" i="17" s="1"/>
  <c r="AD277" i="17"/>
  <c r="AE277" i="17" s="1"/>
  <c r="AD354" i="17"/>
  <c r="AE354" i="17" s="1"/>
  <c r="AD15" i="17"/>
  <c r="AE15" i="17" s="1"/>
  <c r="AD158" i="17"/>
  <c r="AE158" i="17" s="1"/>
  <c r="AD290" i="17"/>
  <c r="AE290" i="17" s="1"/>
  <c r="AD319" i="17"/>
  <c r="AE319" i="17" s="1"/>
  <c r="AD109" i="17"/>
  <c r="AE109" i="17" s="1"/>
  <c r="AD193" i="17"/>
  <c r="AE193" i="17" s="1"/>
  <c r="AD235" i="17"/>
  <c r="AE235" i="17" s="1"/>
  <c r="AD115" i="17"/>
  <c r="AE115" i="17" s="1"/>
  <c r="AD120" i="17"/>
  <c r="AE120" i="17" s="1"/>
  <c r="AD528" i="17"/>
  <c r="AE528" i="17" s="1"/>
  <c r="AD61" i="17"/>
  <c r="AE61" i="17" s="1"/>
  <c r="AD460" i="17"/>
  <c r="AE460" i="17" s="1"/>
  <c r="AD548" i="17"/>
  <c r="AE548" i="17" s="1"/>
  <c r="AD121" i="17"/>
  <c r="AE121" i="17" s="1"/>
  <c r="AD286" i="17"/>
  <c r="AE286" i="17" s="1"/>
  <c r="AD566" i="17"/>
  <c r="AE566" i="17" s="1"/>
  <c r="AD439" i="17"/>
  <c r="AE439" i="17" s="1"/>
  <c r="AD71" i="17"/>
  <c r="AE71" i="17" s="1"/>
  <c r="AD307" i="17"/>
  <c r="AE307" i="17" s="1"/>
  <c r="AD299" i="17"/>
  <c r="AE299" i="17" s="1"/>
  <c r="AD609" i="17"/>
  <c r="AE609" i="17" s="1"/>
  <c r="AD162" i="17"/>
  <c r="AE162" i="17" s="1"/>
  <c r="AD320" i="17"/>
  <c r="AE320" i="17" s="1"/>
  <c r="AD487" i="17"/>
  <c r="AE487" i="17" s="1"/>
  <c r="AD516" i="17"/>
  <c r="AE516" i="17" s="1"/>
  <c r="AD359" i="17"/>
  <c r="AE359" i="17" s="1"/>
  <c r="AD20" i="17"/>
  <c r="AE20" i="17" s="1"/>
  <c r="AD186" i="17"/>
  <c r="AE186" i="17" s="1"/>
  <c r="AD59" i="17"/>
  <c r="AE59" i="17" s="1"/>
  <c r="AD357" i="17"/>
  <c r="AE357" i="17" s="1"/>
  <c r="AD107" i="17"/>
  <c r="AE107" i="17" s="1"/>
  <c r="AD184" i="17"/>
  <c r="AE184" i="17" s="1"/>
  <c r="AD66" i="17"/>
  <c r="AE66" i="17" s="1"/>
  <c r="AD300" i="17"/>
  <c r="AE300" i="17" s="1"/>
  <c r="AD284" i="17"/>
  <c r="AE284" i="17" s="1"/>
  <c r="AD508" i="17"/>
  <c r="AE508" i="17" s="1"/>
  <c r="AD554" i="17"/>
  <c r="AE554" i="17" s="1"/>
  <c r="AD412" i="17"/>
  <c r="AE412" i="17" s="1"/>
  <c r="AD375" i="17"/>
  <c r="AE375" i="17" s="1"/>
  <c r="AD293" i="17"/>
  <c r="AE293" i="17" s="1"/>
  <c r="AD441" i="17"/>
  <c r="AE441" i="17" s="1"/>
  <c r="AD440" i="17"/>
  <c r="AE440" i="17" s="1"/>
  <c r="AD494" i="17"/>
  <c r="AE494" i="17" s="1"/>
  <c r="AD49" i="17"/>
  <c r="AE49" i="17" s="1"/>
  <c r="AD308" i="17"/>
  <c r="AE308" i="17" s="1"/>
  <c r="AD225" i="17"/>
  <c r="AE225" i="17" s="1"/>
  <c r="AD436" i="17"/>
  <c r="AE436" i="17" s="1"/>
  <c r="AD351" i="17"/>
  <c r="AE351" i="17" s="1"/>
  <c r="AD224" i="17"/>
  <c r="AE224" i="17" s="1"/>
  <c r="AD418" i="17"/>
  <c r="AE418" i="17" s="1"/>
  <c r="AD415" i="17"/>
  <c r="AE415" i="17" s="1"/>
  <c r="AD565" i="17"/>
  <c r="AE565" i="17" s="1"/>
  <c r="AD574" i="17"/>
  <c r="AE574" i="17" s="1"/>
  <c r="AD496" i="17"/>
  <c r="AE496" i="17" s="1"/>
  <c r="AD563" i="17"/>
  <c r="AE563" i="17" s="1"/>
  <c r="AD251" i="17"/>
  <c r="AE251" i="17" s="1"/>
  <c r="AD57" i="17"/>
  <c r="AE57" i="17" s="1"/>
  <c r="AD139" i="17"/>
  <c r="AE139" i="17" s="1"/>
  <c r="AD349" i="17"/>
  <c r="AE349" i="17" s="1"/>
  <c r="AD72" i="17"/>
  <c r="AE72" i="17" s="1"/>
  <c r="AD539" i="17"/>
  <c r="AE539" i="17" s="1"/>
  <c r="AD567" i="17"/>
  <c r="AE567" i="17" s="1"/>
  <c r="AD419" i="17"/>
  <c r="AE419" i="17" s="1"/>
  <c r="AD555" i="17"/>
  <c r="AE555" i="17" s="1"/>
  <c r="AD147" i="17"/>
  <c r="AE147" i="17" s="1"/>
  <c r="U293" i="17"/>
  <c r="AD340" i="17"/>
  <c r="AE340" i="17" s="1"/>
  <c r="AD517" i="17"/>
  <c r="AE517" i="17" s="1"/>
  <c r="AD389" i="17"/>
  <c r="AE389" i="17" s="1"/>
  <c r="AD337" i="17"/>
  <c r="AE337" i="17" s="1"/>
  <c r="AD148" i="17"/>
  <c r="AE148" i="17" s="1"/>
  <c r="AD94" i="17"/>
  <c r="AE94" i="17" s="1"/>
  <c r="AD323" i="17"/>
  <c r="AE323" i="17" s="1"/>
  <c r="AD287" i="17"/>
  <c r="AE287" i="17" s="1"/>
  <c r="AD23" i="17"/>
  <c r="AE23" i="17" s="1"/>
  <c r="AD130" i="17"/>
  <c r="AE130" i="17" s="1"/>
  <c r="AD185" i="17"/>
  <c r="AE185" i="17" s="1"/>
  <c r="AD174" i="17"/>
  <c r="AE174" i="17" s="1"/>
  <c r="AD187" i="17"/>
  <c r="AE187" i="17" s="1"/>
  <c r="AD196" i="17"/>
  <c r="AE196" i="17" s="1"/>
  <c r="AD345" i="17"/>
  <c r="AE345" i="17" s="1"/>
  <c r="AD370" i="17"/>
  <c r="AE370" i="17" s="1"/>
  <c r="AD564" i="17"/>
  <c r="AE564" i="17" s="1"/>
  <c r="AD575" i="17"/>
  <c r="AE575" i="17" s="1"/>
  <c r="AD433" i="17"/>
  <c r="AE433" i="17" s="1"/>
  <c r="AD530" i="17"/>
  <c r="AE530" i="17" s="1"/>
  <c r="AD435" i="17"/>
  <c r="AE435" i="17" s="1"/>
  <c r="AD189" i="17"/>
  <c r="AE189" i="17" s="1"/>
  <c r="AD589" i="17"/>
  <c r="AE589" i="17" s="1"/>
  <c r="AD173" i="17"/>
  <c r="AE173" i="17" s="1"/>
  <c r="AD13" i="17"/>
  <c r="AE13" i="17" s="1"/>
  <c r="AD481" i="17"/>
  <c r="AE481" i="17" s="1"/>
  <c r="AD402" i="17"/>
  <c r="AE402" i="17" s="1"/>
  <c r="AD599" i="17"/>
  <c r="AE599" i="17" s="1"/>
  <c r="AD495" i="17"/>
  <c r="AE495" i="17" s="1"/>
  <c r="AD314" i="17"/>
  <c r="AE314" i="17" s="1"/>
  <c r="AD258" i="17"/>
  <c r="AE258" i="17" s="1"/>
  <c r="AD431" i="17"/>
  <c r="AE431" i="17" s="1"/>
  <c r="AD472" i="17"/>
  <c r="AE472" i="17" s="1"/>
  <c r="AD280" i="17"/>
  <c r="AE280" i="17" s="1"/>
  <c r="AD274" i="17"/>
  <c r="AE274" i="17" s="1"/>
  <c r="AD471" i="17"/>
  <c r="AE471" i="17" s="1"/>
  <c r="AD369" i="17"/>
  <c r="AE369" i="17" s="1"/>
  <c r="AD527" i="17"/>
  <c r="AE527" i="17" s="1"/>
  <c r="AD454" i="17"/>
  <c r="AE454" i="17" s="1"/>
  <c r="AD315" i="17"/>
  <c r="AE315" i="17" s="1"/>
  <c r="AD429" i="17"/>
  <c r="AE429" i="17" s="1"/>
  <c r="AD17" i="17"/>
  <c r="AE17" i="17" s="1"/>
  <c r="AD414" i="17"/>
  <c r="AE414" i="17" s="1"/>
  <c r="AD324" i="17"/>
  <c r="AE324" i="17" s="1"/>
  <c r="AD392" i="17"/>
  <c r="AE392" i="17" s="1"/>
  <c r="AD149" i="17"/>
  <c r="AE149" i="17" s="1"/>
  <c r="AD124" i="17"/>
  <c r="AE124" i="17" s="1"/>
  <c r="AD24" i="17"/>
  <c r="AE24" i="17" s="1"/>
  <c r="AD404" i="17"/>
  <c r="AE404" i="17" s="1"/>
  <c r="AD598" i="17"/>
  <c r="AE598" i="17" s="1"/>
  <c r="AD612" i="17"/>
  <c r="AE612" i="17" s="1"/>
  <c r="AD498" i="17"/>
  <c r="AE498" i="17" s="1"/>
  <c r="AD212" i="17"/>
  <c r="AE212" i="17" s="1"/>
  <c r="AD568" i="17"/>
  <c r="AE568" i="17" s="1"/>
  <c r="AD582" i="17"/>
  <c r="AE582" i="17" s="1"/>
  <c r="AD25" i="17"/>
  <c r="AE25" i="17" s="1"/>
  <c r="AD172" i="17"/>
  <c r="AE172" i="17" s="1"/>
  <c r="AD506" i="17"/>
  <c r="AE506" i="17" s="1"/>
  <c r="AD553" i="17"/>
  <c r="AE553" i="17" s="1"/>
  <c r="AD56" i="17"/>
  <c r="AE56" i="17" s="1"/>
  <c r="AD562" i="17"/>
  <c r="AE562" i="17" s="1"/>
  <c r="AD22" i="17"/>
  <c r="AE22" i="17" s="1"/>
  <c r="AD505" i="17"/>
  <c r="AE505" i="17" s="1"/>
  <c r="AD113" i="17"/>
  <c r="AE113" i="17" s="1"/>
  <c r="AD138" i="17"/>
  <c r="AE138" i="17" s="1"/>
  <c r="AD34" i="17"/>
  <c r="AE34" i="17" s="1"/>
  <c r="AD310" i="17"/>
  <c r="AE310" i="17" s="1"/>
  <c r="AD267" i="17"/>
  <c r="AE267" i="17" s="1"/>
  <c r="AD492" i="17"/>
  <c r="AE492" i="17" s="1"/>
  <c r="AD281" i="17"/>
  <c r="AE281" i="17" s="1"/>
  <c r="AD254" i="17"/>
  <c r="AE254" i="17" s="1"/>
  <c r="AD250" i="17"/>
  <c r="AE250" i="17" s="1"/>
  <c r="AD432" i="17"/>
  <c r="AE432" i="17" s="1"/>
  <c r="AD236" i="17"/>
  <c r="AE236" i="17" s="1"/>
  <c r="AD198" i="17"/>
  <c r="AE198" i="17" s="1"/>
  <c r="AD144" i="17"/>
  <c r="AE144" i="17" s="1"/>
  <c r="AD526" i="17"/>
  <c r="AE526" i="17" s="1"/>
  <c r="AD552" i="17"/>
  <c r="AE552" i="17" s="1"/>
  <c r="AD321" i="17"/>
  <c r="AE321" i="17" s="1"/>
  <c r="AD428" i="17"/>
  <c r="AE428" i="17" s="1"/>
  <c r="AD338" i="17"/>
  <c r="AE338" i="17" s="1"/>
  <c r="AD497" i="17"/>
  <c r="AE497" i="17" s="1"/>
  <c r="AD458" i="17"/>
  <c r="AE458" i="17" s="1"/>
  <c r="AD600" i="17"/>
  <c r="AE600" i="17" s="1"/>
  <c r="AD303" i="17"/>
  <c r="AE303" i="17" s="1"/>
  <c r="AD232" i="17"/>
  <c r="AE232" i="17" s="1"/>
  <c r="AD427" i="17"/>
  <c r="AE427" i="17" s="1"/>
  <c r="AD493" i="17"/>
  <c r="AE493" i="17" s="1"/>
  <c r="AD304" i="17"/>
  <c r="AE304" i="17" s="1"/>
  <c r="AD322" i="17"/>
  <c r="AE322" i="17" s="1"/>
  <c r="AD81" i="17"/>
  <c r="AE81" i="17" s="1"/>
  <c r="AD514" i="17"/>
  <c r="AE514" i="17" s="1"/>
  <c r="AD390" i="17"/>
  <c r="AE390" i="17" s="1"/>
  <c r="AD570" i="17"/>
  <c r="AE570" i="17" s="1"/>
  <c r="AD48" i="17"/>
  <c r="AE48" i="17" s="1"/>
  <c r="AD46" i="17"/>
  <c r="AE46" i="17" s="1"/>
  <c r="AD102" i="17"/>
  <c r="AE102" i="17" s="1"/>
  <c r="AD217" i="17"/>
  <c r="AE217" i="17" s="1"/>
  <c r="AD275" i="17"/>
  <c r="AE275" i="17" s="1"/>
  <c r="AD394" i="17"/>
  <c r="AE394" i="17" s="1"/>
  <c r="AD420" i="17"/>
  <c r="AE420" i="17" s="1"/>
  <c r="AD161" i="17"/>
  <c r="AE161" i="17" s="1"/>
  <c r="AD228" i="17"/>
  <c r="AE228" i="17" s="1"/>
  <c r="AD54" i="17"/>
  <c r="AE54" i="17" s="1"/>
  <c r="AD610" i="17"/>
  <c r="AE610" i="17" s="1"/>
  <c r="AD502" i="17"/>
  <c r="AE502" i="17" s="1"/>
  <c r="AD50" i="17"/>
  <c r="AE50" i="17" s="1"/>
  <c r="AD529" i="17"/>
  <c r="AE529" i="17" s="1"/>
  <c r="AD381" i="17"/>
  <c r="AE381" i="17" s="1"/>
  <c r="AD19" i="17"/>
  <c r="AE19" i="17" s="1"/>
  <c r="AD545" i="17"/>
  <c r="AE545" i="17" s="1"/>
  <c r="AD136" i="17"/>
  <c r="AE136" i="17" s="1"/>
  <c r="AD204" i="17"/>
  <c r="AE204" i="17" s="1"/>
  <c r="AD358" i="17"/>
  <c r="AE358" i="17" s="1"/>
  <c r="AD446" i="17"/>
  <c r="AE446" i="17" s="1"/>
  <c r="AD489" i="17"/>
  <c r="AE489" i="17" s="1"/>
  <c r="AD572" i="17"/>
  <c r="AE572" i="17" s="1"/>
  <c r="AD14" i="17"/>
  <c r="AE14" i="17" s="1"/>
  <c r="AD100" i="17"/>
  <c r="AE100" i="17" s="1"/>
  <c r="AD245" i="17"/>
  <c r="AE245" i="17" s="1"/>
  <c r="AD76" i="17"/>
  <c r="AE76" i="17" s="1"/>
  <c r="AD463" i="17"/>
  <c r="AE463" i="17" s="1"/>
  <c r="AD531" i="17"/>
  <c r="AE531" i="17" s="1"/>
  <c r="AD194" i="17"/>
  <c r="AE194" i="17" s="1"/>
  <c r="AD79" i="17"/>
  <c r="AE79" i="17" s="1"/>
  <c r="AD242" i="17"/>
  <c r="AE242" i="17" s="1"/>
  <c r="AD332" i="17"/>
  <c r="AE332" i="17" s="1"/>
  <c r="AD550" i="17"/>
  <c r="AE550" i="17" s="1"/>
  <c r="AD89" i="17"/>
  <c r="AE89" i="17" s="1"/>
  <c r="AD330" i="17"/>
  <c r="AE330" i="17" s="1"/>
  <c r="AD36" i="17"/>
  <c r="AE36" i="17" s="1"/>
  <c r="AD571" i="17"/>
  <c r="AE571" i="17" s="1"/>
  <c r="AD587" i="17"/>
  <c r="AE587" i="17" s="1"/>
  <c r="AD301" i="17"/>
  <c r="AE301" i="17" s="1"/>
  <c r="AD305" i="17"/>
  <c r="AE305" i="17" s="1"/>
  <c r="AD231" i="17"/>
  <c r="AE231" i="17" s="1"/>
  <c r="AD525" i="17"/>
  <c r="AE525" i="17" s="1"/>
  <c r="AD32" i="17"/>
  <c r="AE32" i="17" s="1"/>
  <c r="AD544" i="17"/>
  <c r="AE544" i="17" s="1"/>
  <c r="AD218" i="17"/>
  <c r="AE218" i="17" s="1"/>
  <c r="AD462" i="17"/>
  <c r="AE462" i="17" s="1"/>
  <c r="AD33" i="17"/>
  <c r="AE33" i="17" s="1"/>
  <c r="AD75" i="17"/>
  <c r="AE75" i="17" s="1"/>
  <c r="AD84" i="17"/>
  <c r="AE84" i="17" s="1"/>
  <c r="AD461" i="17"/>
  <c r="AE461" i="17" s="1"/>
  <c r="AD169" i="17"/>
  <c r="AE169" i="17" s="1"/>
  <c r="AD366" i="17"/>
  <c r="AE366" i="17" s="1"/>
  <c r="AD31" i="17"/>
  <c r="AE31" i="17" s="1"/>
  <c r="AD573" i="17"/>
  <c r="AE573" i="17" s="1"/>
  <c r="AD154" i="17"/>
  <c r="AE154" i="17" s="1"/>
  <c r="AD346" i="17"/>
  <c r="AE346" i="17" s="1"/>
  <c r="AD507" i="17"/>
  <c r="AE507" i="17" s="1"/>
  <c r="AD382" i="17"/>
  <c r="AE382" i="17" s="1"/>
  <c r="AD596" i="17"/>
  <c r="AE596" i="17" s="1"/>
  <c r="AD18" i="17"/>
  <c r="AE18" i="17" s="1"/>
  <c r="AD155" i="17"/>
  <c r="AE155" i="17" s="1"/>
  <c r="AD95" i="17"/>
  <c r="AE95" i="17" s="1"/>
  <c r="AD125" i="17"/>
  <c r="AE125" i="17" s="1"/>
  <c r="AD549" i="17"/>
  <c r="AE549" i="17" s="1"/>
  <c r="AD541" i="17"/>
  <c r="AE541" i="17" s="1"/>
  <c r="AD179" i="17"/>
  <c r="AE179" i="17" s="1"/>
  <c r="AD197" i="17"/>
  <c r="AE197" i="17" s="1"/>
  <c r="AD606" i="17"/>
  <c r="AE606" i="17" s="1"/>
  <c r="AD108" i="17"/>
  <c r="AE108" i="17" s="1"/>
  <c r="AD395" i="17"/>
  <c r="AE395" i="17" s="1"/>
  <c r="AD444" i="17"/>
  <c r="AE444" i="17" s="1"/>
  <c r="AD588" i="17"/>
  <c r="AE588" i="17" s="1"/>
  <c r="AD51" i="17"/>
  <c r="AE51" i="17" s="1"/>
  <c r="AD532" i="17"/>
  <c r="AE532" i="17" s="1"/>
  <c r="AD167" i="17"/>
  <c r="AE167" i="17" s="1"/>
  <c r="AD240" i="17"/>
  <c r="AE240" i="17" s="1"/>
  <c r="AD168" i="17"/>
  <c r="AE168" i="17" s="1"/>
  <c r="AD246" i="17"/>
  <c r="AE246" i="17" s="1"/>
  <c r="AD195" i="17"/>
  <c r="AE195" i="17" s="1"/>
  <c r="AD170" i="17"/>
  <c r="AE170" i="17" s="1"/>
  <c r="AD551" i="17"/>
  <c r="AE551" i="17" s="1"/>
  <c r="AD488" i="17"/>
  <c r="AE488" i="17" s="1"/>
  <c r="AD114" i="17"/>
  <c r="AE114" i="17" s="1"/>
  <c r="AD85" i="17"/>
  <c r="AE85" i="17" s="1"/>
  <c r="AD374" i="17"/>
  <c r="AE374" i="17" s="1"/>
  <c r="AD409" i="17"/>
  <c r="AE409" i="17" s="1"/>
  <c r="AD601" i="17"/>
  <c r="AE601" i="17" s="1"/>
  <c r="AD262" i="17"/>
  <c r="AE262" i="17" s="1"/>
  <c r="AD222" i="17"/>
  <c r="AE222" i="17" s="1"/>
  <c r="AD248" i="17"/>
  <c r="AE248" i="17" s="1"/>
  <c r="AD157" i="17"/>
  <c r="AE157" i="17" s="1"/>
  <c r="AD273" i="17"/>
  <c r="AE273" i="17" s="1"/>
  <c r="AD408" i="17"/>
  <c r="AE408" i="17" s="1"/>
  <c r="AD559" i="17"/>
  <c r="AE559" i="17" s="1"/>
  <c r="AD105" i="17"/>
  <c r="AE105" i="17" s="1"/>
  <c r="AD511" i="17"/>
  <c r="AE511" i="17" s="1"/>
  <c r="AD223" i="17"/>
  <c r="AE223" i="17" s="1"/>
  <c r="AD181" i="17"/>
  <c r="AE181" i="17" s="1"/>
  <c r="AD455" i="17"/>
  <c r="AE455" i="17" s="1"/>
  <c r="AD29" i="17"/>
  <c r="AE29" i="17" s="1"/>
  <c r="AD244" i="17"/>
  <c r="AE244" i="17" s="1"/>
  <c r="AD611" i="17"/>
  <c r="AE611" i="17" s="1"/>
  <c r="AD473" i="17"/>
  <c r="AE473" i="17" s="1"/>
  <c r="AD83" i="17"/>
  <c r="AE83" i="17" s="1"/>
  <c r="AD227" i="17"/>
  <c r="AE227" i="17" s="1"/>
  <c r="AD510" i="17"/>
  <c r="AE510" i="17" s="1"/>
  <c r="AD272" i="17"/>
  <c r="AE272" i="17" s="1"/>
  <c r="AD479" i="17"/>
  <c r="AE479" i="17" s="1"/>
  <c r="AD353" i="17"/>
  <c r="AE353" i="17" s="1"/>
  <c r="AD226" i="17"/>
  <c r="AE226" i="17" s="1"/>
  <c r="AD474" i="17"/>
  <c r="AE474" i="17" s="1"/>
  <c r="AD243" i="17"/>
  <c r="AE243" i="17" s="1"/>
  <c r="AD456" i="17"/>
  <c r="AE456" i="17" s="1"/>
  <c r="AD180" i="17"/>
  <c r="AE180" i="17" s="1"/>
  <c r="AD352" i="17"/>
  <c r="AE352" i="17" s="1"/>
  <c r="AD261" i="17"/>
  <c r="AE261" i="17" s="1"/>
  <c r="AD542" i="17"/>
  <c r="AE542" i="17" s="1"/>
  <c r="AD478" i="17"/>
  <c r="AE478" i="17" s="1"/>
  <c r="AD543" i="17"/>
  <c r="AE543" i="17" s="1"/>
  <c r="AD285" i="17"/>
  <c r="AE285" i="17" s="1"/>
  <c r="AD249" i="17"/>
  <c r="AE249" i="17" s="1"/>
  <c r="AD605" i="17"/>
  <c r="AE605" i="17" s="1"/>
  <c r="AD247" i="17"/>
  <c r="AE247" i="17" s="1"/>
  <c r="AD221" i="17"/>
  <c r="AE221" i="17" s="1"/>
  <c r="AD602" i="17"/>
  <c r="AE602" i="17" s="1"/>
  <c r="AD80" i="17"/>
  <c r="AE80" i="17" s="1"/>
  <c r="AD331" i="17"/>
  <c r="AE331" i="17" s="1"/>
  <c r="AD201" i="17"/>
  <c r="AE201" i="17" s="1"/>
  <c r="AD268" i="17"/>
  <c r="AE268" i="17" s="1"/>
  <c r="AD521" i="17"/>
  <c r="AE521" i="17" s="1"/>
  <c r="AD87" i="17"/>
  <c r="AE87" i="17" s="1"/>
  <c r="AD522" i="17"/>
  <c r="AE522" i="17" s="1"/>
  <c r="AD480" i="17"/>
  <c r="AE480" i="17" s="1"/>
  <c r="AD557" i="17"/>
  <c r="AE557" i="17" s="1"/>
  <c r="AD447" i="17"/>
  <c r="AE447" i="17" s="1"/>
  <c r="AD141" i="17"/>
  <c r="AE141" i="17" s="1"/>
  <c r="AD425" i="17"/>
  <c r="AE425" i="17" s="1"/>
  <c r="AD30" i="17"/>
  <c r="AE30" i="17" s="1"/>
  <c r="AD430" i="17"/>
  <c r="AE430" i="17" s="1"/>
  <c r="AD142" i="17"/>
  <c r="AE142" i="17" s="1"/>
  <c r="AD103" i="17"/>
  <c r="AE103" i="17" s="1"/>
  <c r="AD177" i="17"/>
  <c r="AE177" i="17" s="1"/>
  <c r="AD608" i="17"/>
  <c r="AE608" i="17" s="1"/>
  <c r="AD518" i="17"/>
  <c r="AE518" i="17" s="1"/>
  <c r="AD524" i="17"/>
  <c r="AE524" i="17" s="1"/>
  <c r="AD96" i="17"/>
  <c r="AE96" i="17" s="1"/>
  <c r="AD264" i="17"/>
  <c r="AE264" i="17" s="1"/>
  <c r="AD191" i="17"/>
  <c r="AE191" i="17" s="1"/>
  <c r="AD581" i="17"/>
  <c r="AE581" i="17" s="1"/>
  <c r="AD339" i="17"/>
  <c r="AE339" i="17" s="1"/>
  <c r="AD547" i="17"/>
  <c r="AE547" i="17" s="1"/>
  <c r="AD371" i="17"/>
  <c r="AE371" i="17" s="1"/>
  <c r="AD347" i="17"/>
  <c r="AE347" i="17" s="1"/>
  <c r="AD372" i="17"/>
  <c r="AE372" i="17" s="1"/>
  <c r="AD16" i="17"/>
  <c r="AE16" i="17" s="1"/>
  <c r="AD47" i="17"/>
  <c r="AE47" i="17" s="1"/>
  <c r="AD445" i="17"/>
  <c r="AE445" i="17" s="1"/>
  <c r="U117" i="17"/>
  <c r="AD580" i="17"/>
  <c r="AE580" i="17" s="1"/>
  <c r="AD202" i="17"/>
  <c r="AE202" i="17" s="1"/>
  <c r="AD558" i="17"/>
  <c r="AE558" i="17" s="1"/>
  <c r="AD210" i="17"/>
  <c r="AE210" i="17" s="1"/>
  <c r="AD523" i="17"/>
  <c r="AE523" i="17" s="1"/>
  <c r="AD504" i="17"/>
  <c r="AE504" i="17" s="1"/>
  <c r="AD452" i="17"/>
  <c r="AE452" i="17" s="1"/>
  <c r="AD160" i="17"/>
  <c r="AE160" i="17" s="1"/>
  <c r="AD398" i="17"/>
  <c r="AE398" i="17" s="1"/>
  <c r="AD88" i="17"/>
  <c r="AE88" i="17" s="1"/>
  <c r="AD164" i="17"/>
  <c r="AE164" i="17" s="1"/>
  <c r="AD159" i="17"/>
  <c r="AE159" i="17" s="1"/>
  <c r="AD165" i="17"/>
  <c r="AE165" i="17" s="1"/>
  <c r="AD486" i="17"/>
  <c r="AE486" i="17" s="1"/>
  <c r="AD467" i="17"/>
  <c r="AE467" i="17" s="1"/>
  <c r="AD546" i="17"/>
  <c r="AE546" i="17" s="1"/>
  <c r="AD335" i="17"/>
  <c r="AE335" i="17" s="1"/>
  <c r="AD192" i="17"/>
  <c r="AE192" i="17" s="1"/>
  <c r="AD118" i="17"/>
  <c r="AE118" i="17" s="1"/>
  <c r="AD178" i="17"/>
  <c r="AE178" i="17" s="1"/>
  <c r="AD45" i="17"/>
  <c r="AE45" i="17" s="1"/>
  <c r="AD595" i="17"/>
  <c r="AE595" i="17" s="1"/>
  <c r="AD443" i="17"/>
  <c r="AE443" i="17" s="1"/>
  <c r="AD399" i="17"/>
  <c r="AE399" i="17" s="1"/>
  <c r="AD586" i="17"/>
  <c r="AE586" i="17" s="1"/>
  <c r="AD143" i="17"/>
  <c r="AE143" i="17" s="1"/>
  <c r="AD263" i="17"/>
  <c r="AE263" i="17" s="1"/>
  <c r="AD327" i="17"/>
  <c r="AE327" i="17" s="1"/>
  <c r="AD403" i="17"/>
  <c r="AE403" i="17" s="1"/>
  <c r="AD176" i="17"/>
  <c r="AE176" i="17" s="1"/>
  <c r="AD44" i="17"/>
  <c r="AE44" i="17" s="1"/>
  <c r="AD378" i="17"/>
  <c r="AE378" i="17" s="1"/>
  <c r="AD28" i="17"/>
  <c r="AE28" i="17" s="1"/>
  <c r="AD256" i="17"/>
  <c r="AE256" i="17" s="1"/>
  <c r="AD257" i="17"/>
  <c r="AE257" i="17" s="1"/>
  <c r="AD485" i="17"/>
  <c r="AE485" i="17" s="1"/>
  <c r="AD328" i="17"/>
  <c r="AE328" i="17" s="1"/>
  <c r="AD451" i="17"/>
  <c r="AE451" i="17" s="1"/>
  <c r="AD556" i="17"/>
  <c r="AE556" i="17" s="1"/>
  <c r="AD295" i="17"/>
  <c r="AE295" i="17" s="1"/>
  <c r="AD450" i="17"/>
  <c r="AE450" i="17" s="1"/>
  <c r="AD313" i="17"/>
  <c r="AE313" i="17" s="1"/>
  <c r="AD43" i="17"/>
  <c r="AE43" i="17" s="1"/>
  <c r="AD209" i="17"/>
  <c r="AE209" i="17" s="1"/>
  <c r="AD377" i="17"/>
  <c r="AE377" i="17" s="1"/>
  <c r="AD476" i="17"/>
  <c r="AE476" i="17" s="1"/>
  <c r="AD131" i="17"/>
  <c r="AE131" i="17" s="1"/>
  <c r="AD60" i="17"/>
  <c r="AE60" i="17" s="1"/>
  <c r="AD64" i="17"/>
  <c r="AE64" i="17" s="1"/>
  <c r="AD216" i="17"/>
  <c r="AE216" i="17" s="1"/>
  <c r="AD119" i="17"/>
  <c r="AE119" i="17" s="1"/>
  <c r="AD424" i="17"/>
  <c r="AE424" i="17" s="1"/>
  <c r="AD215" i="17"/>
  <c r="AE215" i="17" s="1"/>
  <c r="AD117" i="17"/>
  <c r="AE117" i="17" s="1"/>
  <c r="AD65" i="17"/>
  <c r="AE65" i="17" s="1"/>
  <c r="AD509" i="17"/>
  <c r="AE509" i="17" s="1"/>
  <c r="AD53" i="17"/>
  <c r="AE53" i="17" s="1"/>
  <c r="AD519" i="17"/>
  <c r="AE519" i="17" s="1"/>
  <c r="AD365" i="17"/>
  <c r="AE365" i="17" s="1"/>
  <c r="AD336" i="17"/>
  <c r="AE336" i="17" s="1"/>
  <c r="AD364" i="17"/>
  <c r="AE364" i="17" s="1"/>
  <c r="AD126" i="17"/>
  <c r="AE126" i="17" s="1"/>
  <c r="AD312" i="17"/>
  <c r="AE312" i="17" s="1"/>
  <c r="AD104" i="17"/>
  <c r="AE104" i="17" s="1"/>
  <c r="AD106" i="17"/>
  <c r="AE106" i="17" s="1"/>
  <c r="AD127" i="17"/>
  <c r="AE127" i="17" s="1"/>
  <c r="AD376" i="17"/>
  <c r="AE376" i="17" s="1"/>
  <c r="AD503" i="17"/>
  <c r="AE503" i="17" s="1"/>
  <c r="AD296" i="17"/>
  <c r="AE296" i="17" s="1"/>
  <c r="AD140" i="17"/>
  <c r="AE140" i="17" s="1"/>
  <c r="AD475" i="17"/>
  <c r="AE475" i="17" s="1"/>
  <c r="AD276" i="17"/>
  <c r="AE276" i="17" s="1"/>
  <c r="AD466" i="17"/>
  <c r="AE466" i="17" s="1"/>
  <c r="AD27" i="17"/>
  <c r="AE27" i="17" s="1"/>
  <c r="AD342" i="17"/>
  <c r="AE342" i="17" s="1"/>
  <c r="AD341" i="17"/>
  <c r="AE341" i="17" s="1"/>
  <c r="AD449" i="17"/>
  <c r="AE449" i="17" s="1"/>
  <c r="AD269" i="17"/>
  <c r="AE269" i="17" s="1"/>
  <c r="AB625" i="17"/>
  <c r="AE7" i="25" l="1"/>
  <c r="Q4" i="25" s="1"/>
  <c r="AE13" i="25"/>
  <c r="AE9" i="25" s="1"/>
  <c r="Q5" i="25" s="1"/>
  <c r="AE9" i="17"/>
  <c r="Q5" i="17" s="1"/>
  <c r="AE7" i="17"/>
  <c r="Q4" i="17" s="1"/>
  <c r="B365" i="2" l="1"/>
  <c r="A365" i="2"/>
  <c r="B366" i="2"/>
  <c r="A366" i="2"/>
  <c r="A640" i="25"/>
  <c r="A617" i="25"/>
  <c r="A639" i="25"/>
  <c r="A639" i="17"/>
  <c r="A640" i="17"/>
  <c r="A617" i="17"/>
  <c r="F617" i="17" s="1"/>
  <c r="D365" i="2"/>
  <c r="H617" i="25" l="1"/>
  <c r="G617" i="25"/>
  <c r="G617" i="17"/>
  <c r="H617" i="17"/>
  <c r="O617" i="25"/>
  <c r="P617" i="25"/>
  <c r="A618" i="25"/>
  <c r="A619" i="25" s="1"/>
  <c r="L617" i="25"/>
  <c r="D617" i="25"/>
  <c r="K617" i="25"/>
  <c r="C617" i="25"/>
  <c r="M617" i="25"/>
  <c r="I617" i="25"/>
  <c r="E617" i="25"/>
  <c r="J617" i="25"/>
  <c r="N617" i="25"/>
  <c r="F617" i="25"/>
  <c r="K617" i="17"/>
  <c r="N617" i="17"/>
  <c r="P617" i="17"/>
  <c r="L617" i="17"/>
  <c r="M617" i="17"/>
  <c r="J617" i="17"/>
  <c r="E617" i="17"/>
  <c r="O617" i="17"/>
  <c r="D617" i="17"/>
  <c r="A618" i="17"/>
  <c r="A619" i="17" s="1"/>
  <c r="C617" i="17"/>
  <c r="I617" i="17"/>
  <c r="X617" i="25" l="1"/>
  <c r="Q617" i="25"/>
  <c r="AA617" i="25"/>
  <c r="Y617" i="25"/>
  <c r="AB617" i="25"/>
  <c r="R617" i="25"/>
  <c r="X617" i="17"/>
  <c r="AB617" i="17"/>
  <c r="R617" i="17"/>
  <c r="R620" i="17" s="1"/>
  <c r="Y617" i="17"/>
  <c r="AA617" i="17"/>
  <c r="Q617" i="17"/>
  <c r="S617" i="25" l="1"/>
  <c r="R620" i="25"/>
  <c r="S61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LM(2)5143/-Q1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LM(2)5143/-Q1 dual-channel / multi-phase synchronous buck controller</t>
        </r>
        <r>
          <rPr>
            <sz val="9"/>
            <color indexed="81"/>
            <rFont val="Tahoma"/>
            <family val="2"/>
          </rPr>
          <t xml:space="preserve">. As such, the user can expeditiously arrive at an optimized design by virtue of the following:
- Determine curretn sense resistances, buck inductances and input and output capacitances
- Select components to set switching frequency, soft-start, hiccup time and dither
- Optimize compensation values and pole/zero placement in terms of control loop stability using crossover frequency as a performance metric (for both dual-channel and two-phase interleaved)
- Inspect regulator efficiency and component power dissipations vs. line and load
- Analyze efficiency based on selected MOSFET parameters
- Configure the controller for dual-output or single-output (2/3/4-phase) configurations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B,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LM(2)5143/-Q1 product datasheet and EVM user's guide for more details.
</t>
        </r>
        <r>
          <rPr>
            <b/>
            <sz val="9"/>
            <color indexed="81"/>
            <rFont val="Tahoma"/>
            <family val="2"/>
          </rPr>
          <t>Rev B, Timothy Hegarty, Texas Instruments, Inc.</t>
        </r>
      </text>
    </comment>
    <comment ref="F7"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8"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9"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LM(2)5143/-Q1 input voltage operating range is 3.5V to (42V)65V.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(42V)65V</t>
        </r>
        <r>
          <rPr>
            <sz val="9"/>
            <color indexed="81"/>
            <rFont val="Tahoma"/>
            <family val="2"/>
          </rPr>
          <t xml:space="preserve">
-The input voltage is below </t>
        </r>
        <r>
          <rPr>
            <b/>
            <sz val="9"/>
            <color indexed="10"/>
            <rFont val="Tahoma"/>
            <family val="2"/>
          </rPr>
          <t>3.5V</t>
        </r>
      </text>
    </comment>
    <comment ref="F10"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(LM5143) or 36V (LM25143) 
-The output voltage is below 0.6V</t>
        </r>
      </text>
    </comment>
    <comment ref="F12"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SYNCIN. The max frequency set by RT is 2.2MHz, but SYNCIN can be as high as 2.5MHz.
</t>
        </r>
        <r>
          <rPr>
            <b/>
            <sz val="9"/>
            <color indexed="81"/>
            <rFont val="Tahoma"/>
            <family val="2"/>
          </rPr>
          <t xml:space="preserve">The text in the cell is flagged red if:
</t>
        </r>
        <r>
          <rPr>
            <b/>
            <sz val="9"/>
            <color indexed="10"/>
            <rFont val="Tahoma"/>
            <family val="2"/>
          </rPr>
          <t>-The frequency is below 100 kHz
-The frequency is above 2.5 MHz</t>
        </r>
        <r>
          <rPr>
            <sz val="11"/>
            <color indexed="81"/>
            <rFont val="Tahoma"/>
            <family val="2"/>
          </rPr>
          <t xml:space="preserve">
</t>
        </r>
      </text>
    </comment>
    <comment ref="F17"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based on the total output current requirement. A typical level is 140% of full load current.</t>
        </r>
      </text>
    </comment>
    <comment ref="F18"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SENSE</t>
        </r>
        <r>
          <rPr>
            <sz val="9"/>
            <color indexed="81"/>
            <rFont val="Tahoma"/>
            <family val="2"/>
          </rPr>
          <t xml:space="preserve">.
</t>
        </r>
        <r>
          <rPr>
            <sz val="9"/>
            <color indexed="81"/>
            <rFont val="Tahoma"/>
            <family val="2"/>
          </rPr>
          <t xml:space="preserve">The resistances of </t>
        </r>
        <r>
          <rPr>
            <b/>
            <sz val="9"/>
            <color indexed="81"/>
            <rFont val="Tahoma"/>
            <family val="2"/>
          </rPr>
          <t>R</t>
        </r>
        <r>
          <rPr>
            <b/>
            <vertAlign val="subscript"/>
            <sz val="9"/>
            <color indexed="81"/>
            <rFont val="Tahoma"/>
            <family val="2"/>
          </rPr>
          <t>CS1</t>
        </r>
        <r>
          <rPr>
            <sz val="9"/>
            <color indexed="81"/>
            <rFont val="Tahoma"/>
            <family val="2"/>
          </rPr>
          <t xml:space="preserve"> and </t>
        </r>
        <r>
          <rPr>
            <b/>
            <sz val="9"/>
            <color indexed="81"/>
            <rFont val="Tahoma"/>
            <family val="2"/>
          </rPr>
          <t>R</t>
        </r>
        <r>
          <rPr>
            <b/>
            <vertAlign val="subscript"/>
            <sz val="9"/>
            <color indexed="81"/>
            <rFont val="Tahoma"/>
            <family val="2"/>
          </rPr>
          <t>CS2</t>
        </r>
        <r>
          <rPr>
            <sz val="9"/>
            <color indexed="81"/>
            <rFont val="Tahoma"/>
            <family val="2"/>
          </rPr>
          <t xml:space="preserve"> are equal for balanced common-mode filtering to the CS and VOUT pins.</t>
        </r>
      </text>
    </comment>
    <comment ref="F20"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1"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2"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3"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4"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7"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inductor current downslope di/dt equal to the slope compensation contribution.</t>
        </r>
      </text>
    </comment>
    <comment ref="F28"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Target inductor (peak-to-peak) ripple currrent is 30-40% of the DC full load current at nominal input voltage.
Setting the inductance equal to the recommended value gives ideal (one times inductor current downlope) slope compensation. As 0.5 times inductor current downslope is the absolute minimum slope comp requirement, do not choose an inductance less than half the recommended.</t>
        </r>
      </text>
    </comment>
    <comment ref="F29"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51" authorId="0" shapeId="0" xr:uid="{00000000-0006-0000-0000-000018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0.1 ms.</t>
        </r>
      </text>
    </comment>
    <comment ref="F53" authorId="0" shapeId="0" xr:uid="{00000000-0006-0000-0000-000019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hiccup time here
</t>
        </r>
        <r>
          <rPr>
            <b/>
            <sz val="8"/>
            <color indexed="81"/>
            <rFont val="Tahoma"/>
            <family val="2"/>
          </rPr>
          <t xml:space="preserve">
The text in this cell is flagged red if:</t>
        </r>
        <r>
          <rPr>
            <sz val="8"/>
            <color indexed="81"/>
            <rFont val="Tahoma"/>
            <family val="2"/>
          </rPr>
          <t xml:space="preserve">
</t>
        </r>
        <r>
          <rPr>
            <b/>
            <sz val="8"/>
            <color indexed="10"/>
            <rFont val="Tahoma"/>
            <family val="2"/>
          </rPr>
          <t>-The specified soft-start time is less than 0 ms.</t>
        </r>
      </text>
    </comment>
    <comment ref="F55" authorId="0" shapeId="0" xr:uid="{00000000-0006-0000-0000-00001A000000}">
      <text>
        <r>
          <rPr>
            <b/>
            <u/>
            <sz val="9"/>
            <color indexed="81"/>
            <rFont val="Tahoma"/>
            <family val="2"/>
          </rPr>
          <t>Dither Low Frequency Modulation</t>
        </r>
        <r>
          <rPr>
            <b/>
            <sz val="9"/>
            <color indexed="81"/>
            <rFont val="Tahoma"/>
            <family val="2"/>
          </rPr>
          <t>:</t>
        </r>
        <r>
          <rPr>
            <sz val="9"/>
            <color indexed="81"/>
            <rFont val="Tahoma"/>
            <family val="2"/>
          </rPr>
          <t xml:space="preserve">
Enter the desired dither low-frequency modulation rate. The dither capacitor charges and discharges in triangular fashion between 95% and 105% of the 1.2V bandgap, i.e. 120mV amplitude, and sets up a ±5% modulation of the nominal oscillator frequency.
Note that the LM5143-Q1 does not perform dither if the SYNC function is used.
</t>
        </r>
        <r>
          <rPr>
            <b/>
            <sz val="9"/>
            <color indexed="39"/>
            <rFont val="Tahoma"/>
            <family val="2"/>
          </rPr>
          <t xml:space="preserve">
If the dither feature is not required, the DITH pin should be tied to VDDA.</t>
        </r>
        <r>
          <rPr>
            <sz val="9"/>
            <color indexed="81"/>
            <rFont val="Tahoma"/>
            <family val="2"/>
          </rPr>
          <t xml:space="preserve">
</t>
        </r>
      </text>
    </comment>
    <comment ref="F63" authorId="0" shapeId="0" xr:uid="{00000000-0006-0000-0000-00001B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C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69" authorId="0" shapeId="0" xr:uid="{00000000-0006-0000-0000-00001D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3" authorId="2" shapeId="0" xr:uid="{00000000-0006-0000-0000-00001E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3" authorId="2" shapeId="0" xr:uid="{00000000-0006-0000-0000-00001F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low-side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4" authorId="2" shapeId="0" xr:uid="{00000000-0006-0000-0000-000020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4" authorId="2" shapeId="0" xr:uid="{00000000-0006-0000-0000-000021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low-side MOSFET here (at the appropriate gate drive level, typically 5V)</t>
        </r>
      </text>
    </comment>
    <comment ref="E85" authorId="2" shapeId="0" xr:uid="{00000000-0006-0000-0000-000022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5" authorId="2" shapeId="0" xr:uid="{00000000-0006-0000-0000-000023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low-side MOSFET here.</t>
        </r>
      </text>
    </comment>
    <comment ref="E86" authorId="2" shapeId="0" xr:uid="{00000000-0006-0000-0000-000024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6" authorId="2" shapeId="0" xr:uid="{00000000-0006-0000-0000-000025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low-side MOSFET gate-source charge here. </t>
        </r>
      </text>
    </comment>
    <comment ref="F87" authorId="2" shapeId="0" xr:uid="{00000000-0006-0000-0000-000026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charge here. </t>
        </r>
      </text>
    </comment>
    <comment ref="E88" authorId="2" shapeId="0" xr:uid="{00000000-0006-0000-0000-000027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8" authorId="2" shapeId="0" xr:uid="{00000000-0006-0000-0000-000028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9" authorId="2" shapeId="0" xr:uid="{00000000-0006-0000-0000-000029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9" authorId="2" shapeId="0" xr:uid="{00000000-0006-0000-0000-00002A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90" authorId="2" shapeId="0" xr:uid="{00000000-0006-0000-0000-00002B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90" authorId="2" shapeId="0" xr:uid="{00000000-0006-0000-0000-00002C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1" authorId="2" shapeId="0" xr:uid="{00000000-0006-0000-0000-00002D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1" authorId="2" shapeId="0" xr:uid="{00000000-0006-0000-0000-00002E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2" shapeId="0" xr:uid="{00000000-0006-0000-0000-00002F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2" authorId="2" shapeId="0" xr:uid="{00000000-0006-0000-0000-000030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3" authorId="2" shapeId="0" xr:uid="{00000000-0006-0000-0000-000031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4" authorId="2" shapeId="0" xr:uid="{00000000-0006-0000-0000-000032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4" authorId="2" shapeId="0" xr:uid="{00000000-0006-0000-0000-000033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7" authorId="1" shapeId="0" xr:uid="{00000000-0006-0000-0000-000034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8" authorId="1" shapeId="0" xr:uid="{00000000-0006-0000-0000-000035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3" authorId="1" shapeId="0" xr:uid="{00000000-0006-0000-0000-000036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4" authorId="1" shapeId="0" xr:uid="{00000000-0006-0000-0000-000037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sharedStrings.xml><?xml version="1.0" encoding="utf-8"?>
<sst xmlns="http://schemas.openxmlformats.org/spreadsheetml/2006/main" count="1964" uniqueCount="864">
  <si>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</si>
  <si>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</si>
  <si>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</si>
  <si>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</si>
  <si>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</si>
  <si>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</si>
  <si>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</si>
  <si>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</si>
  <si>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</si>
  <si>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</si>
  <si>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</si>
  <si>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</si>
  <si>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</si>
  <si>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</si>
  <si>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</si>
  <si>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</si>
  <si>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</si>
  <si>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</si>
  <si>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</si>
  <si>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</si>
  <si>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</si>
  <si>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</si>
  <si>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</si>
  <si>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</si>
  <si>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</si>
  <si>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</si>
  <si>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</si>
  <si>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</si>
  <si>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</si>
  <si>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</si>
  <si>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</si>
  <si>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</si>
  <si>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</si>
  <si>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</si>
  <si>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</si>
  <si>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</si>
  <si>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</si>
  <si>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</si>
  <si>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</si>
  <si>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</si>
  <si>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</si>
  <si>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</si>
  <si>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</si>
  <si>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</si>
  <si>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</si>
  <si>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</si>
  <si>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</si>
  <si>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</si>
  <si>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</si>
  <si>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</si>
  <si>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</si>
  <si>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</si>
  <si>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</si>
  <si>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</si>
  <si>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</si>
  <si>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</si>
  <si>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</si>
  <si>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</si>
  <si>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</si>
  <si>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</si>
  <si>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</si>
  <si>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</si>
  <si>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</si>
  <si>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</si>
  <si>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</si>
  <si>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</si>
  <si>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</si>
  <si>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</si>
  <si>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</si>
  <si>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</si>
  <si>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</si>
  <si>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</si>
  <si>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</si>
  <si>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</si>
  <si>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</si>
  <si>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</si>
  <si>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</si>
  <si>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</si>
  <si>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</si>
  <si>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</si>
  <si>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</si>
  <si>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</si>
  <si>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</si>
  <si>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</si>
  <si>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</si>
  <si>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</si>
  <si>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</si>
  <si>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</si>
  <si>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</si>
  <si>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</si>
  <si>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</si>
  <si>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</si>
  <si>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</si>
  <si>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</si>
  <si>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</si>
  <si>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</si>
  <si>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</si>
  <si>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</si>
  <si>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</si>
  <si>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</si>
  <si>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</si>
  <si>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</si>
  <si>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</si>
  <si>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</si>
  <si>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</si>
  <si>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</si>
  <si>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</si>
  <si>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</si>
  <si>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</si>
  <si>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</si>
  <si>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</si>
  <si>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</si>
  <si>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</si>
  <si>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</si>
  <si>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</si>
  <si>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</si>
  <si>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</si>
  <si>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</si>
  <si>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</si>
  <si>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</si>
  <si>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</si>
  <si>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</si>
  <si>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</si>
  <si>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</si>
  <si>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</si>
  <si>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</si>
  <si>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</si>
  <si>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</si>
  <si>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</si>
  <si>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</si>
  <si>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</si>
  <si>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</si>
  <si>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</si>
  <si>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</si>
  <si>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</si>
  <si>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</si>
  <si>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</si>
  <si>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</si>
  <si>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</si>
  <si>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</si>
  <si>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</si>
  <si>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</si>
  <si>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</si>
  <si>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</si>
  <si>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</si>
  <si>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A (rms)</t>
  </si>
  <si>
    <t>= Input Box</t>
  </si>
  <si>
    <t>Input capacitance</t>
  </si>
  <si>
    <t>Step 1: Operational Specs</t>
  </si>
  <si>
    <t>ms</t>
  </si>
  <si>
    <t>Tss</t>
  </si>
  <si>
    <t>Iss</t>
  </si>
  <si>
    <t>Css</t>
  </si>
  <si>
    <t>C1</t>
  </si>
  <si>
    <t>C2</t>
  </si>
  <si>
    <t>Ripple I</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</si>
  <si>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</si>
  <si>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</si>
  <si>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</si>
  <si>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</si>
  <si>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</si>
  <si>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</si>
  <si>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</si>
  <si>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</si>
  <si>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</si>
  <si>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</si>
  <si>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</si>
  <si>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</si>
  <si>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</si>
  <si>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</si>
  <si>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</si>
  <si>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</si>
  <si>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</si>
  <si>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</si>
  <si>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</si>
  <si>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</si>
  <si>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</si>
  <si>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</si>
  <si>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</si>
  <si>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</si>
  <si>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</si>
  <si>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</si>
  <si>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</si>
  <si>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</si>
  <si>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</si>
  <si>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</si>
  <si>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</si>
  <si>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</si>
  <si>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</si>
  <si>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</si>
  <si>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</si>
  <si>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</si>
  <si>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</si>
  <si>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</si>
  <si>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</si>
  <si>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</si>
  <si>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</si>
  <si>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</si>
  <si>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</si>
  <si>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</si>
  <si>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</si>
  <si>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</si>
  <si>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</si>
  <si>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</si>
  <si>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</si>
  <si>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</si>
  <si>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</si>
  <si>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</si>
  <si>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</si>
  <si>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</si>
  <si>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</si>
  <si>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</si>
  <si>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</si>
  <si>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</si>
  <si>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</si>
  <si>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</si>
  <si>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</si>
  <si>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</si>
  <si>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</si>
  <si>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</si>
  <si>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</si>
  <si>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</si>
  <si>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</si>
  <si>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</si>
  <si>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</si>
  <si>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</si>
  <si>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</si>
  <si>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</si>
  <si>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</si>
  <si>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</si>
  <si>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mV</t>
    </r>
    <r>
      <rPr>
        <b/>
        <vertAlign val="subscript"/>
        <sz val="10"/>
        <rFont val="Arial"/>
        <family val="2"/>
      </rPr>
      <t>pk-pk</t>
    </r>
  </si>
  <si>
    <r>
      <t>C</t>
    </r>
    <r>
      <rPr>
        <b/>
        <vertAlign val="subscript"/>
        <sz val="10"/>
        <rFont val="Arial"/>
        <family val="2"/>
      </rPr>
      <t>C1</t>
    </r>
  </si>
  <si>
    <r>
      <t>C</t>
    </r>
    <r>
      <rPr>
        <b/>
        <vertAlign val="subscript"/>
        <sz val="10"/>
        <rFont val="Arial"/>
        <family val="2"/>
      </rPr>
      <t>C2</t>
    </r>
  </si>
  <si>
    <r>
      <t>mV</t>
    </r>
    <r>
      <rPr>
        <vertAlign val="subscript"/>
        <sz val="10"/>
        <rFont val="Arial"/>
        <family val="2"/>
      </rPr>
      <t>pk-pk</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</si>
  <si>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</si>
  <si>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</si>
  <si>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</si>
  <si>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</si>
  <si>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</si>
  <si>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</si>
  <si>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</si>
  <si>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</si>
  <si>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</si>
  <si>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</si>
  <si>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</si>
  <si>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</si>
  <si>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</si>
  <si>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</si>
  <si>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</si>
  <si>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</si>
  <si>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</si>
  <si>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</si>
  <si>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</si>
  <si>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</si>
  <si>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</si>
  <si>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</si>
  <si>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</si>
  <si>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C1</t>
    </r>
  </si>
  <si>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</si>
  <si>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</si>
  <si>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</si>
  <si>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</si>
  <si>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</si>
  <si>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</si>
  <si>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</si>
  <si>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</si>
  <si>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</si>
  <si>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</si>
  <si>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</si>
  <si>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</si>
  <si>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</si>
  <si>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</si>
  <si>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</si>
  <si>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</si>
  <si>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</si>
  <si>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</si>
  <si>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</si>
  <si>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</si>
  <si>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</si>
  <si>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</si>
  <si>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</si>
  <si>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</si>
  <si>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Input Capacitance, C</t>
    </r>
    <r>
      <rPr>
        <b/>
        <vertAlign val="subscript"/>
        <sz val="10"/>
        <color theme="1"/>
        <rFont val="Arial"/>
        <family val="2"/>
      </rPr>
      <t>IN</t>
    </r>
    <r>
      <rPr>
        <b/>
        <sz val="10"/>
        <color theme="1"/>
        <rFont val="Arial"/>
        <family val="2"/>
      </rPr>
      <t xml:space="preserve"> </t>
    </r>
  </si>
  <si>
    <r>
      <t>Soft-Start Capacitance, C</t>
    </r>
    <r>
      <rPr>
        <vertAlign val="subscript"/>
        <sz val="10"/>
        <rFont val="Arial"/>
        <family val="2"/>
      </rPr>
      <t>SS</t>
    </r>
    <r>
      <rPr>
        <sz val="10"/>
        <rFont val="Arial"/>
        <family val="2"/>
      </rPr>
      <t xml:space="preserve"> </t>
    </r>
  </si>
  <si>
    <r>
      <t>Soft-Start Time, t</t>
    </r>
    <r>
      <rPr>
        <b/>
        <vertAlign val="subscript"/>
        <sz val="10"/>
        <color theme="1"/>
        <rFont val="Arial"/>
        <family val="2"/>
      </rPr>
      <t>SS</t>
    </r>
    <r>
      <rPr>
        <b/>
        <sz val="10"/>
        <color theme="1"/>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</si>
  <si>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</si>
  <si>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</si>
  <si>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</si>
  <si>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</si>
  <si>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</si>
  <si>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</si>
  <si>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</si>
  <si>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</si>
  <si>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</si>
  <si>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</si>
  <si>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</si>
  <si>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</si>
  <si>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</si>
  <si>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</si>
  <si>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</si>
  <si>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</si>
  <si>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</si>
  <si>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</si>
  <si>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</si>
  <si>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</si>
  <si>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</si>
  <si>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</si>
  <si>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r>
      <t>Sense Resistance, R</t>
    </r>
    <r>
      <rPr>
        <b/>
        <vertAlign val="subscript"/>
        <sz val="10"/>
        <color theme="1"/>
        <rFont val="Arial"/>
        <family val="2"/>
      </rPr>
      <t>S</t>
    </r>
  </si>
  <si>
    <t>Recommended Sense Resistance</t>
  </si>
  <si>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</si>
  <si>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</si>
  <si>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</si>
  <si>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</si>
  <si>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</si>
  <si>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</si>
  <si>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</si>
  <si>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</si>
  <si>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</si>
  <si>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</si>
  <si>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</si>
  <si>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</si>
  <si>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</si>
  <si>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</si>
  <si>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</si>
  <si>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</si>
  <si>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</si>
  <si>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</si>
  <si>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</si>
  <si>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</si>
  <si>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</si>
  <si>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</si>
  <si>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</si>
  <si>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</si>
  <si>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</si>
  <si>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</si>
  <si>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</si>
  <si>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</si>
  <si>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</si>
  <si>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</si>
  <si>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</si>
  <si>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</si>
  <si>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</si>
  <si>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</si>
  <si>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</si>
  <si>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</si>
  <si>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</si>
  <si>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</si>
  <si>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</si>
  <si>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</si>
  <si>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</si>
  <si>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</si>
  <si>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</si>
  <si>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</si>
  <si>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</si>
  <si>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</si>
  <si>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</si>
  <si>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</si>
  <si>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</si>
  <si>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</si>
  <si>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</si>
  <si>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</si>
  <si>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</si>
  <si>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</si>
  <si>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</si>
  <si>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</si>
  <si>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</si>
  <si>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</si>
  <si>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</si>
  <si>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</si>
  <si>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</si>
  <si>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</si>
  <si>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</si>
  <si>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</si>
  <si>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</si>
  <si>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</si>
  <si>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</si>
  <si>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</si>
  <si>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</si>
  <si>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</si>
  <si>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</si>
  <si>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</si>
  <si>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</si>
  <si>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</si>
  <si>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</si>
  <si>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</si>
  <si>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</si>
  <si>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</si>
  <si>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</si>
  <si>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</si>
  <si>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</si>
  <si>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</si>
  <si>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</si>
  <si>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</si>
  <si>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</si>
  <si>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</si>
  <si>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</si>
  <si>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</si>
  <si>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</si>
  <si>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</si>
  <si>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</si>
  <si>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</si>
  <si>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</si>
  <si>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</si>
  <si>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</si>
  <si>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</si>
  <si>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</si>
  <si>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</si>
  <si>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</si>
  <si>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</si>
  <si>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</si>
  <si>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</si>
  <si>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</si>
  <si>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</si>
  <si>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</si>
  <si>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</si>
  <si>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</si>
  <si>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</si>
  <si>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</si>
  <si>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</si>
  <si>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</si>
  <si>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</si>
  <si>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</si>
  <si>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</si>
  <si>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</si>
  <si>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</si>
  <si>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</si>
  <si>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</si>
  <si>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</si>
  <si>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</si>
  <si>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</si>
  <si>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</si>
  <si>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</si>
  <si>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</si>
  <si>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</si>
  <si>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</si>
  <si>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</si>
  <si>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</si>
  <si>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</si>
  <si>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</si>
  <si>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</si>
  <si>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</si>
  <si>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</si>
  <si>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</si>
  <si>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</si>
  <si>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</si>
  <si>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</si>
  <si>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</si>
  <si>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</si>
  <si>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</si>
  <si>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</si>
  <si>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</si>
  <si>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</si>
  <si>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</si>
  <si>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</si>
  <si>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</si>
  <si>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</si>
  <si>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</si>
  <si>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</si>
  <si>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</si>
  <si>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</si>
  <si>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</si>
  <si>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Effective input and output capacitances should be appropriately derated for applied voltage and temperature, particularly with ceramics **</t>
  </si>
  <si>
    <r>
      <t>C</t>
    </r>
    <r>
      <rPr>
        <vertAlign val="subscript"/>
        <sz val="10"/>
        <rFont val="Arial"/>
        <family val="2"/>
      </rPr>
      <t>DITH</t>
    </r>
  </si>
  <si>
    <r>
      <t>C</t>
    </r>
    <r>
      <rPr>
        <vertAlign val="subscript"/>
        <sz val="10"/>
        <rFont val="Arial"/>
        <family val="2"/>
      </rPr>
      <t>BOOT1</t>
    </r>
    <r>
      <rPr>
        <sz val="10"/>
        <rFont val="Arial"/>
        <family val="2"/>
      </rPr>
      <t>, C</t>
    </r>
    <r>
      <rPr>
        <vertAlign val="subscript"/>
        <sz val="10"/>
        <rFont val="Arial"/>
        <family val="2"/>
      </rPr>
      <t>BOOT2</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</si>
  <si>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</si>
  <si>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</si>
  <si>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</si>
  <si>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</si>
  <si>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</si>
  <si>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</si>
  <si>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</si>
  <si>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</si>
  <si>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</si>
  <si>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</si>
  <si>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</si>
  <si>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</si>
  <si>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</si>
  <si>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</si>
  <si>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</si>
  <si>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</si>
  <si>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</si>
  <si>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</si>
  <si>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</si>
  <si>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</si>
  <si>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</si>
  <si>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</si>
  <si>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</si>
  <si>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</si>
  <si>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</si>
  <si>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</si>
  <si>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</si>
  <si>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</si>
  <si>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</si>
  <si>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</si>
  <si>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</si>
  <si>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</si>
  <si>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</si>
  <si>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</si>
  <si>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</si>
  <si>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</si>
  <si>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</si>
  <si>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</si>
  <si>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</si>
  <si>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</si>
  <si>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</si>
  <si>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</si>
  <si>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</si>
  <si>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</si>
  <si>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</si>
  <si>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</si>
  <si>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</si>
  <si>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</si>
  <si>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</si>
  <si>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</si>
  <si>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</si>
  <si>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</si>
  <si>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</si>
  <si>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</si>
  <si>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</si>
  <si>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</si>
  <si>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</si>
  <si>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</si>
  <si>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</si>
  <si>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</si>
  <si>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r>
      <t>Q</t>
    </r>
    <r>
      <rPr>
        <vertAlign val="subscript"/>
        <sz val="10"/>
        <rFont val="Arial"/>
        <family val="2"/>
      </rPr>
      <t>3</t>
    </r>
    <r>
      <rPr>
        <sz val="10"/>
        <rFont val="Arial"/>
        <family val="2"/>
      </rPr>
      <t>, Q</t>
    </r>
    <r>
      <rPr>
        <vertAlign val="subscript"/>
        <sz val="10"/>
        <rFont val="Arial"/>
        <family val="2"/>
      </rPr>
      <t>4</t>
    </r>
  </si>
  <si>
    <t>High-side FET</t>
  </si>
  <si>
    <t>Low-side FET</t>
  </si>
  <si>
    <t>Drain-Source Resistance of Low-side FET</t>
  </si>
  <si>
    <t xml:space="preserve">Drain-Source Resistance of Top FET </t>
  </si>
  <si>
    <t>Q3: high-side</t>
  </si>
  <si>
    <t>Q4: low-side</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</si>
  <si>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</si>
  <si>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</si>
  <si>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</si>
  <si>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</si>
  <si>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</si>
  <si>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</si>
  <si>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</si>
  <si>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</si>
  <si>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</si>
  <si>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</si>
  <si>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</si>
  <si>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</si>
  <si>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</si>
  <si>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</si>
  <si>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</si>
  <si>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</si>
  <si>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</si>
  <si>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</si>
  <si>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</si>
  <si>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min of calculated inductances at VIN(min) and VIN(nom)</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</si>
  <si>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</si>
  <si>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</si>
  <si>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</si>
  <si>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</si>
  <si>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</si>
  <si>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</si>
  <si>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</si>
  <si>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</si>
  <si>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</si>
  <si>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</si>
  <si>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</si>
  <si>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</si>
  <si>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</si>
  <si>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</si>
  <si>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</si>
  <si>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</si>
  <si>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</si>
  <si>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</si>
  <si>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</si>
  <si>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</si>
  <si>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</si>
  <si>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</si>
  <si>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</si>
  <si>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</si>
  <si>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</si>
  <si>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</si>
  <si>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</si>
  <si>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</si>
  <si>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</si>
  <si>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</si>
  <si>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</si>
  <si>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</si>
  <si>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</si>
  <si>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</si>
  <si>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</si>
  <si>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</si>
  <si>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Transition Loss</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</si>
  <si>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</si>
  <si>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</si>
  <si>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</si>
  <si>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</si>
  <si>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</si>
  <si>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</si>
  <si>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</si>
  <si>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</si>
  <si>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</si>
  <si>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</si>
  <si>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</si>
  <si>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</si>
  <si>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</si>
  <si>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θJA</t>
  </si>
  <si>
    <t>10% load</t>
  </si>
  <si>
    <t>100% load</t>
  </si>
  <si>
    <t>50% load</t>
  </si>
  <si>
    <t>http://www.ti.com/nexfet</t>
  </si>
  <si>
    <r>
      <t>** For information on TI NexFET</t>
    </r>
    <r>
      <rPr>
        <vertAlign val="superscript"/>
        <sz val="10"/>
        <rFont val="Arial"/>
        <family val="2"/>
      </rPr>
      <t>TM</t>
    </r>
    <r>
      <rPr>
        <sz val="10"/>
        <rFont val="Arial"/>
        <family val="2"/>
      </rPr>
      <t xml:space="preserve"> MOSFETs, see **</t>
    </r>
  </si>
  <si>
    <t xml:space="preserve">   **</t>
  </si>
  <si>
    <t>VIN range</t>
  </si>
  <si>
    <t>DITHER Yes/No</t>
  </si>
  <si>
    <t>1 = Yes, 2 = No</t>
  </si>
  <si>
    <t>DITHER Disabled</t>
  </si>
  <si>
    <t>DITHER Enabled</t>
  </si>
  <si>
    <t>Modulating Frequency</t>
  </si>
  <si>
    <t>http://www.ti.com/product/lm5175</t>
  </si>
  <si>
    <t>VAR</t>
  </si>
  <si>
    <t>Step 4: Output Capacitors</t>
  </si>
  <si>
    <t>Step 5: Input Capacitors</t>
  </si>
  <si>
    <t>LM5143-Q1EVM-2100 PCB Layout</t>
  </si>
  <si>
    <t>Shunt or inductor DCR current sensing</t>
  </si>
  <si>
    <t>FPWM or DEM (DEMB)</t>
  </si>
  <si>
    <t>Single or dual output (MODE)</t>
  </si>
  <si>
    <t>With/without dither (DITH)</t>
  </si>
  <si>
    <t>3.3V or 5V fixed (FB1/2)</t>
  </si>
  <si>
    <t xml:space="preserve">Tie to VDDA or AGND for FPWM/DEM, respectively. </t>
  </si>
  <si>
    <t>VIN_nom</t>
  </si>
  <si>
    <t>Vout2</t>
  </si>
  <si>
    <t>Iout2</t>
  </si>
  <si>
    <t>Rout2</t>
  </si>
  <si>
    <t>Load resistance - Channel 1</t>
  </si>
  <si>
    <t>Calculate input power assuming finite efficiency</t>
  </si>
  <si>
    <t>Single/Dual Yes/No</t>
  </si>
  <si>
    <t>Ch2 Recommended Inductance</t>
  </si>
  <si>
    <r>
      <t>Ch2 Inductance, L</t>
    </r>
    <r>
      <rPr>
        <b/>
        <vertAlign val="subscript"/>
        <sz val="10"/>
        <color theme="1"/>
        <rFont val="Arial"/>
        <family val="2"/>
      </rPr>
      <t>O2</t>
    </r>
    <r>
      <rPr>
        <b/>
        <sz val="10"/>
        <color theme="1"/>
        <rFont val="Arial"/>
        <family val="2"/>
      </rPr>
      <t xml:space="preserve"> </t>
    </r>
  </si>
  <si>
    <r>
      <t>Ch1 Inductance, L</t>
    </r>
    <r>
      <rPr>
        <b/>
        <vertAlign val="subscript"/>
        <sz val="10"/>
        <color theme="1"/>
        <rFont val="Arial"/>
        <family val="2"/>
      </rPr>
      <t>O1</t>
    </r>
    <r>
      <rPr>
        <b/>
        <sz val="10"/>
        <color theme="1"/>
        <rFont val="Arial"/>
        <family val="2"/>
      </rPr>
      <t xml:space="preserve"> </t>
    </r>
  </si>
  <si>
    <t xml:space="preserve">Ch1 Inductor DCR </t>
  </si>
  <si>
    <t xml:space="preserve">Ch2 Inductor DCR </t>
  </si>
  <si>
    <r>
      <t>Output Voltage, V</t>
    </r>
    <r>
      <rPr>
        <b/>
        <vertAlign val="subscript"/>
        <sz val="10"/>
        <color theme="1"/>
        <rFont val="Arial"/>
        <family val="2"/>
      </rPr>
      <t>OUT2</t>
    </r>
    <r>
      <rPr>
        <b/>
        <sz val="10"/>
        <color theme="1"/>
        <rFont val="Arial"/>
        <family val="2"/>
      </rPr>
      <t xml:space="preserve"> </t>
    </r>
  </si>
  <si>
    <r>
      <t>Full Load Output Current, I</t>
    </r>
    <r>
      <rPr>
        <b/>
        <vertAlign val="subscript"/>
        <sz val="10"/>
        <color theme="1"/>
        <rFont val="Arial"/>
        <family val="2"/>
      </rPr>
      <t>OUT2</t>
    </r>
  </si>
  <si>
    <t>Output voltage - channel 1</t>
  </si>
  <si>
    <t>Output current - channel 1</t>
  </si>
  <si>
    <t>Output current - channel 2</t>
  </si>
  <si>
    <t>Output voltage - channel 2</t>
  </si>
  <si>
    <t>Switching period</t>
  </si>
  <si>
    <t>Reference voltage</t>
  </si>
  <si>
    <t>Frequency set resistor</t>
  </si>
  <si>
    <t>Nominal switching frequency - determines RT resistor (SYNCIN must be 80-120% of this)</t>
  </si>
  <si>
    <t>L_slopecomp</t>
  </si>
  <si>
    <t>Inductor copper temerature</t>
  </si>
  <si>
    <t>Channel 1</t>
  </si>
  <si>
    <t>Channel 2</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</si>
  <si>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</si>
  <si>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</si>
  <si>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</si>
  <si>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</si>
  <si>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</si>
  <si>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</si>
  <si>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</si>
  <si>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</si>
  <si>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</si>
  <si>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</si>
  <si>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</si>
  <si>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</si>
  <si>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</si>
  <si>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</si>
  <si>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</si>
  <si>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</si>
  <si>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</si>
  <si>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Max power loss in shunt</t>
  </si>
  <si>
    <t>Lo</t>
  </si>
  <si>
    <t>Note this is power loss at full load - not loss near OCP!</t>
  </si>
  <si>
    <t>Ripple current at Vin(max)</t>
  </si>
  <si>
    <r>
      <t>I</t>
    </r>
    <r>
      <rPr>
        <vertAlign val="subscript"/>
        <sz val="10"/>
        <rFont val="Arial"/>
        <family val="2"/>
      </rPr>
      <t>OUT2(typ)</t>
    </r>
    <r>
      <rPr>
        <sz val="10"/>
        <rFont val="Arial"/>
        <family val="2"/>
      </rPr>
      <t xml:space="preserve"> at OCP Inception:</t>
    </r>
  </si>
  <si>
    <r>
      <t>Min Inductor Sat Current, I</t>
    </r>
    <r>
      <rPr>
        <vertAlign val="subscript"/>
        <sz val="10"/>
        <color theme="1"/>
        <rFont val="Arial"/>
        <family val="2"/>
      </rPr>
      <t>LO2(SAT)</t>
    </r>
  </si>
  <si>
    <r>
      <t>Max power loss in shunt R</t>
    </r>
    <r>
      <rPr>
        <vertAlign val="subscript"/>
        <sz val="10"/>
        <color theme="1"/>
        <rFont val="Arial"/>
        <family val="2"/>
      </rPr>
      <t>S2</t>
    </r>
  </si>
  <si>
    <r>
      <rPr>
        <sz val="10"/>
        <rFont val="Symbol"/>
        <family val="1"/>
        <charset val="2"/>
      </rPr>
      <t>D</t>
    </r>
    <r>
      <rPr>
        <sz val="10"/>
        <rFont val="Arial"/>
        <family val="2"/>
      </rPr>
      <t>I</t>
    </r>
    <r>
      <rPr>
        <vertAlign val="subscript"/>
        <sz val="10"/>
        <rFont val="Arial"/>
        <family val="2"/>
      </rPr>
      <t>L2</t>
    </r>
    <r>
      <rPr>
        <sz val="10"/>
        <rFont val="Arial"/>
        <family val="2"/>
      </rPr>
      <t xml:space="preserve"> as a % at V</t>
    </r>
    <r>
      <rPr>
        <vertAlign val="subscript"/>
        <sz val="10"/>
        <rFont val="Arial"/>
        <family val="2"/>
      </rPr>
      <t>IN(nom)</t>
    </r>
  </si>
  <si>
    <r>
      <t>Sense Resistance, R</t>
    </r>
    <r>
      <rPr>
        <b/>
        <vertAlign val="subscript"/>
        <sz val="10"/>
        <color theme="1"/>
        <rFont val="Arial"/>
        <family val="2"/>
      </rPr>
      <t>S2</t>
    </r>
  </si>
  <si>
    <t>FPWM</t>
  </si>
  <si>
    <t>DEM</t>
  </si>
  <si>
    <t>FPWM/DEM</t>
  </si>
  <si>
    <t>Step 6b: Other Components - Dither, Hiccup, DEMB, MODE</t>
  </si>
  <si>
    <t>Tres</t>
  </si>
  <si>
    <t>Cres</t>
  </si>
  <si>
    <t>Cres_u</t>
  </si>
  <si>
    <r>
      <t>RES Capacitance, C</t>
    </r>
    <r>
      <rPr>
        <vertAlign val="subscript"/>
        <sz val="10"/>
        <rFont val="Arial"/>
        <family val="2"/>
      </rPr>
      <t>RES</t>
    </r>
    <r>
      <rPr>
        <sz val="10"/>
        <rFont val="Arial"/>
        <family val="2"/>
      </rPr>
      <t xml:space="preserve"> </t>
    </r>
  </si>
  <si>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</si>
  <si>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</si>
  <si>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</si>
  <si>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</si>
  <si>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</si>
  <si>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</si>
  <si>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</si>
  <si>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t>Step 6: Soft-start, Hiccup, Dither, DEMB, MODE</t>
  </si>
  <si>
    <r>
      <t>Min Inductor Sat Current, I</t>
    </r>
    <r>
      <rPr>
        <vertAlign val="subscript"/>
        <sz val="10"/>
        <color theme="1"/>
        <rFont val="Arial"/>
        <family val="2"/>
      </rPr>
      <t>LO(SAT)</t>
    </r>
  </si>
  <si>
    <t xml:space="preserve">Ch2 Output Capacitor ESR </t>
  </si>
  <si>
    <t xml:space="preserve">Ch2 Maximum Permitted ESR </t>
  </si>
  <si>
    <t>Ch2 Output Voltage Ripple Spec</t>
  </si>
  <si>
    <t xml:space="preserve">Ch2 Minimum Output Capacitance </t>
  </si>
  <si>
    <r>
      <t>Hiccup Fault Time, t</t>
    </r>
    <r>
      <rPr>
        <b/>
        <vertAlign val="subscript"/>
        <sz val="10"/>
        <color theme="1"/>
        <rFont val="Arial"/>
        <family val="2"/>
      </rPr>
      <t>RES</t>
    </r>
    <r>
      <rPr>
        <b/>
        <sz val="10"/>
        <color theme="1"/>
        <rFont val="Arial"/>
        <family val="2"/>
      </rPr>
      <t xml:space="preserve"> </t>
    </r>
  </si>
  <si>
    <t>VCC</t>
  </si>
  <si>
    <t>mc = 1 + Se/Sf for peak current-mode buck</t>
  </si>
  <si>
    <t>mc*(1-d)</t>
  </si>
  <si>
    <t>Ch1 Recommended Inductance</t>
  </si>
  <si>
    <t>This along with Rcea1 will set a zero at Fcrossover/5 to optimize phase margin</t>
  </si>
  <si>
    <t>Ch2 Load Pole Frequency</t>
  </si>
  <si>
    <t>Ch2 Error Amp Pole Frequency</t>
  </si>
  <si>
    <t>Ch2 Desired Crossover Frequency</t>
  </si>
  <si>
    <r>
      <t>Ch2</t>
    </r>
    <r>
      <rPr>
        <sz val="10"/>
        <rFont val="Arial"/>
        <family val="2"/>
      </rPr>
      <t xml:space="preserve"> ESR Zero Frequency </t>
    </r>
  </si>
  <si>
    <r>
      <t>R</t>
    </r>
    <r>
      <rPr>
        <b/>
        <vertAlign val="subscript"/>
        <sz val="10"/>
        <rFont val="Arial"/>
        <family val="2"/>
      </rPr>
      <t>C1</t>
    </r>
  </si>
  <si>
    <r>
      <t>R</t>
    </r>
    <r>
      <rPr>
        <b/>
        <vertAlign val="subscript"/>
        <sz val="10"/>
        <rFont val="Arial"/>
        <family val="2"/>
      </rPr>
      <t>C2</t>
    </r>
  </si>
  <si>
    <r>
      <t>C</t>
    </r>
    <r>
      <rPr>
        <b/>
        <vertAlign val="subscript"/>
        <sz val="10"/>
        <rFont val="Arial"/>
        <family val="2"/>
      </rPr>
      <t>C3</t>
    </r>
  </si>
  <si>
    <r>
      <t>C</t>
    </r>
    <r>
      <rPr>
        <b/>
        <vertAlign val="subscript"/>
        <sz val="10"/>
        <rFont val="Arial"/>
        <family val="2"/>
      </rPr>
      <t>C4</t>
    </r>
  </si>
  <si>
    <t>3.3V</t>
  </si>
  <si>
    <t>5V</t>
  </si>
  <si>
    <t>Adjustable</t>
  </si>
  <si>
    <t>Ch1 Output Setting</t>
  </si>
  <si>
    <t>Ch2 Output Setting</t>
  </si>
  <si>
    <r>
      <t>kHz (F</t>
    </r>
    <r>
      <rPr>
        <vertAlign val="subscript"/>
        <sz val="10"/>
        <rFont val="Arial"/>
        <family val="2"/>
      </rPr>
      <t>ZCOMP2</t>
    </r>
    <r>
      <rPr>
        <sz val="10"/>
        <rFont val="Arial"/>
        <family val="2"/>
      </rPr>
      <t>)</t>
    </r>
  </si>
  <si>
    <r>
      <t>kHz (F</t>
    </r>
    <r>
      <rPr>
        <vertAlign val="subscript"/>
        <sz val="10"/>
        <rFont val="Arial"/>
        <family val="2"/>
      </rPr>
      <t>PCOMP2</t>
    </r>
    <r>
      <rPr>
        <sz val="10"/>
        <rFont val="Arial"/>
        <family val="2"/>
      </rPr>
      <t>)</t>
    </r>
  </si>
  <si>
    <r>
      <t>Hz   (F</t>
    </r>
    <r>
      <rPr>
        <vertAlign val="subscript"/>
        <sz val="10"/>
        <rFont val="Arial"/>
        <family val="2"/>
      </rPr>
      <t>PEA2</t>
    </r>
    <r>
      <rPr>
        <sz val="10"/>
        <rFont val="Arial"/>
        <family val="2"/>
      </rPr>
      <t>)</t>
    </r>
  </si>
  <si>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</si>
  <si>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</si>
  <si>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</si>
  <si>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</si>
  <si>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</si>
  <si>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</si>
  <si>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</si>
  <si>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</si>
  <si>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</si>
  <si>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</si>
  <si>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</si>
  <si>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</si>
  <si>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</si>
  <si>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</si>
  <si>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</si>
  <si>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</si>
  <si>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Rfb3</t>
  </si>
  <si>
    <t>Rfb4</t>
  </si>
  <si>
    <t>High- &amp; low-side MOSFETs - Ch1</t>
  </si>
  <si>
    <t>High- &amp; low-side MOSFETs - Ch2</t>
  </si>
  <si>
    <t>with 170mA current limit</t>
  </si>
  <si>
    <t>Quiescent Current of LM5143-Q1 Controller (One channel disabled)</t>
  </si>
  <si>
    <t>Controller Characteristics</t>
  </si>
  <si>
    <t>Gate Charge at VCC = 5V</t>
  </si>
  <si>
    <t>Drain-Source Resistances of Channel 1 FETs</t>
  </si>
  <si>
    <t>Drain-Source Resistances of Channel 2 FETs</t>
  </si>
  <si>
    <t>Junction-to-Ambient Resistance</t>
  </si>
  <si>
    <t>Transconductance</t>
  </si>
  <si>
    <t>Threshold Voltage</t>
  </si>
  <si>
    <t>Switch Point Voltage of FETs</t>
  </si>
  <si>
    <t>** Specify Inductor Core Loss **</t>
  </si>
  <si>
    <t>Control MOSFET Loss</t>
  </si>
  <si>
    <t>SYNC MOSFET Loss</t>
  </si>
  <si>
    <t>BUCK CONTROLLER POWER DESIGN TOOL</t>
  </si>
  <si>
    <t>High-side</t>
  </si>
  <si>
    <t>High Efficiency Synchronous Buck Regulator BOM</t>
  </si>
  <si>
    <t>LM5143-Q1</t>
  </si>
  <si>
    <t>VQFN-40</t>
  </si>
  <si>
    <r>
      <t>L</t>
    </r>
    <r>
      <rPr>
        <vertAlign val="subscript"/>
        <sz val="10"/>
        <rFont val="Arial"/>
        <family val="2"/>
      </rPr>
      <t>O1</t>
    </r>
  </si>
  <si>
    <r>
      <t>L</t>
    </r>
    <r>
      <rPr>
        <vertAlign val="subscript"/>
        <sz val="10"/>
        <rFont val="Arial"/>
        <family val="2"/>
      </rPr>
      <t>O2</t>
    </r>
  </si>
  <si>
    <r>
      <t>D</t>
    </r>
    <r>
      <rPr>
        <vertAlign val="subscript"/>
        <sz val="10"/>
        <rFont val="Arial"/>
        <family val="2"/>
      </rPr>
      <t>BOOT1</t>
    </r>
    <r>
      <rPr>
        <sz val="10"/>
        <rFont val="Arial"/>
        <family val="2"/>
      </rPr>
      <t>, D</t>
    </r>
    <r>
      <rPr>
        <vertAlign val="subscript"/>
        <sz val="10"/>
        <rFont val="Arial"/>
        <family val="2"/>
      </rPr>
      <t>BOOT2</t>
    </r>
  </si>
  <si>
    <r>
      <t>R</t>
    </r>
    <r>
      <rPr>
        <vertAlign val="subscript"/>
        <sz val="10"/>
        <rFont val="Arial"/>
        <family val="2"/>
      </rPr>
      <t>C2</t>
    </r>
  </si>
  <si>
    <r>
      <t>R</t>
    </r>
    <r>
      <rPr>
        <vertAlign val="subscript"/>
        <sz val="10"/>
        <rFont val="Arial"/>
        <family val="2"/>
      </rPr>
      <t>S1</t>
    </r>
  </si>
  <si>
    <t>0508</t>
  </si>
  <si>
    <r>
      <t>R</t>
    </r>
    <r>
      <rPr>
        <vertAlign val="subscript"/>
        <sz val="10"/>
        <rFont val="Arial"/>
        <family val="2"/>
      </rPr>
      <t>S2</t>
    </r>
  </si>
  <si>
    <r>
      <t>R</t>
    </r>
    <r>
      <rPr>
        <vertAlign val="subscript"/>
        <sz val="10"/>
        <rFont val="Arial"/>
        <family val="2"/>
      </rPr>
      <t>FB3</t>
    </r>
  </si>
  <si>
    <r>
      <t>R</t>
    </r>
    <r>
      <rPr>
        <vertAlign val="subscript"/>
        <sz val="10"/>
        <rFont val="Arial"/>
        <family val="2"/>
      </rPr>
      <t>FB4</t>
    </r>
  </si>
  <si>
    <r>
      <t>C</t>
    </r>
    <r>
      <rPr>
        <vertAlign val="subscript"/>
        <sz val="10"/>
        <rFont val="Arial"/>
        <family val="2"/>
      </rPr>
      <t>SS1</t>
    </r>
    <r>
      <rPr>
        <sz val="10"/>
        <rFont val="Arial"/>
        <family val="2"/>
      </rPr>
      <t>, C</t>
    </r>
    <r>
      <rPr>
        <vertAlign val="subscript"/>
        <sz val="10"/>
        <rFont val="Arial"/>
        <family val="2"/>
      </rPr>
      <t>SS2</t>
    </r>
  </si>
  <si>
    <r>
      <t>C</t>
    </r>
    <r>
      <rPr>
        <vertAlign val="subscript"/>
        <sz val="10"/>
        <rFont val="Arial"/>
        <family val="2"/>
      </rPr>
      <t>VCC1</t>
    </r>
    <r>
      <rPr>
        <sz val="10"/>
        <rFont val="Arial"/>
        <family val="2"/>
      </rPr>
      <t>, C</t>
    </r>
    <r>
      <rPr>
        <vertAlign val="subscript"/>
        <sz val="10"/>
        <rFont val="Arial"/>
        <family val="2"/>
      </rPr>
      <t>VCC2</t>
    </r>
    <r>
      <rPr>
        <sz val="10"/>
        <rFont val="Arial"/>
        <family val="2"/>
      </rPr>
      <t>, C</t>
    </r>
    <r>
      <rPr>
        <vertAlign val="subscript"/>
        <sz val="10"/>
        <rFont val="Arial"/>
        <family val="2"/>
      </rPr>
      <t>VCCX</t>
    </r>
  </si>
  <si>
    <r>
      <t>C</t>
    </r>
    <r>
      <rPr>
        <vertAlign val="subscript"/>
        <sz val="10"/>
        <rFont val="Arial"/>
        <family val="2"/>
      </rPr>
      <t>RES</t>
    </r>
  </si>
  <si>
    <r>
      <t>C</t>
    </r>
    <r>
      <rPr>
        <vertAlign val="subscript"/>
        <sz val="10"/>
        <rFont val="Arial"/>
        <family val="2"/>
      </rPr>
      <t>C3</t>
    </r>
  </si>
  <si>
    <r>
      <t>C</t>
    </r>
    <r>
      <rPr>
        <vertAlign val="subscript"/>
        <sz val="10"/>
        <rFont val="Arial"/>
        <family val="2"/>
      </rPr>
      <t>C4</t>
    </r>
  </si>
  <si>
    <r>
      <t>C</t>
    </r>
    <r>
      <rPr>
        <vertAlign val="subscript"/>
        <sz val="10"/>
        <rFont val="Arial"/>
        <family val="2"/>
      </rPr>
      <t>VDDA</t>
    </r>
  </si>
  <si>
    <r>
      <t>R</t>
    </r>
    <r>
      <rPr>
        <vertAlign val="subscript"/>
        <sz val="10"/>
        <rFont val="Arial"/>
        <family val="2"/>
      </rPr>
      <t>PGOOD1</t>
    </r>
    <r>
      <rPr>
        <sz val="10"/>
        <rFont val="Arial"/>
        <family val="2"/>
      </rPr>
      <t>, R</t>
    </r>
    <r>
      <rPr>
        <vertAlign val="subscript"/>
        <sz val="10"/>
        <rFont val="Arial"/>
        <family val="2"/>
      </rPr>
      <t>PGOOD2</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</si>
  <si>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</si>
  <si>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</si>
  <si>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</si>
  <si>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</si>
  <si>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</si>
  <si>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r>
      <t>(Q</t>
    </r>
    <r>
      <rPr>
        <b/>
        <vertAlign val="subscript"/>
        <sz val="10"/>
        <color rgb="FF0000FF"/>
        <rFont val="Arial"/>
        <family val="2"/>
      </rPr>
      <t>3</t>
    </r>
    <r>
      <rPr>
        <b/>
        <sz val="10"/>
        <color rgb="FF0000FF"/>
        <rFont val="Arial"/>
        <family val="2"/>
      </rPr>
      <t>, Q</t>
    </r>
    <r>
      <rPr>
        <b/>
        <vertAlign val="subscript"/>
        <sz val="10"/>
        <color rgb="FF0000FF"/>
        <rFont val="Arial"/>
        <family val="2"/>
      </rPr>
      <t>4</t>
    </r>
    <r>
      <rPr>
        <b/>
        <sz val="10"/>
        <color rgb="FF0000FF"/>
        <rFont val="Arial"/>
        <family val="2"/>
      </rPr>
      <t xml:space="preserve">) </t>
    </r>
  </si>
  <si>
    <t>Dual  Outputs</t>
  </si>
  <si>
    <t>Single Output – 2  Phases</t>
  </si>
  <si>
    <t>Single Output – 3  Phases</t>
  </si>
  <si>
    <t>Single Output – 4  Phases</t>
  </si>
  <si>
    <t>BODE_PLOT_TYPE</t>
  </si>
  <si>
    <r>
      <t xml:space="preserve">   ** For </t>
    </r>
    <r>
      <rPr>
        <b/>
        <sz val="10"/>
        <color rgb="FFFF0000"/>
        <rFont val="Arial"/>
        <family val="2"/>
      </rPr>
      <t>Dual-Output Operation</t>
    </r>
    <r>
      <rPr>
        <sz val="10"/>
        <rFont val="Arial"/>
        <family val="2"/>
      </rPr>
      <t>, tie FB1/FB2 to to VDDA for Fixed 3.3V, AGND for Fixed 5V Output **</t>
    </r>
  </si>
  <si>
    <t xml:space="preserve">   ** Tie MODE to VDDA for Single, AGND for Dual Outputs **</t>
  </si>
  <si>
    <t xml:space="preserve">   ** Tie DEMB to VDDA for FPWM, AGND for DCM **</t>
  </si>
  <si>
    <r>
      <t xml:space="preserve">   ** For </t>
    </r>
    <r>
      <rPr>
        <b/>
        <sz val="10"/>
        <color rgb="FFFF0000"/>
        <rFont val="Arial"/>
        <family val="2"/>
      </rPr>
      <t>Single-Output Operation in 2-Phase Mode</t>
    </r>
    <r>
      <rPr>
        <sz val="10"/>
        <rFont val="Arial"/>
        <family val="2"/>
      </rPr>
      <t>, tie MODE to VDDA and use FB1 to set VOUT. Connect FB2 to AGND to disable EA of channel 2 **</t>
    </r>
  </si>
  <si>
    <r>
      <t xml:space="preserve">   ** For </t>
    </r>
    <r>
      <rPr>
        <b/>
        <sz val="10"/>
        <color rgb="FFFF0000"/>
        <rFont val="Arial"/>
        <family val="2"/>
      </rPr>
      <t>Single-Output Operation in 3-Phase or 4-Phase Mode</t>
    </r>
    <r>
      <rPr>
        <sz val="10"/>
        <rFont val="Arial"/>
        <family val="2"/>
      </rPr>
      <t>, tie all MODE pins to VDDA. Use FB1 of master IC to set VOUT. Connect FB2 of master IC to AGND. Connect FB2 of slave IC to VDDA to configure it as a slave **</t>
    </r>
  </si>
  <si>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</si>
  <si>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</si>
  <si>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</si>
  <si>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</si>
  <si>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</si>
  <si>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</si>
  <si>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</si>
  <si>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</si>
  <si>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</si>
  <si>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</si>
  <si>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R</t>
    </r>
    <r>
      <rPr>
        <vertAlign val="subscript"/>
        <sz val="10"/>
        <rFont val="Arial"/>
        <family val="2"/>
      </rPr>
      <t>DEMB</t>
    </r>
  </si>
  <si>
    <r>
      <t>R</t>
    </r>
    <r>
      <rPr>
        <vertAlign val="subscript"/>
        <sz val="10"/>
        <rFont val="Arial"/>
        <family val="2"/>
      </rPr>
      <t>PG1</t>
    </r>
    <r>
      <rPr>
        <sz val="10"/>
        <rFont val="Arial"/>
        <family val="2"/>
      </rPr>
      <t>, R</t>
    </r>
    <r>
      <rPr>
        <vertAlign val="subscript"/>
        <sz val="10"/>
        <rFont val="Arial"/>
        <family val="2"/>
      </rPr>
      <t>PG2</t>
    </r>
  </si>
  <si>
    <t>Schottky Diode, 60V, 200mA</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</si>
  <si>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</si>
  <si>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</si>
  <si>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</si>
  <si>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</si>
  <si>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</si>
  <si>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</si>
  <si>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</si>
  <si>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</si>
  <si>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</si>
  <si>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</si>
  <si>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</si>
  <si>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Css2</t>
  </si>
  <si>
    <t>I_VCC</t>
  </si>
  <si>
    <t>LDO Loss Saved from Gate Drive Current (ext VCC)</t>
  </si>
  <si>
    <t>IC Power Dissipation</t>
  </si>
  <si>
    <t>Step 2: Current Sense Resistors</t>
  </si>
  <si>
    <t>Step 3: Buck Inductances</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</si>
  <si>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</si>
  <si>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</si>
  <si>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</si>
  <si>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</si>
  <si>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</si>
  <si>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</si>
  <si>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</si>
  <si>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</si>
  <si>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</si>
  <si>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</si>
  <si>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</si>
  <si>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</si>
  <si>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</si>
  <si>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</si>
  <si>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</si>
  <si>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</si>
  <si>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</si>
  <si>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</si>
  <si>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</si>
  <si>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</si>
  <si>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</si>
  <si>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</si>
  <si>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</si>
  <si>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Valley inductor Current</t>
  </si>
  <si>
    <t>SW node voltage at Q3 turn-on</t>
  </si>
  <si>
    <t>14ns for LM513-Q1</t>
  </si>
  <si>
    <t>Tsw (us)</t>
  </si>
  <si>
    <t>Slope comp amplitude</t>
  </si>
  <si>
    <r>
      <t>Output Capacitance (derated), C</t>
    </r>
    <r>
      <rPr>
        <b/>
        <vertAlign val="subscript"/>
        <sz val="10"/>
        <rFont val="Arial"/>
        <family val="2"/>
      </rPr>
      <t>OUT</t>
    </r>
    <r>
      <rPr>
        <b/>
        <sz val="10"/>
        <rFont val="Arial"/>
        <family val="2"/>
      </rPr>
      <t xml:space="preserve"> </t>
    </r>
  </si>
  <si>
    <r>
      <t>Ch2 Output Cap (derated), C</t>
    </r>
    <r>
      <rPr>
        <b/>
        <vertAlign val="subscript"/>
        <sz val="10"/>
        <rFont val="Arial"/>
        <family val="2"/>
      </rPr>
      <t>OUT2</t>
    </r>
    <r>
      <rPr>
        <b/>
        <sz val="10"/>
        <rFont val="Arial"/>
        <family val="2"/>
      </rPr>
      <t xml:space="preserve"> </t>
    </r>
  </si>
  <si>
    <t xml:space="preserve">                        LM(2)5143/-Q1 Synchronous Buck Controller Design Tool</t>
  </si>
  <si>
    <t>VARIANT</t>
  </si>
  <si>
    <t>VIN-MAX</t>
  </si>
  <si>
    <t>LM5143</t>
  </si>
  <si>
    <t>LM25143-Q1</t>
  </si>
  <si>
    <t>LM25143</t>
  </si>
  <si>
    <t>VOUT-MAX</t>
  </si>
  <si>
    <t xml:space="preserve"> LM(2)5143/-Q1 Quickstart Design Tool</t>
  </si>
  <si>
    <t>Shunt current sensing</t>
  </si>
  <si>
    <t>Inductor DCR current sensing</t>
  </si>
  <si>
    <t>SENSING_TYPE</t>
  </si>
  <si>
    <t>LM5143A-Q1</t>
  </si>
  <si>
    <t>NVMFS5H663, NVMFS5C628NL</t>
  </si>
  <si>
    <t>IGC025S08S1, IGC025S08S1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</si>
</sst>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_(* \(#,##0.00\);_(* &quot;-&quot;??_);_(@_)"/>
    <numFmt numFmtId="165" formatCode="0.000000"/>
    <numFmt numFmtId="166" formatCode="0.00000"/>
    <numFmt numFmtId="167" formatCode="0.0000"/>
    <numFmt numFmtId="168" formatCode="0.000"/>
    <numFmt numFmtId="169" formatCode="0.0"/>
    <numFmt numFmtId="170" formatCode="0.000E+00"/>
    <numFmt numFmtId="171" formatCode="0.00000000"/>
    <numFmt numFmtId="172" formatCode="#0.0#"/>
    <numFmt numFmtId="173" formatCode="General&quot;nF&quot;"/>
    <numFmt numFmtId="174" formatCode="General&quot;k&quot;"/>
    <numFmt numFmtId="175" formatCode="General&quot;pF&quot;"/>
    <numFmt numFmtId="176" formatCode="General&quot;µF&quot;"/>
    <numFmt numFmtId="177" formatCode="&quot;Capacitor, Ceramic, &quot;General&quot;-µF, 25V, X5R, 20%&quot;"/>
    <numFmt numFmtId="178" formatCode="&quot;Capacitor, Ceramic, &quot;General&quot;-pF, 50V, NP0, 5%&quot;"/>
    <numFmt numFmtId="179" formatCode="&quot;Capacitor, Ceramic, &quot;General&quot;-nF, 16V, X7R, 10%&quot;"/>
    <numFmt numFmtId="180" formatCode="&quot;Capacitor, Ceramic, &quot;General&quot;-µF, 25V, X7R, 20%&quot;"/>
    <numFmt numFmtId="181" formatCode="General&quot;µH&quot;"/>
    <numFmt numFmtId="182" formatCode="&quot;Inductor, &quot;General&quot;-µH, 10%&quot;"/>
    <numFmt numFmtId="183" formatCode="&quot;Resistor, Chip, &quot;General&quot;-kΩ, 1/16W, 1%&quot;"/>
    <numFmt numFmtId="184" formatCode="&quot;Resistor, Chip, &quot;General&quot;-Ω, 1/16W, 1%&quot;"/>
    <numFmt numFmtId="185" formatCode="0.0%"/>
    <numFmt numFmtId="186" formatCode="0.0E+00"/>
    <numFmt numFmtId="187" formatCode="General&quot;m&quot;"/>
    <numFmt numFmtId="188" formatCode="&quot;Capacitor, Ceramic, &quot;General&quot;-µF, 50V, X7R, 20%&quot;"/>
    <numFmt numFmtId="189" formatCode="&quot;Resistor, Chip, &quot;General&quot;-mΩ, 2W, 1%&quot;"/>
    <numFmt numFmtId="190" formatCode="0.0.E+00"/>
    <numFmt numFmtId="191" formatCode="&quot;MOSFET, N-CH, 40V, &quot;General&quot;mΩ&quot;"/>
    <numFmt numFmtId="192" formatCode="&quot;Capacitor, Ceramic, &quot;General&quot;-µF, 10V, X7R, 20%&quot;"/>
  </numFmts>
  <fonts count="90"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sz val="8"/>
      <color indexed="10"/>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perscript"/>
      <sz val="10"/>
      <name val="Arial"/>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10"/>
      <color rgb="FFCC00FF"/>
      <name val="Arial"/>
      <family val="2"/>
    </font>
    <font>
      <b/>
      <sz val="9"/>
      <color rgb="FF000000"/>
      <name val="Arial"/>
      <family val="2"/>
    </font>
  </fonts>
  <fills count="28">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92D050"/>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top style="medium">
        <color indexed="64"/>
      </top>
      <bottom style="thin">
        <color indexed="64"/>
      </bottom>
      <diagonal/>
    </border>
  </borders>
  <cellStyleXfs count="6">
    <xf numFmtId="0" fontId="0" fillId="0" borderId="0"/>
    <xf numFmtId="164"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164" fontId="1" fillId="0" borderId="0" applyFont="0" applyFill="0" applyBorder="0" applyAlignment="0" applyProtection="0"/>
  </cellStyleXfs>
  <cellXfs count="769">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70"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9"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6" fontId="0" fillId="0" borderId="0" xfId="0" applyNumberFormat="1"/>
    <xf numFmtId="172" fontId="17" fillId="3" borderId="0" xfId="0" applyNumberFormat="1" applyFont="1" applyFill="1" applyAlignment="1">
      <alignment horizontal="center"/>
    </xf>
    <xf numFmtId="172"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center"/>
    </xf>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8" fontId="17" fillId="9" borderId="0" xfId="0" applyNumberFormat="1" applyFont="1" applyFill="1"/>
    <xf numFmtId="171" fontId="17" fillId="9" borderId="0" xfId="0" applyNumberFormat="1" applyFont="1" applyFill="1"/>
    <xf numFmtId="167"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4"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7" fillId="9" borderId="0" xfId="0" applyFont="1" applyFill="1"/>
    <xf numFmtId="1" fontId="3" fillId="19" borderId="0" xfId="0" applyNumberFormat="1" applyFont="1" applyFill="1" applyProtection="1">
      <protection locked="0"/>
    </xf>
    <xf numFmtId="0" fontId="59" fillId="9" borderId="0" xfId="0" applyFont="1" applyFill="1"/>
    <xf numFmtId="0" fontId="3" fillId="9" borderId="0" xfId="0" applyFont="1" applyFill="1"/>
    <xf numFmtId="169" fontId="3" fillId="9" borderId="0" xfId="0" applyNumberFormat="1" applyFont="1" applyFill="1"/>
    <xf numFmtId="0" fontId="2" fillId="16" borderId="0" xfId="0" applyFont="1" applyFill="1"/>
    <xf numFmtId="0" fontId="3" fillId="9" borderId="28" xfId="0" applyFont="1" applyFill="1" applyBorder="1"/>
    <xf numFmtId="0" fontId="59" fillId="16" borderId="0" xfId="0" applyFont="1" applyFill="1"/>
    <xf numFmtId="1" fontId="56" fillId="9" borderId="0" xfId="0" applyNumberFormat="1" applyFont="1" applyFill="1" applyAlignment="1">
      <alignment horizontal="right"/>
    </xf>
    <xf numFmtId="0" fontId="61" fillId="15" borderId="19" xfId="0" applyFont="1" applyFill="1" applyBorder="1"/>
    <xf numFmtId="0" fontId="59" fillId="9" borderId="0" xfId="0" applyFont="1" applyFill="1" applyAlignment="1">
      <alignment vertical="center"/>
    </xf>
    <xf numFmtId="0" fontId="7" fillId="9" borderId="0" xfId="0" applyFont="1" applyFill="1" applyAlignment="1">
      <alignment horizontal="right"/>
    </xf>
    <xf numFmtId="169"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62" fillId="9" borderId="0" xfId="0" applyFont="1" applyFill="1"/>
    <xf numFmtId="0" fontId="2" fillId="9" borderId="0" xfId="0" applyFont="1" applyFill="1" applyAlignment="1">
      <alignment horizontal="left"/>
    </xf>
    <xf numFmtId="0" fontId="60" fillId="19" borderId="0" xfId="0" applyFont="1" applyFill="1" applyAlignment="1" applyProtection="1">
      <alignment horizontal="right"/>
      <protection locked="0" hidden="1"/>
    </xf>
    <xf numFmtId="0" fontId="63" fillId="15" borderId="19" xfId="0" applyFont="1" applyFill="1" applyBorder="1"/>
    <xf numFmtId="0" fontId="22" fillId="9" borderId="28" xfId="0" applyFont="1" applyFill="1" applyBorder="1"/>
    <xf numFmtId="1" fontId="2" fillId="9" borderId="0" xfId="0" applyNumberFormat="1" applyFont="1" applyFill="1"/>
    <xf numFmtId="0" fontId="65"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5"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60" fillId="19" borderId="41" xfId="0" applyFont="1" applyFill="1" applyBorder="1" applyAlignment="1" applyProtection="1">
      <alignment horizontal="right"/>
      <protection locked="0" hidden="1"/>
    </xf>
    <xf numFmtId="0" fontId="60" fillId="9" borderId="42" xfId="0" applyFont="1" applyFill="1" applyBorder="1" applyAlignment="1">
      <alignment horizontal="left"/>
    </xf>
    <xf numFmtId="0" fontId="60"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60" fillId="19" borderId="45" xfId="0" applyFont="1" applyFill="1" applyBorder="1" applyAlignment="1" applyProtection="1">
      <alignment horizontal="right"/>
      <protection locked="0" hidden="1"/>
    </xf>
    <xf numFmtId="0" fontId="60" fillId="9" borderId="46" xfId="0" applyFont="1" applyFill="1" applyBorder="1" applyAlignment="1">
      <alignment horizontal="left"/>
    </xf>
    <xf numFmtId="169"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61" fillId="15" borderId="47" xfId="0" applyFont="1" applyFill="1" applyBorder="1"/>
    <xf numFmtId="0" fontId="17" fillId="3" borderId="28" xfId="0" applyFont="1" applyFill="1" applyBorder="1"/>
    <xf numFmtId="172" fontId="17" fillId="18" borderId="0" xfId="0" applyNumberFormat="1" applyFont="1" applyFill="1" applyAlignment="1">
      <alignment horizontal="center"/>
    </xf>
    <xf numFmtId="0" fontId="17" fillId="18" borderId="0" xfId="0" applyFont="1" applyFill="1"/>
    <xf numFmtId="172" fontId="25" fillId="18" borderId="0" xfId="0" applyNumberFormat="1" applyFont="1" applyFill="1" applyAlignment="1">
      <alignment horizontal="center"/>
    </xf>
    <xf numFmtId="0" fontId="25" fillId="18" borderId="0" xfId="0" applyFont="1" applyFill="1"/>
    <xf numFmtId="0" fontId="2" fillId="16" borderId="0" xfId="0" applyFont="1" applyFill="1" applyProtection="1">
      <protection locked="0"/>
    </xf>
    <xf numFmtId="0" fontId="2" fillId="9" borderId="44" xfId="0" applyFont="1" applyFill="1" applyBorder="1"/>
    <xf numFmtId="0" fontId="3" fillId="9" borderId="45" xfId="0" applyFont="1" applyFill="1" applyBorder="1"/>
    <xf numFmtId="0" fontId="2" fillId="9" borderId="48" xfId="0" applyFont="1" applyFill="1" applyBorder="1"/>
    <xf numFmtId="0" fontId="69" fillId="9" borderId="0" xfId="0" applyFont="1" applyFill="1"/>
    <xf numFmtId="0" fontId="69" fillId="9" borderId="29" xfId="0" applyFont="1" applyFill="1" applyBorder="1"/>
    <xf numFmtId="172" fontId="69" fillId="18" borderId="0" xfId="0" applyNumberFormat="1" applyFont="1" applyFill="1" applyAlignment="1">
      <alignment horizontal="center"/>
    </xf>
    <xf numFmtId="0" fontId="69" fillId="18" borderId="0" xfId="0" applyFont="1" applyFill="1"/>
    <xf numFmtId="172" fontId="69" fillId="3" borderId="0" xfId="0" applyNumberFormat="1" applyFont="1" applyFill="1" applyAlignment="1">
      <alignment horizontal="center"/>
    </xf>
    <xf numFmtId="0" fontId="69" fillId="3" borderId="0" xfId="0" applyFont="1" applyFill="1"/>
    <xf numFmtId="0" fontId="67"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8" fillId="9" borderId="28" xfId="0" applyFont="1" applyFill="1" applyBorder="1" applyAlignment="1">
      <alignment vertical="center"/>
    </xf>
    <xf numFmtId="0" fontId="67" fillId="9" borderId="0" xfId="0" applyFont="1" applyFill="1" applyAlignment="1">
      <alignment horizontal="right" vertical="center"/>
    </xf>
    <xf numFmtId="0" fontId="67" fillId="0" borderId="0" xfId="0" applyFont="1" applyAlignment="1">
      <alignment horizontal="left" vertical="center"/>
    </xf>
    <xf numFmtId="0" fontId="2" fillId="0" borderId="1" xfId="0" applyFont="1" applyBorder="1"/>
    <xf numFmtId="0" fontId="2" fillId="0" borderId="28" xfId="0" applyFont="1" applyBorder="1"/>
    <xf numFmtId="0" fontId="72"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4"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4"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6"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5"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6" fontId="2" fillId="16" borderId="11" xfId="3" applyNumberFormat="1" applyFill="1" applyBorder="1" applyAlignment="1">
      <alignment horizontal="center" vertical="center"/>
    </xf>
    <xf numFmtId="176" fontId="2" fillId="20" borderId="11" xfId="3" applyNumberFormat="1" applyFill="1" applyBorder="1" applyAlignment="1">
      <alignment horizontal="center" vertical="center"/>
    </xf>
    <xf numFmtId="173"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49" fontId="2" fillId="16" borderId="11" xfId="3" applyNumberFormat="1" applyFill="1" applyBorder="1" applyAlignment="1">
      <alignment horizontal="left" vertical="center"/>
    </xf>
    <xf numFmtId="181"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4" fillId="16" borderId="0" xfId="0" applyFont="1" applyFill="1"/>
    <xf numFmtId="169"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9"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1" xfId="0" applyFont="1" applyFill="1" applyBorder="1" applyAlignment="1">
      <alignment vertical="center"/>
    </xf>
    <xf numFmtId="0" fontId="2" fillId="9" borderId="31" xfId="0" applyFont="1" applyFill="1" applyBorder="1" applyAlignment="1">
      <alignment horizontal="righ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5"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5" fillId="16" borderId="2" xfId="0" applyFont="1" applyFill="1" applyBorder="1" applyAlignment="1">
      <alignment horizontal="right" vertical="center"/>
    </xf>
    <xf numFmtId="0" fontId="3" fillId="19" borderId="2" xfId="0" applyFont="1" applyFill="1" applyBorder="1" applyAlignment="1" applyProtection="1">
      <alignment vertical="center"/>
      <protection locked="0"/>
    </xf>
    <xf numFmtId="1" fontId="2" fillId="9" borderId="0" xfId="0" applyNumberFormat="1" applyFont="1" applyFill="1" applyAlignment="1">
      <alignment horizontal="right" vertical="center"/>
    </xf>
    <xf numFmtId="0" fontId="65" fillId="16" borderId="0" xfId="0" applyFont="1" applyFill="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5"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5"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8" fontId="7" fillId="12" borderId="0" xfId="0" applyNumberFormat="1" applyFont="1" applyFill="1"/>
    <xf numFmtId="168" fontId="8" fillId="12" borderId="0" xfId="0" applyNumberFormat="1" applyFont="1" applyFill="1"/>
    <xf numFmtId="0" fontId="3" fillId="19" borderId="2" xfId="0" applyFont="1" applyFill="1" applyBorder="1" applyProtection="1">
      <protection locked="0"/>
    </xf>
    <xf numFmtId="0" fontId="64" fillId="16" borderId="0" xfId="0" applyFont="1" applyFill="1" applyAlignment="1">
      <alignment horizontal="center"/>
    </xf>
    <xf numFmtId="169" fontId="2" fillId="9" borderId="0" xfId="0" applyNumberFormat="1" applyFont="1" applyFill="1"/>
    <xf numFmtId="2" fontId="0" fillId="22" borderId="0" xfId="0" applyNumberFormat="1" applyFill="1"/>
    <xf numFmtId="1" fontId="0" fillId="12" borderId="0" xfId="0" applyNumberFormat="1" applyFill="1"/>
    <xf numFmtId="167" fontId="0" fillId="22" borderId="0" xfId="0" applyNumberFormat="1" applyFill="1"/>
    <xf numFmtId="167" fontId="0" fillId="12" borderId="0" xfId="0" applyNumberFormat="1" applyFill="1"/>
    <xf numFmtId="1" fontId="0" fillId="0" borderId="0" xfId="0" applyNumberFormat="1"/>
    <xf numFmtId="1" fontId="0" fillId="24" borderId="0" xfId="0" applyNumberFormat="1" applyFill="1"/>
    <xf numFmtId="167" fontId="0" fillId="0" borderId="0" xfId="0" applyNumberFormat="1"/>
    <xf numFmtId="169" fontId="0" fillId="22" borderId="0" xfId="0" applyNumberFormat="1" applyFill="1"/>
    <xf numFmtId="0" fontId="2" fillId="0" borderId="41" xfId="0" applyFont="1" applyBorder="1"/>
    <xf numFmtId="0" fontId="2" fillId="0" borderId="30" xfId="0" applyFont="1" applyBorder="1"/>
    <xf numFmtId="0" fontId="7" fillId="0" borderId="31"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9"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7" fontId="2" fillId="0" borderId="67" xfId="3" applyNumberFormat="1" applyBorder="1" applyAlignment="1">
      <alignment horizontal="center"/>
    </xf>
    <xf numFmtId="167" fontId="2" fillId="0" borderId="12" xfId="3" applyNumberFormat="1" applyBorder="1" applyAlignment="1">
      <alignment horizontal="center"/>
    </xf>
    <xf numFmtId="167" fontId="2" fillId="0" borderId="68" xfId="3" applyNumberFormat="1" applyBorder="1" applyAlignment="1">
      <alignment horizontal="center"/>
    </xf>
    <xf numFmtId="167" fontId="2" fillId="0" borderId="69" xfId="3" applyNumberFormat="1" applyBorder="1" applyAlignment="1">
      <alignment horizontal="center"/>
    </xf>
    <xf numFmtId="165" fontId="2" fillId="0" borderId="67" xfId="3" applyNumberFormat="1" applyBorder="1" applyAlignment="1">
      <alignment horizontal="center"/>
    </xf>
    <xf numFmtId="165"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7" fontId="2" fillId="0" borderId="11" xfId="3" applyNumberFormat="1" applyBorder="1" applyAlignment="1">
      <alignment horizontal="center"/>
    </xf>
    <xf numFmtId="167" fontId="2" fillId="0" borderId="58" xfId="3" applyNumberFormat="1" applyBorder="1" applyAlignment="1">
      <alignment horizontal="center"/>
    </xf>
    <xf numFmtId="0" fontId="2" fillId="0" borderId="0" xfId="3" applyAlignment="1">
      <alignment horizontal="center"/>
    </xf>
    <xf numFmtId="167" fontId="2" fillId="0" borderId="0" xfId="3" applyNumberFormat="1" applyAlignment="1">
      <alignment horizontal="center"/>
    </xf>
    <xf numFmtId="165"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7" fontId="2" fillId="0" borderId="18" xfId="3" applyNumberFormat="1" applyBorder="1" applyAlignment="1">
      <alignment horizontal="center"/>
    </xf>
    <xf numFmtId="167"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8" fontId="0" fillId="0" borderId="0" xfId="0" applyNumberFormat="1"/>
    <xf numFmtId="1" fontId="7" fillId="12" borderId="0" xfId="0" applyNumberFormat="1" applyFont="1" applyFill="1"/>
    <xf numFmtId="0" fontId="62"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23" borderId="0" xfId="0" applyFont="1" applyFill="1"/>
    <xf numFmtId="0" fontId="2" fillId="0" borderId="75" xfId="0" applyFont="1" applyBorder="1"/>
    <xf numFmtId="168" fontId="2" fillId="0" borderId="77" xfId="0" applyNumberFormat="1" applyFont="1" applyBorder="1"/>
    <xf numFmtId="11" fontId="7" fillId="0" borderId="77" xfId="0" applyNumberFormat="1" applyFont="1" applyBorder="1"/>
    <xf numFmtId="0" fontId="72" fillId="0" borderId="77" xfId="0" applyFont="1" applyBorder="1"/>
    <xf numFmtId="1" fontId="62" fillId="0" borderId="0" xfId="0" applyNumberFormat="1" applyFont="1"/>
    <xf numFmtId="0" fontId="80" fillId="0" borderId="0" xfId="0" applyFont="1"/>
    <xf numFmtId="168" fontId="62" fillId="0" borderId="0" xfId="0" applyNumberFormat="1" applyFont="1"/>
    <xf numFmtId="0" fontId="3" fillId="0" borderId="30" xfId="0" applyFont="1" applyBorder="1"/>
    <xf numFmtId="166"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5" fillId="0" borderId="0" xfId="0" applyNumberFormat="1" applyFont="1"/>
    <xf numFmtId="0" fontId="65" fillId="0" borderId="0" xfId="0" applyFont="1"/>
    <xf numFmtId="0" fontId="72" fillId="0" borderId="58" xfId="3" applyFont="1" applyBorder="1"/>
    <xf numFmtId="168" fontId="0" fillId="12" borderId="0" xfId="0" applyNumberFormat="1" applyFill="1"/>
    <xf numFmtId="167"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8" fontId="30" fillId="22" borderId="0" xfId="0" applyNumberFormat="1" applyFont="1" applyFill="1"/>
    <xf numFmtId="167" fontId="30" fillId="22" borderId="34" xfId="0" applyNumberFormat="1" applyFont="1" applyFill="1" applyBorder="1"/>
    <xf numFmtId="168"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8"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8" fontId="2" fillId="0" borderId="11" xfId="3" applyNumberFormat="1" applyBorder="1"/>
    <xf numFmtId="0" fontId="2" fillId="0" borderId="0" xfId="3" applyAlignment="1">
      <alignment horizontal="left"/>
    </xf>
    <xf numFmtId="1" fontId="2" fillId="0" borderId="0" xfId="3" applyNumberFormat="1"/>
    <xf numFmtId="168" fontId="2" fillId="0" borderId="0" xfId="3" applyNumberFormat="1"/>
    <xf numFmtId="0" fontId="0" fillId="23" borderId="0" xfId="0" applyFill="1"/>
    <xf numFmtId="185" fontId="8" fillId="12" borderId="0" xfId="0" applyNumberFormat="1" applyFont="1" applyFill="1"/>
    <xf numFmtId="2" fontId="2" fillId="0" borderId="0" xfId="0" applyNumberFormat="1" applyFont="1"/>
    <xf numFmtId="168" fontId="3" fillId="0" borderId="0" xfId="0" applyNumberFormat="1" applyFont="1" applyAlignment="1">
      <alignment horizontal="right"/>
    </xf>
    <xf numFmtId="1" fontId="2" fillId="24" borderId="0" xfId="0" applyNumberFormat="1" applyFont="1" applyFill="1"/>
    <xf numFmtId="0" fontId="2" fillId="24" borderId="0" xfId="0" applyFont="1" applyFill="1"/>
    <xf numFmtId="167" fontId="2" fillId="22" borderId="31" xfId="0" applyNumberFormat="1" applyFont="1" applyFill="1" applyBorder="1"/>
    <xf numFmtId="0" fontId="2" fillId="0" borderId="8" xfId="3" applyBorder="1"/>
    <xf numFmtId="169" fontId="2" fillId="0" borderId="8" xfId="3" applyNumberFormat="1" applyBorder="1"/>
    <xf numFmtId="0" fontId="3" fillId="0" borderId="57" xfId="3" applyFont="1" applyBorder="1" applyAlignment="1">
      <alignment horizontal="center"/>
    </xf>
    <xf numFmtId="0" fontId="2" fillId="8" borderId="64" xfId="3" applyFill="1" applyBorder="1"/>
    <xf numFmtId="168" fontId="2" fillId="0" borderId="44" xfId="3" applyNumberFormat="1" applyBorder="1"/>
    <xf numFmtId="165" fontId="2" fillId="0" borderId="58" xfId="3" applyNumberFormat="1" applyBorder="1" applyAlignment="1">
      <alignment horizontal="center"/>
    </xf>
    <xf numFmtId="168" fontId="65" fillId="0" borderId="0" xfId="0" applyNumberFormat="1" applyFont="1"/>
    <xf numFmtId="186" fontId="3" fillId="12" borderId="0" xfId="0" applyNumberFormat="1" applyFont="1" applyFill="1"/>
    <xf numFmtId="186" fontId="2" fillId="4" borderId="0" xfId="0" applyNumberFormat="1" applyFont="1" applyFill="1"/>
    <xf numFmtId="186" fontId="30" fillId="4" borderId="0" xfId="0" applyNumberFormat="1" applyFont="1" applyFill="1"/>
    <xf numFmtId="186" fontId="0" fillId="12" borderId="0" xfId="0" applyNumberFormat="1" applyFill="1"/>
    <xf numFmtId="186"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8" fontId="2" fillId="8" borderId="11" xfId="3" applyNumberFormat="1" applyFill="1" applyBorder="1"/>
    <xf numFmtId="0" fontId="2" fillId="9" borderId="76" xfId="0" applyFont="1" applyFill="1" applyBorder="1" applyAlignment="1">
      <alignment horizontal="left"/>
    </xf>
    <xf numFmtId="169"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9" fontId="2" fillId="22" borderId="0" xfId="0" applyNumberFormat="1" applyFont="1" applyFill="1"/>
    <xf numFmtId="1" fontId="2" fillId="9" borderId="44" xfId="0" applyNumberFormat="1" applyFont="1" applyFill="1" applyBorder="1" applyAlignment="1">
      <alignment horizontal="right"/>
    </xf>
    <xf numFmtId="187" fontId="2" fillId="21" borderId="11" xfId="3" applyNumberFormat="1" applyFill="1" applyBorder="1" applyAlignment="1">
      <alignment horizontal="center" vertical="center"/>
    </xf>
    <xf numFmtId="173" fontId="2" fillId="21" borderId="11" xfId="3" applyNumberFormat="1" applyFill="1" applyBorder="1" applyAlignment="1">
      <alignment horizontal="center" vertical="center"/>
    </xf>
    <xf numFmtId="0" fontId="2" fillId="21" borderId="15" xfId="3" applyFill="1" applyBorder="1" applyAlignment="1">
      <alignment horizontal="left"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72"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7"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70"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8" fontId="3" fillId="2" borderId="6" xfId="0" applyNumberFormat="1" applyFont="1" applyFill="1" applyBorder="1" applyAlignment="1">
      <alignment horizontal="center" vertical="center" wrapText="1"/>
    </xf>
    <xf numFmtId="167" fontId="3" fillId="2" borderId="5"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7" fontId="3" fillId="4" borderId="2" xfId="0" applyNumberFormat="1" applyFont="1" applyFill="1" applyBorder="1" applyAlignment="1">
      <alignment horizontal="center"/>
    </xf>
    <xf numFmtId="167" fontId="3" fillId="7" borderId="23" xfId="0" applyNumberFormat="1" applyFont="1" applyFill="1" applyBorder="1" applyAlignment="1">
      <alignment horizontal="center" vertical="center" wrapText="1"/>
    </xf>
    <xf numFmtId="0" fontId="62" fillId="19" borderId="23" xfId="0" applyFont="1" applyFill="1" applyBorder="1" applyAlignment="1">
      <alignment horizontal="center" vertical="center" wrapText="1"/>
    </xf>
    <xf numFmtId="0" fontId="3" fillId="0" borderId="0" xfId="0" applyFont="1" applyProtection="1">
      <protection locked="0"/>
    </xf>
    <xf numFmtId="0" fontId="3" fillId="9" borderId="77" xfId="0" applyFont="1" applyFill="1" applyBorder="1"/>
    <xf numFmtId="0" fontId="2" fillId="9" borderId="77" xfId="0" applyFont="1" applyFill="1" applyBorder="1"/>
    <xf numFmtId="0" fontId="2" fillId="9" borderId="76" xfId="0" applyFont="1" applyFill="1" applyBorder="1"/>
    <xf numFmtId="0" fontId="79"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7" fontId="3" fillId="12" borderId="0" xfId="0" applyNumberFormat="1" applyFont="1" applyFill="1"/>
    <xf numFmtId="168" fontId="8" fillId="0" borderId="0" xfId="0" applyNumberFormat="1" applyFont="1"/>
    <xf numFmtId="168"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9" fontId="2" fillId="9" borderId="0" xfId="0" applyNumberFormat="1" applyFont="1" applyFill="1" applyAlignment="1">
      <alignment horizontal="left" vertical="center"/>
    </xf>
    <xf numFmtId="0" fontId="67" fillId="9" borderId="77" xfId="0" applyFont="1" applyFill="1" applyBorder="1" applyAlignment="1">
      <alignment horizontal="left"/>
    </xf>
    <xf numFmtId="0" fontId="3" fillId="4" borderId="0" xfId="0" applyFont="1" applyFill="1"/>
    <xf numFmtId="0" fontId="73" fillId="3" borderId="49" xfId="3" applyFont="1" applyFill="1" applyBorder="1" applyAlignment="1">
      <alignment horizontal="center" vertical="center"/>
    </xf>
    <xf numFmtId="0" fontId="73" fillId="3" borderId="50" xfId="3" applyFont="1" applyFill="1" applyBorder="1" applyAlignment="1">
      <alignment horizontal="center" vertical="center"/>
    </xf>
    <xf numFmtId="0" fontId="73" fillId="3" borderId="50" xfId="3" applyFont="1" applyFill="1" applyBorder="1" applyAlignment="1">
      <alignment horizontal="left" vertical="center"/>
    </xf>
    <xf numFmtId="0" fontId="2" fillId="9" borderId="0" xfId="0" applyFont="1" applyFill="1" applyAlignment="1">
      <alignment horizontal="left" vertical="top"/>
    </xf>
    <xf numFmtId="0" fontId="2" fillId="9" borderId="0" xfId="0" applyFont="1" applyFill="1" applyAlignment="1">
      <alignment horizontal="right" vertical="top" readingOrder="1"/>
    </xf>
    <xf numFmtId="169" fontId="0" fillId="0" borderId="0" xfId="0" applyNumberFormat="1" applyAlignment="1">
      <alignment horizontal="left"/>
    </xf>
    <xf numFmtId="0" fontId="67" fillId="0" borderId="0" xfId="0" applyFont="1"/>
    <xf numFmtId="168"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2" fontId="17" fillId="25" borderId="0" xfId="0" applyNumberFormat="1" applyFont="1" applyFill="1" applyAlignment="1">
      <alignment horizontal="center"/>
    </xf>
    <xf numFmtId="0" fontId="17" fillId="25" borderId="0" xfId="0" applyFont="1" applyFill="1"/>
    <xf numFmtId="172" fontId="69" fillId="25" borderId="0" xfId="0" applyNumberFormat="1" applyFont="1" applyFill="1" applyAlignment="1">
      <alignment horizontal="center"/>
    </xf>
    <xf numFmtId="172"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71"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83" fillId="25" borderId="0" xfId="2" applyFont="1" applyFill="1" applyBorder="1" applyAlignment="1" applyProtection="1">
      <alignment horizontal="left" vertical="center"/>
    </xf>
    <xf numFmtId="0" fontId="83" fillId="25" borderId="0" xfId="2" applyFont="1" applyFill="1" applyAlignment="1" applyProtection="1"/>
    <xf numFmtId="1" fontId="2" fillId="9" borderId="75" xfId="0" applyNumberFormat="1" applyFont="1" applyFill="1" applyBorder="1" applyAlignment="1">
      <alignment horizontal="right"/>
    </xf>
    <xf numFmtId="168" fontId="0" fillId="22" borderId="0" xfId="0" applyNumberFormat="1" applyFill="1"/>
    <xf numFmtId="2" fontId="8" fillId="12" borderId="0" xfId="0" applyNumberFormat="1" applyFont="1" applyFill="1"/>
    <xf numFmtId="169" fontId="15" fillId="4" borderId="0" xfId="0" applyNumberFormat="1" applyFont="1" applyFill="1" applyAlignment="1">
      <alignment horizontal="right"/>
    </xf>
    <xf numFmtId="186" fontId="3" fillId="0" borderId="0" xfId="0" applyNumberFormat="1" applyFont="1"/>
    <xf numFmtId="2" fontId="30" fillId="0" borderId="0" xfId="0" applyNumberFormat="1" applyFont="1"/>
    <xf numFmtId="0" fontId="74" fillId="0" borderId="0" xfId="0" applyFont="1"/>
    <xf numFmtId="169" fontId="2" fillId="9" borderId="0" xfId="0" applyNumberFormat="1" applyFont="1" applyFill="1" applyAlignment="1">
      <alignment horizontal="right"/>
    </xf>
    <xf numFmtId="169" fontId="2" fillId="9" borderId="0" xfId="0" applyNumberFormat="1" applyFont="1" applyFill="1" applyAlignment="1">
      <alignment horizontal="right" vertical="center"/>
    </xf>
    <xf numFmtId="11" fontId="64" fillId="22" borderId="0" xfId="0" applyNumberFormat="1" applyFont="1" applyFill="1"/>
    <xf numFmtId="0" fontId="64"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8" fontId="30" fillId="0" borderId="0" xfId="0" applyNumberFormat="1" applyFont="1"/>
    <xf numFmtId="0" fontId="74" fillId="0" borderId="0" xfId="0" applyFont="1" applyAlignment="1">
      <alignment horizontal="left"/>
    </xf>
    <xf numFmtId="0" fontId="62" fillId="0" borderId="0" xfId="0" applyFont="1" applyAlignment="1">
      <alignment horizontal="right"/>
    </xf>
    <xf numFmtId="0" fontId="62"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8" fontId="0" fillId="0" borderId="0" xfId="0" applyNumberFormat="1" applyAlignment="1">
      <alignment horizontal="right"/>
    </xf>
    <xf numFmtId="185" fontId="0" fillId="0" borderId="0" xfId="0" applyNumberFormat="1"/>
    <xf numFmtId="0" fontId="3" fillId="0" borderId="28" xfId="0" applyFont="1" applyBorder="1" applyAlignment="1">
      <alignment horizontal="center"/>
    </xf>
    <xf numFmtId="168" fontId="82" fillId="26" borderId="0" xfId="0" applyNumberFormat="1" applyFont="1" applyFill="1" applyAlignment="1">
      <alignment horizontal="center" vertical="center"/>
    </xf>
    <xf numFmtId="167" fontId="3" fillId="26" borderId="0" xfId="0" applyNumberFormat="1" applyFont="1" applyFill="1" applyAlignment="1">
      <alignment horizontal="center" vertical="center" wrapText="1"/>
    </xf>
    <xf numFmtId="0" fontId="3" fillId="2" borderId="23" xfId="0" applyFont="1" applyFill="1" applyBorder="1" applyAlignment="1">
      <alignment horizont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62" fillId="2" borderId="6" xfId="0" applyFont="1" applyFill="1" applyBorder="1" applyAlignment="1">
      <alignment horizontal="center" vertical="center" wrapText="1"/>
    </xf>
    <xf numFmtId="169" fontId="80" fillId="0" borderId="0" xfId="0" applyNumberFormat="1" applyFont="1"/>
    <xf numFmtId="10" fontId="80" fillId="0" borderId="0" xfId="0" applyNumberFormat="1" applyFont="1" applyAlignment="1">
      <alignment horizontal="center"/>
    </xf>
    <xf numFmtId="0" fontId="10" fillId="9" borderId="0" xfId="2" applyFill="1" applyAlignment="1" applyProtection="1"/>
    <xf numFmtId="0" fontId="3" fillId="19" borderId="0" xfId="0" applyFont="1" applyFill="1" applyAlignment="1" applyProtection="1">
      <alignment horizontal="right" vertical="center"/>
      <protection locked="0"/>
    </xf>
    <xf numFmtId="169" fontId="2" fillId="16" borderId="0" xfId="0" applyNumberFormat="1" applyFont="1" applyFill="1"/>
    <xf numFmtId="0" fontId="3" fillId="9" borderId="45" xfId="0" applyFont="1" applyFill="1" applyBorder="1" applyAlignment="1">
      <alignment horizontal="left" vertical="center"/>
    </xf>
    <xf numFmtId="0" fontId="64" fillId="0" borderId="28" xfId="0" applyFont="1" applyBorder="1"/>
    <xf numFmtId="1" fontId="67" fillId="0" borderId="0" xfId="0" applyNumberFormat="1" applyFont="1"/>
    <xf numFmtId="168" fontId="7" fillId="0" borderId="0" xfId="0" applyNumberFormat="1" applyFont="1"/>
    <xf numFmtId="2" fontId="64" fillId="9" borderId="2" xfId="1" applyNumberFormat="1" applyFont="1" applyFill="1" applyBorder="1" applyAlignment="1" applyProtection="1">
      <alignment horizontal="right"/>
    </xf>
    <xf numFmtId="0" fontId="17" fillId="16" borderId="41" xfId="0" applyFont="1" applyFill="1" applyBorder="1"/>
    <xf numFmtId="0" fontId="17" fillId="16" borderId="42" xfId="0" applyFont="1" applyFill="1" applyBorder="1"/>
    <xf numFmtId="0" fontId="57" fillId="9" borderId="43" xfId="0" applyFont="1" applyFill="1" applyBorder="1"/>
    <xf numFmtId="0" fontId="57" fillId="9" borderId="44" xfId="0" applyFont="1" applyFill="1" applyBorder="1"/>
    <xf numFmtId="1" fontId="2" fillId="9" borderId="45" xfId="0" applyNumberFormat="1" applyFont="1" applyFill="1" applyBorder="1" applyAlignment="1">
      <alignment vertical="center"/>
    </xf>
    <xf numFmtId="0" fontId="57" fillId="9" borderId="75" xfId="0" applyFont="1" applyFill="1" applyBorder="1"/>
    <xf numFmtId="0" fontId="65"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0" fontId="17" fillId="16" borderId="45" xfId="0" applyFont="1" applyFill="1" applyBorder="1"/>
    <xf numFmtId="0" fontId="65" fillId="9" borderId="45" xfId="0" applyFont="1" applyFill="1" applyBorder="1" applyAlignment="1">
      <alignment horizontal="right" vertical="center"/>
    </xf>
    <xf numFmtId="0" fontId="3" fillId="19" borderId="45" xfId="0" applyFont="1" applyFill="1" applyBorder="1" applyAlignment="1" applyProtection="1">
      <alignment vertical="center"/>
      <protection locked="0"/>
    </xf>
    <xf numFmtId="0" fontId="3" fillId="9" borderId="46" xfId="0" applyFont="1" applyFill="1" applyBorder="1" applyAlignment="1">
      <alignment vertical="center"/>
    </xf>
    <xf numFmtId="0" fontId="64" fillId="16" borderId="45" xfId="0" applyFont="1" applyFill="1" applyBorder="1" applyAlignment="1">
      <alignment horizontal="center"/>
    </xf>
    <xf numFmtId="169" fontId="2" fillId="9" borderId="45" xfId="0" applyNumberFormat="1" applyFont="1" applyFill="1" applyBorder="1" applyAlignment="1">
      <alignment vertical="center"/>
    </xf>
    <xf numFmtId="0" fontId="3" fillId="0" borderId="45" xfId="0" applyFont="1" applyBorder="1"/>
    <xf numFmtId="0" fontId="0" fillId="0" borderId="46" xfId="0" applyBorder="1"/>
    <xf numFmtId="2" fontId="8" fillId="0" borderId="0" xfId="0" applyNumberFormat="1" applyFont="1"/>
    <xf numFmtId="168" fontId="3" fillId="0" borderId="2" xfId="0" applyNumberFormat="1" applyFont="1" applyBorder="1"/>
    <xf numFmtId="2" fontId="2" fillId="22" borderId="0" xfId="0" applyNumberFormat="1" applyFont="1" applyFill="1"/>
    <xf numFmtId="168" fontId="2" fillId="22" borderId="0" xfId="0" applyNumberFormat="1" applyFont="1" applyFill="1"/>
    <xf numFmtId="0" fontId="2" fillId="27" borderId="0" xfId="0" applyFont="1" applyFill="1"/>
    <xf numFmtId="185" fontId="8" fillId="0" borderId="0" xfId="0" applyNumberFormat="1" applyFont="1"/>
    <xf numFmtId="168" fontId="0" fillId="24" borderId="0" xfId="0" applyNumberFormat="1" applyFill="1"/>
    <xf numFmtId="0" fontId="2" fillId="9" borderId="75" xfId="0" applyFont="1" applyFill="1" applyBorder="1"/>
    <xf numFmtId="0" fontId="58" fillId="9" borderId="44" xfId="0" applyFont="1" applyFill="1" applyBorder="1"/>
    <xf numFmtId="0" fontId="2" fillId="16" borderId="45" xfId="0" applyFont="1" applyFill="1" applyBorder="1" applyAlignment="1">
      <alignment horizontal="right" vertical="center"/>
    </xf>
    <xf numFmtId="0" fontId="85" fillId="9" borderId="0" xfId="0" applyFont="1" applyFill="1" applyAlignment="1">
      <alignment horizontal="right" vertical="center"/>
    </xf>
    <xf numFmtId="168" fontId="0" fillId="12" borderId="2" xfId="0" applyNumberFormat="1" applyFill="1" applyBorder="1"/>
    <xf numFmtId="2" fontId="2" fillId="9" borderId="31" xfId="0" applyNumberFormat="1" applyFont="1" applyFill="1" applyBorder="1"/>
    <xf numFmtId="168" fontId="0" fillId="4" borderId="2" xfId="0" applyNumberFormat="1" applyFill="1" applyBorder="1"/>
    <xf numFmtId="186" fontId="0" fillId="4" borderId="0" xfId="0" applyNumberFormat="1" applyFill="1"/>
    <xf numFmtId="0" fontId="85" fillId="9" borderId="45" xfId="0" applyFont="1" applyFill="1" applyBorder="1" applyAlignment="1">
      <alignment horizontal="right" vertical="center"/>
    </xf>
    <xf numFmtId="0" fontId="88" fillId="0" borderId="0" xfId="0" applyFont="1" applyAlignment="1">
      <alignment horizontal="left"/>
    </xf>
    <xf numFmtId="1" fontId="2" fillId="9" borderId="0" xfId="0" applyNumberFormat="1" applyFont="1" applyFill="1" applyAlignment="1">
      <alignment horizontal="right"/>
    </xf>
    <xf numFmtId="190" fontId="0" fillId="23" borderId="0" xfId="0" applyNumberFormat="1" applyFill="1"/>
    <xf numFmtId="169" fontId="2" fillId="9" borderId="31" xfId="0" applyNumberFormat="1" applyFont="1" applyFill="1" applyBorder="1" applyAlignment="1">
      <alignment vertical="center"/>
    </xf>
    <xf numFmtId="0" fontId="88" fillId="0" borderId="0" xfId="0" applyFont="1" applyAlignment="1">
      <alignment horizontal="right"/>
    </xf>
    <xf numFmtId="0" fontId="65"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8" fontId="8" fillId="7" borderId="11" xfId="0" applyNumberFormat="1" applyFont="1" applyFill="1" applyBorder="1"/>
    <xf numFmtId="168" fontId="15" fillId="7" borderId="11" xfId="0" applyNumberFormat="1" applyFont="1" applyFill="1" applyBorder="1"/>
    <xf numFmtId="168"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7"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9" fontId="67" fillId="9" borderId="45" xfId="0" applyNumberFormat="1" applyFont="1" applyFill="1" applyBorder="1" applyAlignment="1">
      <alignment horizontal="left" vertical="center"/>
    </xf>
    <xf numFmtId="1" fontId="3" fillId="0" borderId="0" xfId="3" applyNumberFormat="1" applyFont="1" applyAlignment="1">
      <alignment horizontal="right"/>
    </xf>
    <xf numFmtId="0" fontId="3" fillId="0" borderId="0" xfId="3" applyFont="1" applyAlignment="1">
      <alignment horizontal="right"/>
    </xf>
    <xf numFmtId="167" fontId="3" fillId="0" borderId="18" xfId="3" applyNumberFormat="1" applyFont="1" applyBorder="1" applyAlignment="1">
      <alignment horizontal="center"/>
    </xf>
    <xf numFmtId="167" fontId="3" fillId="0" borderId="11" xfId="3" applyNumberFormat="1" applyFont="1" applyBorder="1" applyAlignment="1">
      <alignment horizontal="center"/>
    </xf>
    <xf numFmtId="167" fontId="3" fillId="0" borderId="58" xfId="3" applyNumberFormat="1" applyFont="1" applyBorder="1" applyAlignment="1">
      <alignment horizontal="center"/>
    </xf>
    <xf numFmtId="167" fontId="3" fillId="0" borderId="12" xfId="3" applyNumberFormat="1" applyFont="1" applyBorder="1" applyAlignment="1">
      <alignment horizontal="center"/>
    </xf>
    <xf numFmtId="167" fontId="3" fillId="0" borderId="68" xfId="3" applyNumberFormat="1" applyFont="1" applyBorder="1" applyAlignment="1">
      <alignment horizontal="center"/>
    </xf>
    <xf numFmtId="167" fontId="3" fillId="0" borderId="8" xfId="3" applyNumberFormat="1" applyFont="1" applyBorder="1" applyAlignment="1">
      <alignment horizontal="center"/>
    </xf>
    <xf numFmtId="167" fontId="3" fillId="0" borderId="67" xfId="3" applyNumberFormat="1" applyFont="1" applyBorder="1" applyAlignment="1">
      <alignment horizontal="center"/>
    </xf>
    <xf numFmtId="167" fontId="3" fillId="0" borderId="69" xfId="3" applyNumberFormat="1" applyFont="1" applyBorder="1" applyAlignment="1">
      <alignment horizontal="center"/>
    </xf>
    <xf numFmtId="165" fontId="3" fillId="0" borderId="68" xfId="3" applyNumberFormat="1" applyFont="1" applyBorder="1" applyAlignment="1">
      <alignment horizontal="center"/>
    </xf>
    <xf numFmtId="2" fontId="3" fillId="0" borderId="67" xfId="3" applyNumberFormat="1" applyFont="1" applyBorder="1" applyAlignment="1">
      <alignment horizontal="center"/>
    </xf>
    <xf numFmtId="2" fontId="3" fillId="0" borderId="12" xfId="3" applyNumberFormat="1" applyFont="1" applyBorder="1" applyAlignment="1">
      <alignment horizontal="center"/>
    </xf>
    <xf numFmtId="2" fontId="3" fillId="0" borderId="58" xfId="3" applyNumberFormat="1" applyFont="1" applyBorder="1" applyAlignment="1">
      <alignment horizontal="center"/>
    </xf>
    <xf numFmtId="0" fontId="3" fillId="0" borderId="0" xfId="3" applyFont="1"/>
    <xf numFmtId="2" fontId="3" fillId="0" borderId="18" xfId="3" applyNumberFormat="1" applyFont="1" applyBorder="1" applyAlignment="1">
      <alignment horizontal="center"/>
    </xf>
    <xf numFmtId="0" fontId="3" fillId="0" borderId="63" xfId="3" applyFont="1" applyBorder="1" applyAlignment="1">
      <alignment horizontal="center"/>
    </xf>
    <xf numFmtId="0" fontId="3" fillId="0" borderId="71" xfId="3" applyFont="1" applyBorder="1" applyAlignment="1">
      <alignment horizontal="center"/>
    </xf>
    <xf numFmtId="165" fontId="3" fillId="0" borderId="67" xfId="3" applyNumberFormat="1" applyFont="1" applyBorder="1" applyAlignment="1">
      <alignment horizontal="center"/>
    </xf>
    <xf numFmtId="0" fontId="3" fillId="9" borderId="80" xfId="0" applyFont="1" applyFill="1" applyBorder="1"/>
    <xf numFmtId="0" fontId="67" fillId="9" borderId="0" xfId="0" applyFont="1" applyFill="1" applyAlignment="1">
      <alignment horizontal="right"/>
    </xf>
    <xf numFmtId="0" fontId="67" fillId="9" borderId="0" xfId="0" applyFont="1" applyFill="1" applyAlignment="1">
      <alignment horizontal="left"/>
    </xf>
    <xf numFmtId="0" fontId="62" fillId="9" borderId="0" xfId="0" applyFont="1" applyFill="1" applyProtection="1">
      <protection locked="0"/>
    </xf>
    <xf numFmtId="0" fontId="67" fillId="9" borderId="42" xfId="0" applyFont="1" applyFill="1" applyBorder="1" applyAlignment="1">
      <alignment horizontal="left"/>
    </xf>
    <xf numFmtId="0" fontId="67" fillId="9" borderId="42" xfId="0" applyFont="1" applyFill="1" applyBorder="1" applyAlignment="1">
      <alignment horizontal="righ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9"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6" borderId="29" xfId="0" applyFont="1" applyFill="1" applyBorder="1"/>
    <xf numFmtId="0" fontId="3" fillId="19" borderId="45" xfId="0" applyFont="1" applyFill="1" applyBorder="1" applyAlignment="1" applyProtection="1">
      <alignment horizontal="right" vertical="center"/>
      <protection locked="0"/>
    </xf>
    <xf numFmtId="0" fontId="3" fillId="16" borderId="0" xfId="0" applyFont="1" applyFill="1" applyAlignment="1">
      <alignment horizontal="right" vertical="center"/>
    </xf>
    <xf numFmtId="0" fontId="17" fillId="16" borderId="80" xfId="0" applyFont="1" applyFill="1" applyBorder="1"/>
    <xf numFmtId="0" fontId="3" fillId="16" borderId="0" xfId="0" applyFont="1" applyFill="1" applyAlignment="1">
      <alignment vertical="center"/>
    </xf>
    <xf numFmtId="0" fontId="3" fillId="16" borderId="0" xfId="0" applyFont="1" applyFill="1" applyAlignment="1" applyProtection="1">
      <alignment horizontal="right" vertical="center"/>
      <protection locked="0"/>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62" fillId="2" borderId="82" xfId="0" applyFont="1" applyFill="1" applyBorder="1" applyAlignment="1">
      <alignment horizontal="center" vertical="center" wrapText="1"/>
    </xf>
    <xf numFmtId="169" fontId="30" fillId="22" borderId="0" xfId="0" applyNumberFormat="1" applyFont="1" applyFill="1" applyAlignment="1">
      <alignment horizontal="right"/>
    </xf>
    <xf numFmtId="169" fontId="30" fillId="12" borderId="0" xfId="0" applyNumberFormat="1" applyFont="1" applyFill="1"/>
    <xf numFmtId="2" fontId="0" fillId="22" borderId="0" xfId="0" applyNumberFormat="1" applyFill="1" applyAlignment="1">
      <alignment horizontal="right"/>
    </xf>
    <xf numFmtId="2" fontId="0" fillId="0" borderId="0" xfId="0" applyNumberFormat="1" applyAlignment="1">
      <alignment horizontal="right"/>
    </xf>
    <xf numFmtId="169" fontId="30" fillId="0" borderId="0" xfId="0" applyNumberFormat="1" applyFont="1"/>
    <xf numFmtId="2" fontId="62" fillId="0" borderId="0" xfId="0" applyNumberFormat="1" applyFont="1"/>
    <xf numFmtId="2" fontId="2" fillId="9" borderId="31" xfId="0" applyNumberFormat="1" applyFont="1" applyFill="1" applyBorder="1" applyAlignment="1">
      <alignment vertical="center"/>
    </xf>
    <xf numFmtId="0" fontId="3" fillId="4" borderId="83" xfId="0" applyFont="1" applyFill="1" applyBorder="1" applyAlignment="1">
      <alignment horizontal="center"/>
    </xf>
    <xf numFmtId="2" fontId="3" fillId="2" borderId="82" xfId="0" applyNumberFormat="1" applyFont="1" applyFill="1" applyBorder="1" applyAlignment="1">
      <alignment horizontal="center" vertical="center" wrapText="1"/>
    </xf>
    <xf numFmtId="170" fontId="0" fillId="23" borderId="0" xfId="0" applyNumberFormat="1" applyFill="1"/>
    <xf numFmtId="0" fontId="3" fillId="24" borderId="0" xfId="0" applyFont="1" applyFill="1" applyAlignment="1">
      <alignment horizontal="right"/>
    </xf>
    <xf numFmtId="0" fontId="62" fillId="9" borderId="80" xfId="0" applyFont="1" applyFill="1" applyBorder="1" applyAlignment="1" applyProtection="1">
      <alignment horizontal="left"/>
      <protection locked="0"/>
    </xf>
    <xf numFmtId="0" fontId="62" fillId="9" borderId="0" xfId="0" applyFont="1" applyFill="1" applyAlignment="1" applyProtection="1">
      <alignment horizontal="left"/>
      <protection locked="0"/>
    </xf>
    <xf numFmtId="0" fontId="67" fillId="9" borderId="0" xfId="0" applyFont="1" applyFill="1" applyAlignment="1">
      <alignment horizontal="left" vertical="center"/>
    </xf>
    <xf numFmtId="0" fontId="24" fillId="25" borderId="0" xfId="0" applyFont="1" applyFill="1" applyAlignment="1">
      <alignment horizontal="center" vertical="center"/>
    </xf>
    <xf numFmtId="0" fontId="53" fillId="17" borderId="43" xfId="0" applyFont="1" applyFill="1" applyBorder="1" applyAlignment="1">
      <alignment horizontal="left" vertical="center"/>
    </xf>
    <xf numFmtId="0" fontId="53"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80" xfId="0" applyFont="1" applyFill="1" applyBorder="1" applyAlignment="1">
      <alignment horizontal="left" vertical="center" wrapText="1"/>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3" fillId="9" borderId="78" xfId="3" applyFont="1" applyFill="1" applyBorder="1" applyAlignment="1">
      <alignment horizontal="left" vertical="center"/>
    </xf>
    <xf numFmtId="0" fontId="3" fillId="9" borderId="10" xfId="3" applyFont="1" applyFill="1" applyBorder="1" applyAlignment="1">
      <alignment horizontal="left" vertical="center"/>
    </xf>
    <xf numFmtId="0" fontId="3" fillId="9" borderId="16" xfId="3" applyFont="1" applyFill="1" applyBorder="1" applyAlignment="1">
      <alignment horizontal="left" vertical="center"/>
    </xf>
    <xf numFmtId="0" fontId="3" fillId="9" borderId="69" xfId="3" applyFont="1" applyFill="1" applyBorder="1" applyAlignment="1">
      <alignment horizontal="left" vertical="center"/>
    </xf>
    <xf numFmtId="0" fontId="3" fillId="9" borderId="4" xfId="3" applyFont="1" applyFill="1" applyBorder="1" applyAlignment="1">
      <alignment horizontal="left" vertical="center"/>
    </xf>
    <xf numFmtId="0" fontId="3" fillId="9" borderId="17" xfId="3" applyFont="1" applyFill="1" applyBorder="1" applyAlignment="1">
      <alignment horizontal="left" vertical="center"/>
    </xf>
    <xf numFmtId="0" fontId="62" fillId="9" borderId="14" xfId="3" applyFont="1" applyFill="1" applyBorder="1" applyAlignment="1">
      <alignment horizontal="center" vertical="center"/>
    </xf>
    <xf numFmtId="0" fontId="62"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73" fillId="3" borderId="51" xfId="3" applyFont="1" applyFill="1" applyBorder="1" applyAlignment="1">
      <alignment horizontal="left" vertical="center"/>
    </xf>
    <xf numFmtId="0" fontId="73" fillId="3" borderId="52" xfId="3" applyFont="1" applyFill="1" applyBorder="1" applyAlignment="1">
      <alignment horizontal="left" vertical="center"/>
    </xf>
    <xf numFmtId="0" fontId="73" fillId="3" borderId="53" xfId="3" applyFont="1" applyFill="1" applyBorder="1" applyAlignment="1">
      <alignment horizontal="left" vertical="center"/>
    </xf>
    <xf numFmtId="179" fontId="2" fillId="21" borderId="8" xfId="3" applyNumberFormat="1" applyFill="1" applyBorder="1" applyAlignment="1">
      <alignment horizontal="left" vertical="center"/>
    </xf>
    <xf numFmtId="179" fontId="2" fillId="21"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3" fontId="2" fillId="16" borderId="15" xfId="3" applyNumberFormat="1" applyFill="1" applyBorder="1" applyAlignment="1">
      <alignment horizontal="left" vertical="center"/>
    </xf>
    <xf numFmtId="183" fontId="2" fillId="21" borderId="8" xfId="3" applyNumberFormat="1" applyFill="1" applyBorder="1" applyAlignment="1">
      <alignment horizontal="left" vertical="center"/>
    </xf>
    <xf numFmtId="183" fontId="2" fillId="21" borderId="9" xfId="3" applyNumberFormat="1" applyFill="1" applyBorder="1" applyAlignment="1">
      <alignment horizontal="left" vertical="center"/>
    </xf>
    <xf numFmtId="183" fontId="2" fillId="21" borderId="15" xfId="3" applyNumberFormat="1" applyFill="1" applyBorder="1" applyAlignment="1">
      <alignment horizontal="left" vertical="center"/>
    </xf>
    <xf numFmtId="191" fontId="2" fillId="16" borderId="8" xfId="3" applyNumberFormat="1" applyFill="1" applyBorder="1" applyAlignment="1">
      <alignment horizontal="left" vertical="center"/>
    </xf>
    <xf numFmtId="191" fontId="2" fillId="16" borderId="9" xfId="3" applyNumberFormat="1" applyFill="1" applyBorder="1" applyAlignment="1">
      <alignment horizontal="left" vertical="center"/>
    </xf>
    <xf numFmtId="191" fontId="2" fillId="16" borderId="15" xfId="3" applyNumberFormat="1" applyFill="1" applyBorder="1" applyAlignment="1">
      <alignment horizontal="left" vertical="center"/>
    </xf>
    <xf numFmtId="189" fontId="2" fillId="21" borderId="8" xfId="3" applyNumberFormat="1" applyFill="1" applyBorder="1" applyAlignment="1">
      <alignment horizontal="left" vertical="center"/>
    </xf>
    <xf numFmtId="189" fontId="2" fillId="21" borderId="9" xfId="3" applyNumberFormat="1" applyFill="1" applyBorder="1" applyAlignment="1">
      <alignment horizontal="left" vertical="center"/>
    </xf>
    <xf numFmtId="189" fontId="2" fillId="21" borderId="15" xfId="3" applyNumberFormat="1" applyFill="1" applyBorder="1" applyAlignment="1">
      <alignment horizontal="left" vertical="center"/>
    </xf>
    <xf numFmtId="182" fontId="2" fillId="20" borderId="8" xfId="3" applyNumberFormat="1" applyFill="1" applyBorder="1" applyAlignment="1">
      <alignment horizontal="left" vertical="center"/>
    </xf>
    <xf numFmtId="182" fontId="2" fillId="20" borderId="9" xfId="3" applyNumberFormat="1" applyFill="1" applyBorder="1" applyAlignment="1">
      <alignment horizontal="left" vertical="center"/>
    </xf>
    <xf numFmtId="182" fontId="2" fillId="20" borderId="15" xfId="3" applyNumberFormat="1" applyFill="1" applyBorder="1" applyAlignment="1">
      <alignment horizontal="left" vertical="center"/>
    </xf>
    <xf numFmtId="180" fontId="2" fillId="9" borderId="8" xfId="3" applyNumberFormat="1" applyFill="1" applyBorder="1" applyAlignment="1">
      <alignment horizontal="left" vertical="center"/>
    </xf>
    <xf numFmtId="180" fontId="2" fillId="9" borderId="9" xfId="3" applyNumberFormat="1" applyFill="1" applyBorder="1" applyAlignment="1">
      <alignment horizontal="left" vertical="center"/>
    </xf>
    <xf numFmtId="179" fontId="2" fillId="20" borderId="8" xfId="3" applyNumberFormat="1" applyFill="1" applyBorder="1" applyAlignment="1">
      <alignment horizontal="left" vertical="center"/>
    </xf>
    <xf numFmtId="179" fontId="2" fillId="20" borderId="9" xfId="3" applyNumberFormat="1" applyFill="1" applyBorder="1" applyAlignment="1">
      <alignment horizontal="left" vertical="center"/>
    </xf>
    <xf numFmtId="178" fontId="2" fillId="20" borderId="8" xfId="3" applyNumberFormat="1" applyFill="1" applyBorder="1" applyAlignment="1">
      <alignment horizontal="left" vertical="center"/>
    </xf>
    <xf numFmtId="178" fontId="2" fillId="20" borderId="9" xfId="3" applyNumberFormat="1" applyFill="1" applyBorder="1" applyAlignment="1">
      <alignment horizontal="left" vertical="center"/>
    </xf>
    <xf numFmtId="180" fontId="2" fillId="16" borderId="8" xfId="3" applyNumberFormat="1" applyFill="1" applyBorder="1" applyAlignment="1">
      <alignment horizontal="left" vertical="center"/>
    </xf>
    <xf numFmtId="180" fontId="2" fillId="16" borderId="9" xfId="3" applyNumberFormat="1" applyFill="1" applyBorder="1" applyAlignment="1">
      <alignment horizontal="left" vertical="center"/>
    </xf>
    <xf numFmtId="188" fontId="2" fillId="20" borderId="8" xfId="3" applyNumberFormat="1" applyFill="1" applyBorder="1" applyAlignment="1">
      <alignment horizontal="left" vertical="center"/>
    </xf>
    <xf numFmtId="188" fontId="2" fillId="20" borderId="9" xfId="3" applyNumberFormat="1" applyFill="1" applyBorder="1" applyAlignment="1">
      <alignment horizontal="left" vertical="center"/>
    </xf>
    <xf numFmtId="184" fontId="2" fillId="16" borderId="8" xfId="3" applyNumberFormat="1" applyFill="1" applyBorder="1" applyAlignment="1">
      <alignment horizontal="left" vertical="center"/>
    </xf>
    <xf numFmtId="184" fontId="2" fillId="16" borderId="9" xfId="3" applyNumberFormat="1" applyFill="1" applyBorder="1" applyAlignment="1">
      <alignment horizontal="left" vertical="center"/>
    </xf>
    <xf numFmtId="184" fontId="2" fillId="16" borderId="15" xfId="3" applyNumberFormat="1" applyFill="1" applyBorder="1" applyAlignment="1">
      <alignment horizontal="left" vertical="center"/>
    </xf>
    <xf numFmtId="177" fontId="2" fillId="16" borderId="8" xfId="3" applyNumberFormat="1" applyFill="1" applyBorder="1" applyAlignment="1">
      <alignment horizontal="left" vertical="center"/>
    </xf>
    <xf numFmtId="0" fontId="0" fillId="0" borderId="9" xfId="0" applyBorder="1"/>
    <xf numFmtId="192" fontId="2" fillId="20" borderId="8" xfId="3" applyNumberFormat="1" applyFill="1" applyBorder="1" applyAlignment="1">
      <alignment horizontal="left" vertical="center"/>
    </xf>
    <xf numFmtId="192" fontId="2" fillId="20" borderId="9" xfId="3" applyNumberFormat="1" applyFill="1" applyBorder="1" applyAlignment="1">
      <alignment horizontal="left" vertical="center"/>
    </xf>
    <xf numFmtId="0" fontId="51" fillId="16" borderId="28" xfId="0" applyFont="1" applyFill="1" applyBorder="1" applyAlignment="1">
      <alignment horizontal="left" vertical="center"/>
    </xf>
    <xf numFmtId="0" fontId="51"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9" fillId="4" borderId="74" xfId="3" applyFont="1" applyFill="1" applyBorder="1" applyAlignment="1">
      <alignment horizontal="center" vertical="center"/>
    </xf>
    <xf numFmtId="0" fontId="79"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9"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9" fillId="4" borderId="60" xfId="3" applyFont="1" applyFill="1" applyBorder="1" applyAlignment="1">
      <alignment horizontal="center"/>
    </xf>
    <xf numFmtId="0" fontId="79" fillId="4" borderId="62" xfId="3" applyFont="1" applyFill="1" applyBorder="1" applyAlignment="1">
      <alignment horizontal="center"/>
    </xf>
    <xf numFmtId="0" fontId="3" fillId="0" borderId="57" xfId="3" applyFont="1" applyBorder="1" applyAlignment="1">
      <alignment horizontal="center"/>
    </xf>
    <xf numFmtId="0" fontId="79" fillId="4" borderId="55" xfId="3" applyFont="1" applyFill="1" applyBorder="1" applyAlignment="1">
      <alignment horizontal="center"/>
    </xf>
    <xf numFmtId="0" fontId="79" fillId="4" borderId="56" xfId="3" applyFont="1" applyFill="1" applyBorder="1" applyAlignment="1">
      <alignment horizontal="center"/>
    </xf>
    <xf numFmtId="0" fontId="79"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24" borderId="0" xfId="0" applyFont="1" applyFill="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70" fontId="3" fillId="4" borderId="55" xfId="0" applyNumberFormat="1" applyFont="1" applyFill="1" applyBorder="1" applyAlignment="1">
      <alignment horizontal="center"/>
    </xf>
    <xf numFmtId="170" fontId="3" fillId="4" borderId="56" xfId="0" applyNumberFormat="1" applyFont="1" applyFill="1" applyBorder="1" applyAlignment="1">
      <alignment horizontal="center"/>
    </xf>
    <xf numFmtId="170" fontId="3" fillId="4" borderId="57" xfId="0" applyNumberFormat="1" applyFont="1" applyFill="1" applyBorder="1" applyAlignment="1">
      <alignment horizontal="center"/>
    </xf>
    <xf numFmtId="0" fontId="3" fillId="4" borderId="83" xfId="0" applyFont="1" applyFill="1" applyBorder="1" applyAlignment="1">
      <alignment horizontal="center"/>
    </xf>
  </cellXfs>
  <cellStyles count="6">
    <cellStyle name="Comma" xfId="1" builtinId="3"/>
    <cellStyle name="Comma 2" xfId="5" xr:uid="{00000000-0005-0000-0000-000001000000}"/>
    <cellStyle name="Hyperlink" xfId="2" builtinId="8"/>
    <cellStyle name="Normal" xfId="0" builtinId="0"/>
    <cellStyle name="Normal 2" xfId="3" xr:uid="{00000000-0005-0000-0000-000004000000}"/>
    <cellStyle name="Normal 3" xfId="4" xr:uid="{00000000-0005-0000-0000-000005000000}"/>
  </cellStyles>
  <dxfs count="30">
    <dxf>
      <font>
        <color theme="0"/>
      </font>
      <fill>
        <patternFill>
          <bgColor theme="0"/>
        </patternFill>
      </fill>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rgb="FFC00000"/>
      </font>
    </dxf>
    <dxf>
      <font>
        <color rgb="FFC00000"/>
      </font>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color rgb="FFFF0000"/>
      </font>
    </dxf>
    <dxf>
      <font>
        <b/>
        <i val="0"/>
        <color rgb="FFFF0000"/>
      </font>
    </dxf>
    <dxf>
      <font>
        <b/>
        <i val="0"/>
        <color rgb="FFFF0000"/>
      </font>
    </dxf>
    <dxf>
      <font>
        <color theme="0"/>
      </font>
    </dxf>
    <dxf>
      <font>
        <b/>
        <i val="0"/>
        <color rgb="FFC00000"/>
      </font>
    </dxf>
    <dxf>
      <font>
        <color theme="0"/>
      </font>
      <fill>
        <patternFill>
          <bgColor theme="0"/>
        </patternFill>
      </fill>
    </dxf>
    <dxf>
      <font>
        <b/>
        <i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FF9900"/>
      <color rgb="FF0000FF"/>
      <color rgb="FFC00000"/>
      <color rgb="FF99CC00"/>
      <color rgb="FFCC00FF"/>
      <color rgb="FFC0C0C0"/>
      <color rgb="FFE8FCFE"/>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Calculations'!$Q$12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86.00565700300217</c:v>
                </c:pt>
                <c:pt idx="1">
                  <c:v>85.327517632676759</c:v>
                </c:pt>
                <c:pt idx="2">
                  <c:v>84.631600712198235</c:v>
                </c:pt>
                <c:pt idx="3">
                  <c:v>83.920152571786673</c:v>
                </c:pt>
                <c:pt idx="4">
                  <c:v>83.19570786921274</c:v>
                </c:pt>
                <c:pt idx="5">
                  <c:v>82.45890870680411</c:v>
                </c:pt>
                <c:pt idx="6">
                  <c:v>81.712441330247557</c:v>
                </c:pt>
                <c:pt idx="7">
                  <c:v>80.957269594768775</c:v>
                </c:pt>
                <c:pt idx="8">
                  <c:v>80.19521360297162</c:v>
                </c:pt>
                <c:pt idx="9">
                  <c:v>79.42679520819199</c:v>
                </c:pt>
                <c:pt idx="10">
                  <c:v>78.653399098063005</c:v>
                </c:pt>
                <c:pt idx="11">
                  <c:v>77.875724628843685</c:v>
                </c:pt>
                <c:pt idx="12">
                  <c:v>77.094045578546385</c:v>
                </c:pt>
                <c:pt idx="13">
                  <c:v>76.309696072733644</c:v>
                </c:pt>
                <c:pt idx="14">
                  <c:v>75.522543917325351</c:v>
                </c:pt>
                <c:pt idx="15">
                  <c:v>74.733306672621652</c:v>
                </c:pt>
                <c:pt idx="16">
                  <c:v>73.942270594498126</c:v>
                </c:pt>
                <c:pt idx="17">
                  <c:v>73.149841895643092</c:v>
                </c:pt>
                <c:pt idx="18">
                  <c:v>72.356036167445893</c:v>
                </c:pt>
                <c:pt idx="19">
                  <c:v>71.561271990355266</c:v>
                </c:pt>
                <c:pt idx="20">
                  <c:v>70.765562241387897</c:v>
                </c:pt>
                <c:pt idx="21">
                  <c:v>69.969211886803492</c:v>
                </c:pt>
                <c:pt idx="22">
                  <c:v>69.172169513662254</c:v>
                </c:pt>
                <c:pt idx="23">
                  <c:v>68.374731039025448</c:v>
                </c:pt>
                <c:pt idx="24">
                  <c:v>67.576775558913738</c:v>
                </c:pt>
                <c:pt idx="25">
                  <c:v>66.778494705697327</c:v>
                </c:pt>
                <c:pt idx="26">
                  <c:v>65.979759082982213</c:v>
                </c:pt>
                <c:pt idx="27">
                  <c:v>65.180870061462642</c:v>
                </c:pt>
                <c:pt idx="28">
                  <c:v>64.381835869870969</c:v>
                </c:pt>
                <c:pt idx="29">
                  <c:v>63.583185786768617</c:v>
                </c:pt>
                <c:pt idx="30">
                  <c:v>62.783596699106177</c:v>
                </c:pt>
                <c:pt idx="31">
                  <c:v>61.984208919797858</c:v>
                </c:pt>
                <c:pt idx="32">
                  <c:v>61.184499840939182</c:v>
                </c:pt>
                <c:pt idx="33">
                  <c:v>60.385056079944732</c:v>
                </c:pt>
                <c:pt idx="34">
                  <c:v>59.585275600218623</c:v>
                </c:pt>
                <c:pt idx="35">
                  <c:v>58.785621106988792</c:v>
                </c:pt>
                <c:pt idx="36">
                  <c:v>57.985981263103142</c:v>
                </c:pt>
                <c:pt idx="37">
                  <c:v>57.185935203827341</c:v>
                </c:pt>
                <c:pt idx="38">
                  <c:v>56.38625346326387</c:v>
                </c:pt>
                <c:pt idx="39">
                  <c:v>55.586299386974801</c:v>
                </c:pt>
                <c:pt idx="40">
                  <c:v>54.786382049855725</c:v>
                </c:pt>
                <c:pt idx="41">
                  <c:v>53.986438034897262</c:v>
                </c:pt>
                <c:pt idx="42">
                  <c:v>53.186581766005141</c:v>
                </c:pt>
                <c:pt idx="43">
                  <c:v>52.386581152542895</c:v>
                </c:pt>
                <c:pt idx="44">
                  <c:v>51.586650763392221</c:v>
                </c:pt>
                <c:pt idx="45">
                  <c:v>50.786630080297854</c:v>
                </c:pt>
                <c:pt idx="46">
                  <c:v>49.98668066765849</c:v>
                </c:pt>
                <c:pt idx="47">
                  <c:v>49.186629534722073</c:v>
                </c:pt>
                <c:pt idx="48">
                  <c:v>48.386672118278248</c:v>
                </c:pt>
                <c:pt idx="49">
                  <c:v>47.586601950553728</c:v>
                </c:pt>
                <c:pt idx="50">
                  <c:v>46.786539659452686</c:v>
                </c:pt>
                <c:pt idx="51">
                  <c:v>45.986295284872654</c:v>
                </c:pt>
                <c:pt idx="52">
                  <c:v>45.18611966826596</c:v>
                </c:pt>
                <c:pt idx="53">
                  <c:v>44.385977375879044</c:v>
                </c:pt>
                <c:pt idx="54">
                  <c:v>43.58636070751583</c:v>
                </c:pt>
                <c:pt idx="55">
                  <c:v>42.785912259228773</c:v>
                </c:pt>
                <c:pt idx="56">
                  <c:v>41.985744625022249</c:v>
                </c:pt>
                <c:pt idx="57">
                  <c:v>41.185308364886325</c:v>
                </c:pt>
                <c:pt idx="58">
                  <c:v>40.385166214116985</c:v>
                </c:pt>
                <c:pt idx="59">
                  <c:v>39.5846922958346</c:v>
                </c:pt>
                <c:pt idx="60">
                  <c:v>38.784326784394622</c:v>
                </c:pt>
                <c:pt idx="61">
                  <c:v>37.983935001589593</c:v>
                </c:pt>
                <c:pt idx="62">
                  <c:v>37.183071405727397</c:v>
                </c:pt>
                <c:pt idx="63">
                  <c:v>36.382481435370551</c:v>
                </c:pt>
                <c:pt idx="64">
                  <c:v>35.581499564780835</c:v>
                </c:pt>
                <c:pt idx="65">
                  <c:v>34.780404155540147</c:v>
                </c:pt>
                <c:pt idx="66">
                  <c:v>33.979097165718471</c:v>
                </c:pt>
                <c:pt idx="67">
                  <c:v>33.177654722470336</c:v>
                </c:pt>
                <c:pt idx="68">
                  <c:v>32.375801341838198</c:v>
                </c:pt>
                <c:pt idx="69">
                  <c:v>31.573704537103744</c:v>
                </c:pt>
                <c:pt idx="70">
                  <c:v>30.771151257541455</c:v>
                </c:pt>
                <c:pt idx="71">
                  <c:v>29.968247357119616</c:v>
                </c:pt>
                <c:pt idx="72">
                  <c:v>29.164759788793386</c:v>
                </c:pt>
                <c:pt idx="73">
                  <c:v>28.360823891816334</c:v>
                </c:pt>
                <c:pt idx="74">
                  <c:v>27.556172110562617</c:v>
                </c:pt>
                <c:pt idx="75">
                  <c:v>26.750869867955412</c:v>
                </c:pt>
                <c:pt idx="76">
                  <c:v>25.944678522738553</c:v>
                </c:pt>
                <c:pt idx="77">
                  <c:v>25.137817117063072</c:v>
                </c:pt>
                <c:pt idx="78">
                  <c:v>24.330235881882061</c:v>
                </c:pt>
                <c:pt idx="79">
                  <c:v>23.522443167926887</c:v>
                </c:pt>
                <c:pt idx="80">
                  <c:v>22.713107542496388</c:v>
                </c:pt>
                <c:pt idx="81">
                  <c:v>21.903425986822498</c:v>
                </c:pt>
                <c:pt idx="82">
                  <c:v>21.092948063608418</c:v>
                </c:pt>
                <c:pt idx="83">
                  <c:v>20.282378608877117</c:v>
                </c:pt>
                <c:pt idx="84">
                  <c:v>19.471241538801802</c:v>
                </c:pt>
                <c:pt idx="85">
                  <c:v>18.660153918910588</c:v>
                </c:pt>
                <c:pt idx="86">
                  <c:v>17.849151884280733</c:v>
                </c:pt>
                <c:pt idx="87">
                  <c:v>17.037946232620442</c:v>
                </c:pt>
                <c:pt idx="88">
                  <c:v>16.227432662216636</c:v>
                </c:pt>
                <c:pt idx="89">
                  <c:v>15.417048061129226</c:v>
                </c:pt>
                <c:pt idx="90">
                  <c:v>14.607149834367355</c:v>
                </c:pt>
                <c:pt idx="91">
                  <c:v>13.797677175524214</c:v>
                </c:pt>
                <c:pt idx="92">
                  <c:v>12.988708658445578</c:v>
                </c:pt>
                <c:pt idx="93">
                  <c:v>12.179933842241866</c:v>
                </c:pt>
                <c:pt idx="94">
                  <c:v>11.977861442306725</c:v>
                </c:pt>
                <c:pt idx="95">
                  <c:v>11.876204180511882</c:v>
                </c:pt>
                <c:pt idx="96">
                  <c:v>11.775713236027379</c:v>
                </c:pt>
                <c:pt idx="97">
                  <c:v>11.674072109995269</c:v>
                </c:pt>
                <c:pt idx="98">
                  <c:v>11.573596431103276</c:v>
                </c:pt>
                <c:pt idx="99">
                  <c:v>11.471944753720928</c:v>
                </c:pt>
                <c:pt idx="100">
                  <c:v>11.371458217749025</c:v>
                </c:pt>
                <c:pt idx="101">
                  <c:v>11.269848115946433</c:v>
                </c:pt>
                <c:pt idx="102">
                  <c:v>11.169401617915337</c:v>
                </c:pt>
                <c:pt idx="103">
                  <c:v>11.067734186077807</c:v>
                </c:pt>
                <c:pt idx="104">
                  <c:v>10.967231028232685</c:v>
                </c:pt>
                <c:pt idx="105">
                  <c:v>10.865561256586831</c:v>
                </c:pt>
                <c:pt idx="106">
                  <c:v>10.765055131102169</c:v>
                </c:pt>
                <c:pt idx="107">
                  <c:v>10.663434192288276</c:v>
                </c:pt>
                <c:pt idx="108">
                  <c:v>10.562975062491278</c:v>
                </c:pt>
                <c:pt idx="109">
                  <c:v>10.461381730031478</c:v>
                </c:pt>
                <c:pt idx="110">
                  <c:v>10.360948807536754</c:v>
                </c:pt>
                <c:pt idx="111">
                  <c:v>10.259297434984472</c:v>
                </c:pt>
                <c:pt idx="112">
                  <c:v>10.15880697167389</c:v>
                </c:pt>
                <c:pt idx="113">
                  <c:v>10.05715193628375</c:v>
                </c:pt>
                <c:pt idx="114">
                  <c:v>9.9566570258714489</c:v>
                </c:pt>
                <c:pt idx="115">
                  <c:v>9.854984734885706</c:v>
                </c:pt>
                <c:pt idx="116">
                  <c:v>9.7544720440398009</c:v>
                </c:pt>
                <c:pt idx="117">
                  <c:v>9.6527711128215721</c:v>
                </c:pt>
                <c:pt idx="118">
                  <c:v>9.5522294645191543</c:v>
                </c:pt>
                <c:pt idx="119">
                  <c:v>9.4505518512294877</c:v>
                </c:pt>
                <c:pt idx="120">
                  <c:v>9.3500319750654413</c:v>
                </c:pt>
                <c:pt idx="121">
                  <c:v>9.2483660419464275</c:v>
                </c:pt>
                <c:pt idx="122">
                  <c:v>9.1478565126160447</c:v>
                </c:pt>
                <c:pt idx="123">
                  <c:v>9.046133972819522</c:v>
                </c:pt>
                <c:pt idx="124">
                  <c:v>8.9455679938809425</c:v>
                </c:pt>
                <c:pt idx="125">
                  <c:v>8.843842095945222</c:v>
                </c:pt>
                <c:pt idx="126">
                  <c:v>8.7432716557283801</c:v>
                </c:pt>
                <c:pt idx="127">
                  <c:v>8.6415359608874915</c:v>
                </c:pt>
                <c:pt idx="128">
                  <c:v>8.5409547091165177</c:v>
                </c:pt>
                <c:pt idx="129">
                  <c:v>8.4392042603363411</c:v>
                </c:pt>
                <c:pt idx="130">
                  <c:v>8.3386072927771995</c:v>
                </c:pt>
                <c:pt idx="131">
                  <c:v>8.236838484665526</c:v>
                </c:pt>
                <c:pt idx="132">
                  <c:v>8.1863879602722829</c:v>
                </c:pt>
                <c:pt idx="133">
                  <c:v>8.1362222159480062</c:v>
                </c:pt>
                <c:pt idx="134">
                  <c:v>8.0851555296929529</c:v>
                </c:pt>
                <c:pt idx="135">
                  <c:v>8.0343804214032986</c:v>
                </c:pt>
                <c:pt idx="136">
                  <c:v>7.9838934892135178</c:v>
                </c:pt>
                <c:pt idx="137">
                  <c:v>7.9336913899155013</c:v>
                </c:pt>
                <c:pt idx="138">
                  <c:v>7.882640693738999</c:v>
                </c:pt>
                <c:pt idx="139">
                  <c:v>7.8318810200683604</c:v>
                </c:pt>
                <c:pt idx="140">
                  <c:v>7.7814089745385644</c:v>
                </c:pt>
                <c:pt idx="141">
                  <c:v>7.7312212212773037</c:v>
                </c:pt>
                <c:pt idx="142">
                  <c:v>7.6801344064602128</c:v>
                </c:pt>
                <c:pt idx="143">
                  <c:v>7.6293386341249301</c:v>
                </c:pt>
                <c:pt idx="144">
                  <c:v>7.5788305072931061</c:v>
                </c:pt>
                <c:pt idx="145">
                  <c:v>7.5286066875452571</c:v>
                </c:pt>
                <c:pt idx="146">
                  <c:v>7.4775103171723494</c:v>
                </c:pt>
                <c:pt idx="147">
                  <c:v>7.4267046891805091</c:v>
                </c:pt>
                <c:pt idx="148">
                  <c:v>7.3761864094815248</c:v>
                </c:pt>
                <c:pt idx="149">
                  <c:v>7.3259521424850425</c:v>
                </c:pt>
                <c:pt idx="150">
                  <c:v>7.2748469094977661</c:v>
                </c:pt>
                <c:pt idx="151">
                  <c:v>7.224032092398768</c:v>
                </c:pt>
                <c:pt idx="152">
                  <c:v>7.1735043003622732</c:v>
                </c:pt>
                <c:pt idx="153">
                  <c:v>7.1232602009899351</c:v>
                </c:pt>
                <c:pt idx="154">
                  <c:v>7.0721237014452587</c:v>
                </c:pt>
                <c:pt idx="155">
                  <c:v>7.0212775256309445</c:v>
                </c:pt>
                <c:pt idx="156">
                  <c:v>6.9707182817933937</c:v>
                </c:pt>
                <c:pt idx="157">
                  <c:v>6.9204426366311669</c:v>
                </c:pt>
                <c:pt idx="158">
                  <c:v>6.8692778096058742</c:v>
                </c:pt>
                <c:pt idx="159">
                  <c:v>6.8184031601013082</c:v>
                </c:pt>
                <c:pt idx="160">
                  <c:v>6.7678152962724178</c:v>
                </c:pt>
                <c:pt idx="161">
                  <c:v>6.7175108847310288</c:v>
                </c:pt>
                <c:pt idx="162">
                  <c:v>6.6663432853264908</c:v>
                </c:pt>
                <c:pt idx="163">
                  <c:v>6.6154654070561225</c:v>
                </c:pt>
                <c:pt idx="164">
                  <c:v>6.5648738632920871</c:v>
                </c:pt>
                <c:pt idx="165">
                  <c:v>6.5145653257457878</c:v>
                </c:pt>
                <c:pt idx="166">
                  <c:v>6.463352918783297</c:v>
                </c:pt>
                <c:pt idx="167">
                  <c:v>6.4124302291229371</c:v>
                </c:pt>
                <c:pt idx="168">
                  <c:v>6.361793867318112</c:v>
                </c:pt>
                <c:pt idx="169">
                  <c:v>6.3114405023272493</c:v>
                </c:pt>
                <c:pt idx="170">
                  <c:v>6.2602953603611073</c:v>
                </c:pt>
                <c:pt idx="171">
                  <c:v>6.2094386463024618</c:v>
                </c:pt>
                <c:pt idx="172">
                  <c:v>6.1588669902395416</c:v>
                </c:pt>
                <c:pt idx="173">
                  <c:v>6.1085770802189749</c:v>
                </c:pt>
                <c:pt idx="174">
                  <c:v>6.0573084396937746</c:v>
                </c:pt>
                <c:pt idx="175">
                  <c:v>6.0063290612899412</c:v>
                </c:pt>
                <c:pt idx="176">
                  <c:v>5.9556355573486766</c:v>
                </c:pt>
                <c:pt idx="177">
                  <c:v>5.9052245985756047</c:v>
                </c:pt>
                <c:pt idx="178">
                  <c:v>5.8538636569925231</c:v>
                </c:pt>
                <c:pt idx="179">
                  <c:v>5.802792433185358</c:v>
                </c:pt>
                <c:pt idx="180">
                  <c:v>5.7520075281826069</c:v>
                </c:pt>
                <c:pt idx="181">
                  <c:v>5.7015056016357253</c:v>
                </c:pt>
                <c:pt idx="182">
                  <c:v>5.6502817564917827</c:v>
                </c:pt>
                <c:pt idx="183">
                  <c:v>5.5993454825976716</c:v>
                </c:pt>
                <c:pt idx="184">
                  <c:v>5.5486934151211189</c:v>
                </c:pt>
                <c:pt idx="185">
                  <c:v>5.4983222470700257</c:v>
                </c:pt>
                <c:pt idx="186">
                  <c:v>5.44685749666505</c:v>
                </c:pt>
                <c:pt idx="187">
                  <c:v>5.3956823833293219</c:v>
                </c:pt>
                <c:pt idx="188">
                  <c:v>5.3447935023461923</c:v>
                </c:pt>
                <c:pt idx="189">
                  <c:v>5.2941875077506637</c:v>
                </c:pt>
                <c:pt idx="190">
                  <c:v>5.2429033811544565</c:v>
                </c:pt>
                <c:pt idx="191">
                  <c:v>5.191906205554714</c:v>
                </c:pt>
                <c:pt idx="192">
                  <c:v>5.1411926195421369</c:v>
                </c:pt>
                <c:pt idx="193">
                  <c:v>5.0907593194653113</c:v>
                </c:pt>
                <c:pt idx="194">
                  <c:v>5.0392917976332949</c:v>
                </c:pt>
                <c:pt idx="195">
                  <c:v>4.9881125825968677</c:v>
                </c:pt>
                <c:pt idx="196">
                  <c:v>4.9372182851376722</c:v>
                </c:pt>
                <c:pt idx="197">
                  <c:v>4.886605574428601</c:v>
                </c:pt>
                <c:pt idx="198">
                  <c:v>4.835172053192669</c:v>
                </c:pt>
                <c:pt idx="199">
                  <c:v>4.7840257340575585</c:v>
                </c:pt>
                <c:pt idx="200">
                  <c:v>4.7331632429886348</c:v>
                </c:pt>
                <c:pt idx="201">
                  <c:v>4.6825812639917714</c:v>
                </c:pt>
                <c:pt idx="202">
                  <c:v>4.6312015898667722</c:v>
                </c:pt>
                <c:pt idx="203">
                  <c:v>4.5801077646796653</c:v>
                </c:pt>
                <c:pt idx="204">
                  <c:v>4.5292964337383257</c:v>
                </c:pt>
                <c:pt idx="205">
                  <c:v>4.4787642999455581</c:v>
                </c:pt>
                <c:pt idx="206">
                  <c:v>4.4272815088644162</c:v>
                </c:pt>
                <c:pt idx="207">
                  <c:v>4.3760849232266121</c:v>
                </c:pt>
                <c:pt idx="208">
                  <c:v>4.3251711774360713</c:v>
                </c:pt>
                <c:pt idx="209">
                  <c:v>4.274536963736578</c:v>
                </c:pt>
                <c:pt idx="210">
                  <c:v>4.2228079145892394</c:v>
                </c:pt>
                <c:pt idx="211">
                  <c:v>4.1713669753440392</c:v>
                </c:pt>
                <c:pt idx="212">
                  <c:v>4.1202107419032696</c:v>
                </c:pt>
                <c:pt idx="213">
                  <c:v>4.069335868885851</c:v>
                </c:pt>
                <c:pt idx="214">
                  <c:v>4.0177332987027388</c:v>
                </c:pt>
                <c:pt idx="215">
                  <c:v>3.9664165690526616</c:v>
                </c:pt>
                <c:pt idx="216">
                  <c:v>3.9153823106967329</c:v>
                </c:pt>
                <c:pt idx="217">
                  <c:v>3.8646272123097454</c:v>
                </c:pt>
                <c:pt idx="218">
                  <c:v>3.8130002197454704</c:v>
                </c:pt>
                <c:pt idx="219">
                  <c:v>3.7616584354352396</c:v>
                </c:pt>
                <c:pt idx="220">
                  <c:v>3.7105984958669103</c:v>
                </c:pt>
                <c:pt idx="221">
                  <c:v>3.6598170953058111</c:v>
                </c:pt>
                <c:pt idx="222">
                  <c:v>3.608188164356068</c:v>
                </c:pt>
                <c:pt idx="223">
                  <c:v>3.5568435223661483</c:v>
                </c:pt>
                <c:pt idx="224">
                  <c:v>3.5057798163490332</c:v>
                </c:pt>
                <c:pt idx="225">
                  <c:v>3.4549937508492112</c:v>
                </c:pt>
                <c:pt idx="226">
                  <c:v>3.4032267059408672</c:v>
                </c:pt>
                <c:pt idx="227">
                  <c:v>3.3517444826890523</c:v>
                </c:pt>
                <c:pt idx="228">
                  <c:v>3.3005437127036554</c:v>
                </c:pt>
                <c:pt idx="229">
                  <c:v>3.2496210854715168</c:v>
                </c:pt>
                <c:pt idx="230">
                  <c:v>3.1461542724661014</c:v>
                </c:pt>
                <c:pt idx="231">
                  <c:v>3.094844962854606</c:v>
                </c:pt>
                <c:pt idx="232">
                  <c:v>3.0438139391321113</c:v>
                </c:pt>
                <c:pt idx="233">
                  <c:v>2.9918563637855393</c:v>
                </c:pt>
                <c:pt idx="234">
                  <c:v>2.9401835837952515</c:v>
                </c:pt>
                <c:pt idx="235">
                  <c:v>2.8887922182038568</c:v>
                </c:pt>
                <c:pt idx="236">
                  <c:v>2.837678944204312</c:v>
                </c:pt>
                <c:pt idx="237">
                  <c:v>2.7858118132459699</c:v>
                </c:pt>
                <c:pt idx="238">
                  <c:v>2.7342273642979547</c:v>
                </c:pt>
                <c:pt idx="239">
                  <c:v>2.6829222468755964</c:v>
                </c:pt>
                <c:pt idx="240">
                  <c:v>2.6318931679413078</c:v>
                </c:pt>
                <c:pt idx="241">
                  <c:v>2.5798426932739096</c:v>
                </c:pt>
                <c:pt idx="242">
                  <c:v>2.5280757172054793</c:v>
                </c:pt>
                <c:pt idx="243">
                  <c:v>2.4765888673744358</c:v>
                </c:pt>
                <c:pt idx="244">
                  <c:v>2.4253788293574314</c:v>
                </c:pt>
                <c:pt idx="245">
                  <c:v>2.3733166326879069</c:v>
                </c:pt>
                <c:pt idx="246">
                  <c:v>2.3215368293651868</c:v>
                </c:pt>
                <c:pt idx="247">
                  <c:v>2.2700360589053741</c:v>
                </c:pt>
                <c:pt idx="248">
                  <c:v>2.218811018483053</c:v>
                </c:pt>
                <c:pt idx="249">
                  <c:v>2.1666190933313505</c:v>
                </c:pt>
                <c:pt idx="250">
                  <c:v>2.1147096759842983</c:v>
                </c:pt>
                <c:pt idx="251">
                  <c:v>2.0630793957168847</c:v>
                </c:pt>
                <c:pt idx="252">
                  <c:v>2.0117249396871508</c:v>
                </c:pt>
                <c:pt idx="253">
                  <c:v>1.959564875415523</c:v>
                </c:pt>
                <c:pt idx="254">
                  <c:v>1.9076856307037973</c:v>
                </c:pt>
                <c:pt idx="255">
                  <c:v>1.8560838563194679</c:v>
                </c:pt>
                <c:pt idx="256">
                  <c:v>1.8047562604131928</c:v>
                </c:pt>
                <c:pt idx="257">
                  <c:v>1.7523804678691883</c:v>
                </c:pt>
                <c:pt idx="258">
                  <c:v>1.7002864047112776</c:v>
                </c:pt>
                <c:pt idx="259">
                  <c:v>1.6484706963513063</c:v>
                </c:pt>
                <c:pt idx="260">
                  <c:v>1.5969300261521546</c:v>
                </c:pt>
                <c:pt idx="261">
                  <c:v>1.5444990653763044</c:v>
                </c:pt>
                <c:pt idx="262">
                  <c:v>1.4923489493990143</c:v>
                </c:pt>
                <c:pt idx="263">
                  <c:v>1.4404763098646658</c:v>
                </c:pt>
                <c:pt idx="264">
                  <c:v>1.3888778362152761</c:v>
                </c:pt>
                <c:pt idx="265">
                  <c:v>1.3364127143175186</c:v>
                </c:pt>
                <c:pt idx="266">
                  <c:v>1.2842272624803128</c:v>
                </c:pt>
                <c:pt idx="267">
                  <c:v>1.2323181233171554</c:v>
                </c:pt>
                <c:pt idx="268">
                  <c:v>1.1806819969773239</c:v>
                </c:pt>
                <c:pt idx="269">
                  <c:v>1.1280782166293681</c:v>
                </c:pt>
                <c:pt idx="270">
                  <c:v>1.0757539707726189</c:v>
                </c:pt>
                <c:pt idx="271">
                  <c:v>1.0237058938056813</c:v>
                </c:pt>
                <c:pt idx="272">
                  <c:v>0.97193067783754938</c:v>
                </c:pt>
                <c:pt idx="273">
                  <c:v>0.91921354471242001</c:v>
                </c:pt>
                <c:pt idx="274">
                  <c:v>0.86677546148706475</c:v>
                </c:pt>
                <c:pt idx="275">
                  <c:v>0.81461306003882228</c:v>
                </c:pt>
                <c:pt idx="276">
                  <c:v>0.76272302999942698</c:v>
                </c:pt>
                <c:pt idx="277">
                  <c:v>0.7100344630400206</c:v>
                </c:pt>
                <c:pt idx="278">
                  <c:v>0.65762288971050575</c:v>
                </c:pt>
                <c:pt idx="279">
                  <c:v>0.60548496717857747</c:v>
                </c:pt>
                <c:pt idx="280">
                  <c:v>0.55361740977626561</c:v>
                </c:pt>
                <c:pt idx="281">
                  <c:v>0.50062291972733797</c:v>
                </c:pt>
                <c:pt idx="282">
                  <c:v>0.44790679412345052</c:v>
                </c:pt>
                <c:pt idx="283">
                  <c:v>0.3954656528242102</c:v>
                </c:pt>
                <c:pt idx="284">
                  <c:v>0.3432961736877807</c:v>
                </c:pt>
                <c:pt idx="285">
                  <c:v>0.29037116152067938</c:v>
                </c:pt>
                <c:pt idx="286">
                  <c:v>0.23772186535495773</c:v>
                </c:pt>
                <c:pt idx="287">
                  <c:v>0.18534493992687415</c:v>
                </c:pt>
                <c:pt idx="288">
                  <c:v>0.13323709716073526</c:v>
                </c:pt>
                <c:pt idx="289">
                  <c:v>8.0057861734748895E-2</c:v>
                </c:pt>
                <c:pt idx="290">
                  <c:v>2.7154975949025564E-2</c:v>
                </c:pt>
                <c:pt idx="291">
                  <c:v>-2.547493087728548E-2</c:v>
                </c:pt>
                <c:pt idx="292">
                  <c:v>-7.7835171676134088E-2</c:v>
                </c:pt>
                <c:pt idx="293">
                  <c:v>-0.13112972821859881</c:v>
                </c:pt>
                <c:pt idx="294">
                  <c:v>-0.18414884747887147</c:v>
                </c:pt>
                <c:pt idx="295">
                  <c:v>-0.2368958982068527</c:v>
                </c:pt>
                <c:pt idx="296">
                  <c:v>-0.28937419146630788</c:v>
                </c:pt>
                <c:pt idx="297">
                  <c:v>-0.34276328508953763</c:v>
                </c:pt>
                <c:pt idx="298">
                  <c:v>-0.3958781669880056</c:v>
                </c:pt>
                <c:pt idx="299">
                  <c:v>-0.44872219899706478</c:v>
                </c:pt>
                <c:pt idx="300">
                  <c:v>-0.50129868544327083</c:v>
                </c:pt>
                <c:pt idx="301">
                  <c:v>-0.55476340554644143</c:v>
                </c:pt>
                <c:pt idx="302">
                  <c:v>-0.60795543213335201</c:v>
                </c:pt>
                <c:pt idx="303">
                  <c:v>-0.66087811551198716</c:v>
                </c:pt>
                <c:pt idx="304">
                  <c:v>-0.71353474876479961</c:v>
                </c:pt>
                <c:pt idx="305">
                  <c:v>-0.76726330801292675</c:v>
                </c:pt>
                <c:pt idx="306">
                  <c:v>-0.82071888986961894</c:v>
                </c:pt>
                <c:pt idx="307">
                  <c:v>-0.87390486715605076</c:v>
                </c:pt>
                <c:pt idx="308">
                  <c:v>-0.92682455497890459</c:v>
                </c:pt>
                <c:pt idx="309">
                  <c:v>-0.98058802860475136</c:v>
                </c:pt>
                <c:pt idx="310">
                  <c:v>-1.0340806786857664</c:v>
                </c:pt>
                <c:pt idx="311">
                  <c:v>-1.0873058564879252</c:v>
                </c:pt>
                <c:pt idx="312">
                  <c:v>-1.1402668560767391</c:v>
                </c:pt>
                <c:pt idx="313">
                  <c:v>-1.1942490500611849</c:v>
                </c:pt>
                <c:pt idx="314">
                  <c:v>-1.2479608412484473</c:v>
                </c:pt>
                <c:pt idx="315">
                  <c:v>-1.3014055923568348</c:v>
                </c:pt>
                <c:pt idx="316">
                  <c:v>-1.3545866086699911</c:v>
                </c:pt>
                <c:pt idx="317">
                  <c:v>-1.4087640034985358</c:v>
                </c:pt>
                <c:pt idx="318">
                  <c:v>-1.462671787965071</c:v>
                </c:pt>
                <c:pt idx="319">
                  <c:v>-1.5163133304394585</c:v>
                </c:pt>
                <c:pt idx="320">
                  <c:v>-1.569691941756082</c:v>
                </c:pt>
                <c:pt idx="321">
                  <c:v>-1.6240431366542047</c:v>
                </c:pt>
                <c:pt idx="322">
                  <c:v>-1.6781258638077285</c:v>
                </c:pt>
                <c:pt idx="323">
                  <c:v>-1.7319434918084231</c:v>
                </c:pt>
                <c:pt idx="324">
                  <c:v>-1.7854993317367915</c:v>
                </c:pt>
                <c:pt idx="325">
                  <c:v>-1.8400049614282761</c:v>
                </c:pt>
                <c:pt idx="326">
                  <c:v>-1.8942435951272816</c:v>
                </c:pt>
                <c:pt idx="327">
                  <c:v>-1.94821859659012</c:v>
                </c:pt>
                <c:pt idx="328">
                  <c:v>-2.0019332722024501</c:v>
                </c:pt>
                <c:pt idx="329">
                  <c:v>-2.056667076254536</c:v>
                </c:pt>
                <c:pt idx="330">
                  <c:v>-2.1111347826325773</c:v>
                </c:pt>
                <c:pt idx="331">
                  <c:v>-2.1653397622797264</c:v>
                </c:pt>
                <c:pt idx="332">
                  <c:v>-2.2192853286381435</c:v>
                </c:pt>
                <c:pt idx="333">
                  <c:v>-2.2741371355776971</c:v>
                </c:pt>
                <c:pt idx="334">
                  <c:v>-2.3287249617543471</c:v>
                </c:pt>
                <c:pt idx="335">
                  <c:v>-2.3830521634617945</c:v>
                </c:pt>
                <c:pt idx="336">
                  <c:v>-2.4371220398589748</c:v>
                </c:pt>
                <c:pt idx="337">
                  <c:v>-2.4922536858984357</c:v>
                </c:pt>
                <c:pt idx="338">
                  <c:v>-2.5471220703833826</c:v>
                </c:pt>
                <c:pt idx="339">
                  <c:v>-2.6017305628755425</c:v>
                </c:pt>
                <c:pt idx="340">
                  <c:v>-2.6560824755374384</c:v>
                </c:pt>
                <c:pt idx="341">
                  <c:v>-2.7114722129322075</c:v>
                </c:pt>
                <c:pt idx="342">
                  <c:v>-2.7665997964443125</c:v>
                </c:pt>
                <c:pt idx="343">
                  <c:v>-2.8214686030472795</c:v>
                </c:pt>
                <c:pt idx="344">
                  <c:v>-2.8760819521853138</c:v>
                </c:pt>
                <c:pt idx="345">
                  <c:v>-2.9316257672706629</c:v>
                </c:pt>
                <c:pt idx="346">
                  <c:v>-2.9869096909977455</c:v>
                </c:pt>
                <c:pt idx="347">
                  <c:v>-3.0419370869893041</c:v>
                </c:pt>
                <c:pt idx="348">
                  <c:v>-3.0967112616800003</c:v>
                </c:pt>
                <c:pt idx="349">
                  <c:v>-3.1525622285243045</c:v>
                </c:pt>
                <c:pt idx="350">
                  <c:v>-3.2081543167943005</c:v>
                </c:pt>
                <c:pt idx="351">
                  <c:v>-3.263490902533924</c:v>
                </c:pt>
                <c:pt idx="352">
                  <c:v>-3.3185753043585602</c:v>
                </c:pt>
                <c:pt idx="353">
                  <c:v>-3.3747133840126331</c:v>
                </c:pt>
                <c:pt idx="354">
                  <c:v>-3.430593989067332</c:v>
                </c:pt>
                <c:pt idx="355">
                  <c:v>-3.4862205022067627</c:v>
                </c:pt>
                <c:pt idx="356">
                  <c:v>-3.5415962485778096</c:v>
                </c:pt>
                <c:pt idx="357">
                  <c:v>-3.597923688509757</c:v>
                </c:pt>
                <c:pt idx="358">
                  <c:v>-3.6539961488425812</c:v>
                </c:pt>
                <c:pt idx="359">
                  <c:v>-3.7098169992063839</c:v>
                </c:pt>
                <c:pt idx="360">
                  <c:v>-3.765389552031031</c:v>
                </c:pt>
                <c:pt idx="361">
                  <c:v>-3.8220519904004084</c:v>
                </c:pt>
                <c:pt idx="362">
                  <c:v>-3.8784608321687264</c:v>
                </c:pt>
                <c:pt idx="363">
                  <c:v>-3.9346194577331524</c:v>
                </c:pt>
                <c:pt idx="364">
                  <c:v>-3.9905311900897495</c:v>
                </c:pt>
                <c:pt idx="365">
                  <c:v>-4.0474336227388648</c:v>
                </c:pt>
                <c:pt idx="366">
                  <c:v>-4.1040849110778375</c:v>
                </c:pt>
                <c:pt idx="367">
                  <c:v>-4.1604884269668521</c:v>
                </c:pt>
                <c:pt idx="368">
                  <c:v>-4.2166474850992399</c:v>
                </c:pt>
                <c:pt idx="369">
                  <c:v>-4.2739299062572931</c:v>
                </c:pt>
                <c:pt idx="370">
                  <c:v>-4.330962630597389</c:v>
                </c:pt>
                <c:pt idx="371">
                  <c:v>-4.3877490437370525</c:v>
                </c:pt>
                <c:pt idx="372">
                  <c:v>-4.4442924738571961</c:v>
                </c:pt>
                <c:pt idx="373">
                  <c:v>-4.5018629021179581</c:v>
                </c:pt>
                <c:pt idx="374">
                  <c:v>-4.5591861271631622</c:v>
                </c:pt>
                <c:pt idx="375">
                  <c:v>-4.6162655294560704</c:v>
                </c:pt>
                <c:pt idx="376">
                  <c:v>-4.6731044321777349</c:v>
                </c:pt>
                <c:pt idx="377">
                  <c:v>-4.7310979879709132</c:v>
                </c:pt>
                <c:pt idx="378">
                  <c:v>-4.7888459298487467</c:v>
                </c:pt>
                <c:pt idx="379">
                  <c:v>-4.8463516540240654</c:v>
                </c:pt>
                <c:pt idx="380">
                  <c:v>-4.903618499107397</c:v>
                </c:pt>
                <c:pt idx="381">
                  <c:v>-4.9618744366700964</c:v>
                </c:pt>
                <c:pt idx="382">
                  <c:v>-5.0198879680590727</c:v>
                </c:pt>
                <c:pt idx="383">
                  <c:v>-5.0776624742372221</c:v>
                </c:pt>
                <c:pt idx="384">
                  <c:v>-5.1352012789386903</c:v>
                </c:pt>
                <c:pt idx="385">
                  <c:v>-5.193924958254275</c:v>
                </c:pt>
                <c:pt idx="386">
                  <c:v>-5.2524079972728233</c:v>
                </c:pt>
                <c:pt idx="387">
                  <c:v>-5.3106537943226524</c:v>
                </c:pt>
                <c:pt idx="388">
                  <c:v>-5.3686656901356038</c:v>
                </c:pt>
                <c:pt idx="389">
                  <c:v>-5.4277717869902702</c:v>
                </c:pt>
                <c:pt idx="390">
                  <c:v>-5.4866400049030624</c:v>
                </c:pt>
                <c:pt idx="391">
                  <c:v>-5.5452737414476507</c:v>
                </c:pt>
                <c:pt idx="392">
                  <c:v>-5.6036763366328657</c:v>
                </c:pt>
                <c:pt idx="393">
                  <c:v>-5.6631550079811452</c:v>
                </c:pt>
                <c:pt idx="394">
                  <c:v>-5.7223989223652572</c:v>
                </c:pt>
                <c:pt idx="395">
                  <c:v>-5.7814114715702516</c:v>
                </c:pt>
                <c:pt idx="396">
                  <c:v>-5.8401959899498941</c:v>
                </c:pt>
                <c:pt idx="397">
                  <c:v>-5.9001746705975231</c:v>
                </c:pt>
                <c:pt idx="398">
                  <c:v>-5.9599210162090168</c:v>
                </c:pt>
                <c:pt idx="399">
                  <c:v>-6.0194384308607907</c:v>
                </c:pt>
                <c:pt idx="400">
                  <c:v>-6.0787302609099694</c:v>
                </c:pt>
                <c:pt idx="401">
                  <c:v>-6.1391306540450108</c:v>
                </c:pt>
                <c:pt idx="402">
                  <c:v>-6.1993020612873142</c:v>
                </c:pt>
                <c:pt idx="403">
                  <c:v>-6.259247881822974</c:v>
                </c:pt>
                <c:pt idx="404">
                  <c:v>-6.3189714571999875</c:v>
                </c:pt>
                <c:pt idx="405">
                  <c:v>-6.3798527481692426</c:v>
                </c:pt>
                <c:pt idx="406">
                  <c:v>-6.4405082701285892</c:v>
                </c:pt>
                <c:pt idx="407">
                  <c:v>-6.5009414233228284</c:v>
                </c:pt>
                <c:pt idx="408">
                  <c:v>-6.5611555502837238</c:v>
                </c:pt>
                <c:pt idx="409">
                  <c:v>-6.6225752528543138</c:v>
                </c:pt>
                <c:pt idx="410">
                  <c:v>-6.6837723192218288</c:v>
                </c:pt>
                <c:pt idx="411">
                  <c:v>-6.7447501558974023</c:v>
                </c:pt>
                <c:pt idx="412">
                  <c:v>-6.8055121114594339</c:v>
                </c:pt>
                <c:pt idx="413">
                  <c:v>-6.8674626559554763</c:v>
                </c:pt>
                <c:pt idx="414">
                  <c:v>-6.9291941063776985</c:v>
                </c:pt>
                <c:pt idx="415">
                  <c:v>-6.9907098695573815</c:v>
                </c:pt>
                <c:pt idx="416">
                  <c:v>-7.052013294274758</c:v>
                </c:pt>
                <c:pt idx="417">
                  <c:v>-7.1145523023311341</c:v>
                </c:pt>
                <c:pt idx="418">
                  <c:v>-7.1768757143418664</c:v>
                </c:pt>
                <c:pt idx="419">
                  <c:v>-7.2389869419448409</c:v>
                </c:pt>
                <c:pt idx="420">
                  <c:v>-7.300889338467206</c:v>
                </c:pt>
                <c:pt idx="421">
                  <c:v>-7.3639494242436543</c:v>
                </c:pt>
                <c:pt idx="422">
                  <c:v>-7.4267982360319333</c:v>
                </c:pt>
                <c:pt idx="423">
                  <c:v>-7.4894391740962654</c:v>
                </c:pt>
                <c:pt idx="424">
                  <c:v>-7.5518755804514122</c:v>
                </c:pt>
                <c:pt idx="425">
                  <c:v>-7.6156396077843933</c:v>
                </c:pt>
                <c:pt idx="426">
                  <c:v>-7.6791958353303347</c:v>
                </c:pt>
                <c:pt idx="427">
                  <c:v>-7.7425476758455378</c:v>
                </c:pt>
                <c:pt idx="428">
                  <c:v>-7.8056984832980545</c:v>
                </c:pt>
                <c:pt idx="429">
                  <c:v>-7.8701006157068942</c:v>
                </c:pt>
                <c:pt idx="430">
                  <c:v>-7.9342992574331461</c:v>
                </c:pt>
                <c:pt idx="431">
                  <c:v>-7.9982978169610242</c:v>
                </c:pt>
                <c:pt idx="432">
                  <c:v>-8.0620996437641974</c:v>
                </c:pt>
                <c:pt idx="433">
                  <c:v>-8.1271392544839021</c:v>
                </c:pt>
                <c:pt idx="434">
                  <c:v>-8.1919800655076944</c:v>
                </c:pt>
                <c:pt idx="435">
                  <c:v>-8.2566254746102103</c:v>
                </c:pt>
                <c:pt idx="436">
                  <c:v>-8.3210788204054627</c:v>
                </c:pt>
                <c:pt idx="437">
                  <c:v>-8.3868754267140275</c:v>
                </c:pt>
                <c:pt idx="438">
                  <c:v>-8.4524775879538634</c:v>
                </c:pt>
                <c:pt idx="439">
                  <c:v>-8.5178887029510832</c:v>
                </c:pt>
                <c:pt idx="440">
                  <c:v>-8.583112110858913</c:v>
                </c:pt>
                <c:pt idx="441">
                  <c:v>-8.6496655221131586</c:v>
                </c:pt>
                <c:pt idx="442">
                  <c:v>-8.7160292590824131</c:v>
                </c:pt>
                <c:pt idx="443">
                  <c:v>-8.7822067140032303</c:v>
                </c:pt>
                <c:pt idx="444">
                  <c:v>-8.8482012189996144</c:v>
                </c:pt>
                <c:pt idx="445">
                  <c:v>-8.9155137033071572</c:v>
                </c:pt>
                <c:pt idx="446">
                  <c:v>-8.982641668619781</c:v>
                </c:pt>
                <c:pt idx="447">
                  <c:v>-9.0495884929591135</c:v>
                </c:pt>
                <c:pt idx="448">
                  <c:v>-9.1163574938551015</c:v>
                </c:pt>
                <c:pt idx="449">
                  <c:v>-9.1845476217367796</c:v>
                </c:pt>
                <c:pt idx="450">
                  <c:v>-9.2525581424045011</c:v>
                </c:pt>
                <c:pt idx="451">
                  <c:v>-9.3203924287770619</c:v>
                </c:pt>
                <c:pt idx="452">
                  <c:v>-9.3880537925466374</c:v>
                </c:pt>
                <c:pt idx="453">
                  <c:v>-9.4570684672153575</c:v>
                </c:pt>
                <c:pt idx="454">
                  <c:v>-9.5259091305774994</c:v>
                </c:pt>
                <c:pt idx="455">
                  <c:v>-9.5945791332391046</c:v>
                </c:pt>
                <c:pt idx="456">
                  <c:v>-9.6630817641024507</c:v>
                </c:pt>
                <c:pt idx="457">
                  <c:v>-9.733040064569785</c:v>
                </c:pt>
                <c:pt idx="458">
                  <c:v>-9.8028297376461797</c:v>
                </c:pt>
                <c:pt idx="459">
                  <c:v>-9.8724541189629349</c:v>
                </c:pt>
                <c:pt idx="460">
                  <c:v>-9.9419164816130188</c:v>
                </c:pt>
                <c:pt idx="461">
                  <c:v>-10.012824736593767</c:v>
                </c:pt>
                <c:pt idx="462">
                  <c:v>-10.083570111593509</c:v>
                </c:pt>
                <c:pt idx="463">
                  <c:v>-10.154155917260857</c:v>
                </c:pt>
                <c:pt idx="464">
                  <c:v>-10.224585400917457</c:v>
                </c:pt>
                <c:pt idx="465">
                  <c:v>-10.296507038422595</c:v>
                </c:pt>
                <c:pt idx="466">
                  <c:v>-10.368271624899032</c:v>
                </c:pt>
                <c:pt idx="467">
                  <c:v>-10.439882443238231</c:v>
                </c:pt>
                <c:pt idx="468">
                  <c:v>-10.511342712059664</c:v>
                </c:pt>
                <c:pt idx="469">
                  <c:v>-10.584287004390244</c:v>
                </c:pt>
                <c:pt idx="470">
                  <c:v>-10.657080384770888</c:v>
                </c:pt>
                <c:pt idx="471">
                  <c:v>-10.729726097183342</c:v>
                </c:pt>
                <c:pt idx="472">
                  <c:v>-10.802227320431273</c:v>
                </c:pt>
                <c:pt idx="473">
                  <c:v>-10.876313462686189</c:v>
                </c:pt>
                <c:pt idx="474">
                  <c:v>-10.950254672728724</c:v>
                </c:pt>
                <c:pt idx="475">
                  <c:v>-11.024054158068701</c:v>
                </c:pt>
                <c:pt idx="476">
                  <c:v>-11.097715059783679</c:v>
                </c:pt>
                <c:pt idx="477">
                  <c:v>-11.172953738979412</c:v>
                </c:pt>
                <c:pt idx="478">
                  <c:v>-11.248053742141886</c:v>
                </c:pt>
                <c:pt idx="479">
                  <c:v>-11.323018227129907</c:v>
                </c:pt>
                <c:pt idx="480">
                  <c:v>-11.397850284161983</c:v>
                </c:pt>
                <c:pt idx="481">
                  <c:v>-11.474254076685238</c:v>
                </c:pt>
                <c:pt idx="482">
                  <c:v>-11.550525663562416</c:v>
                </c:pt>
                <c:pt idx="483">
                  <c:v>-11.626668139479024</c:v>
                </c:pt>
                <c:pt idx="484">
                  <c:v>-11.702684530320724</c:v>
                </c:pt>
                <c:pt idx="485">
                  <c:v>-11.78032043544793</c:v>
                </c:pt>
                <c:pt idx="486">
                  <c:v>-11.857830584641615</c:v>
                </c:pt>
                <c:pt idx="487">
                  <c:v>-11.935218001676407</c:v>
                </c:pt>
                <c:pt idx="488">
                  <c:v>-12.012485640233599</c:v>
                </c:pt>
                <c:pt idx="489">
                  <c:v>-12.091473155698058</c:v>
                </c:pt>
                <c:pt idx="490">
                  <c:v>-12.170341163267214</c:v>
                </c:pt>
                <c:pt idx="491">
                  <c:v>-12.24909261249798</c:v>
                </c:pt>
                <c:pt idx="492">
                  <c:v>-12.327730381254939</c:v>
                </c:pt>
                <c:pt idx="493">
                  <c:v>-12.408083400107181</c:v>
                </c:pt>
                <c:pt idx="494">
                  <c:v>-12.488323258325968</c:v>
                </c:pt>
                <c:pt idx="495">
                  <c:v>-12.568452814444681</c:v>
                </c:pt>
                <c:pt idx="496">
                  <c:v>-12.648474853803489</c:v>
                </c:pt>
                <c:pt idx="497">
                  <c:v>-12.730260265897801</c:v>
                </c:pt>
                <c:pt idx="498">
                  <c:v>-12.811938745700413</c:v>
                </c:pt>
                <c:pt idx="499">
                  <c:v>-12.893513048850805</c:v>
                </c:pt>
                <c:pt idx="500">
                  <c:v>-12.974985856227949</c:v>
                </c:pt>
                <c:pt idx="501">
                  <c:v>-13.058270248410459</c:v>
                </c:pt>
                <c:pt idx="502">
                  <c:v>-13.141453768510116</c:v>
                </c:pt>
                <c:pt idx="503">
                  <c:v>-13.224539056084295</c:v>
                </c:pt>
                <c:pt idx="504">
                  <c:v>-13.307528674331429</c:v>
                </c:pt>
                <c:pt idx="505">
                  <c:v>-13.392326746561823</c:v>
                </c:pt>
                <c:pt idx="506">
                  <c:v>-13.477029894490823</c:v>
                </c:pt>
                <c:pt idx="507">
                  <c:v>-13.561640622681431</c:v>
                </c:pt>
                <c:pt idx="508">
                  <c:v>-13.646161357938391</c:v>
                </c:pt>
                <c:pt idx="509">
                  <c:v>-13.732539134774777</c:v>
                </c:pt>
                <c:pt idx="510">
                  <c:v>-13.818827618522416</c:v>
                </c:pt>
                <c:pt idx="511">
                  <c:v>-13.905029164135092</c:v>
                </c:pt>
                <c:pt idx="512">
                  <c:v>-13.991146047467195</c:v>
                </c:pt>
                <c:pt idx="513">
                  <c:v>-14.079219422253185</c:v>
                </c:pt>
                <c:pt idx="514">
                  <c:v>-14.167208651375535</c:v>
                </c:pt>
                <c:pt idx="515">
                  <c:v>-14.255115928395998</c:v>
                </c:pt>
                <c:pt idx="516">
                  <c:v>-14.342943366368592</c:v>
                </c:pt>
                <c:pt idx="517">
                  <c:v>-14.432724510929765</c:v>
                </c:pt>
                <c:pt idx="518">
                  <c:v>-14.52242629914654</c:v>
                </c:pt>
                <c:pt idx="519">
                  <c:v>-14.612050742661038</c:v>
                </c:pt>
                <c:pt idx="520">
                  <c:v>-14.701599771574191</c:v>
                </c:pt>
                <c:pt idx="521">
                  <c:v>-14.7931504914862</c:v>
                </c:pt>
                <c:pt idx="522">
                  <c:v>-14.884626090350903</c:v>
                </c:pt>
                <c:pt idx="523">
                  <c:v>-14.976028381255313</c:v>
                </c:pt>
                <c:pt idx="524">
                  <c:v>-15.067359094973</c:v>
                </c:pt>
                <c:pt idx="525">
                  <c:v>-15.160739059513224</c:v>
                </c:pt>
                <c:pt idx="526">
                  <c:v>-15.254047492571974</c:v>
                </c:pt>
                <c:pt idx="527">
                  <c:v>-15.347285991952075</c:v>
                </c:pt>
                <c:pt idx="528">
                  <c:v>-15.440456072714277</c:v>
                </c:pt>
                <c:pt idx="529">
                  <c:v>-15.535722401380848</c:v>
                </c:pt>
                <c:pt idx="530">
                  <c:v>-15.630920045980684</c:v>
                </c:pt>
                <c:pt idx="531">
                  <c:v>-15.726050372584627</c:v>
                </c:pt>
                <c:pt idx="532">
                  <c:v>-15.821114664524483</c:v>
                </c:pt>
                <c:pt idx="533">
                  <c:v>-15.918371652103438</c:v>
                </c:pt>
                <c:pt idx="534">
                  <c:v>-16.015561893000154</c:v>
                </c:pt>
                <c:pt idx="535">
                  <c:v>-16.112686507478873</c:v>
                </c:pt>
                <c:pt idx="536">
                  <c:v>-16.209746533423083</c:v>
                </c:pt>
                <c:pt idx="537">
                  <c:v>-16.308944385253426</c:v>
                </c:pt>
                <c:pt idx="538">
                  <c:v>-16.408076623384595</c:v>
                </c:pt>
                <c:pt idx="539">
                  <c:v>-16.507144104194428</c:v>
                </c:pt>
                <c:pt idx="540">
                  <c:v>-16.60614760299292</c:v>
                </c:pt>
                <c:pt idx="541">
                  <c:v>-16.707433264221159</c:v>
                </c:pt>
                <c:pt idx="542">
                  <c:v>-16.808653266546912</c:v>
                </c:pt>
                <c:pt idx="543">
                  <c:v>-16.909808192190944</c:v>
                </c:pt>
                <c:pt idx="544">
                  <c:v>-17.010898543996461</c:v>
                </c:pt>
                <c:pt idx="545">
                  <c:v>-17.114264173698004</c:v>
                </c:pt>
                <c:pt idx="546">
                  <c:v>-17.217563024014751</c:v>
                </c:pt>
                <c:pt idx="547">
                  <c:v>-17.3207953908889</c:v>
                </c:pt>
                <c:pt idx="548">
                  <c:v>-17.423961493528182</c:v>
                </c:pt>
                <c:pt idx="549">
                  <c:v>-17.529444510215896</c:v>
                </c:pt>
                <c:pt idx="550">
                  <c:v>-17.63485839201498</c:v>
                </c:pt>
                <c:pt idx="551">
                  <c:v>-17.740203140559348</c:v>
                </c:pt>
                <c:pt idx="552">
                  <c:v>-17.84547868424902</c:v>
                </c:pt>
                <c:pt idx="553">
                  <c:v>-17.953160649248293</c:v>
                </c:pt>
                <c:pt idx="554">
                  <c:v>-18.060769737341658</c:v>
                </c:pt>
                <c:pt idx="555">
                  <c:v>-18.168305650547822</c:v>
                </c:pt>
                <c:pt idx="556">
                  <c:v>-18.275768021940394</c:v>
                </c:pt>
                <c:pt idx="557">
                  <c:v>-18.495503473286988</c:v>
                </c:pt>
                <c:pt idx="558">
                  <c:v>-18.714924383127716</c:v>
                </c:pt>
                <c:pt idx="559">
                  <c:v>-18.93904349120233</c:v>
                </c:pt>
                <c:pt idx="560">
                  <c:v>-19.162820729539355</c:v>
                </c:pt>
                <c:pt idx="561">
                  <c:v>-19.391544929838716</c:v>
                </c:pt>
                <c:pt idx="562">
                  <c:v>-19.619893287965503</c:v>
                </c:pt>
                <c:pt idx="563">
                  <c:v>-19.852743266871371</c:v>
                </c:pt>
                <c:pt idx="564">
                  <c:v>-20.085178981429447</c:v>
                </c:pt>
                <c:pt idx="565">
                  <c:v>-20.323031561551176</c:v>
                </c:pt>
                <c:pt idx="566">
                  <c:v>-20.560422088440543</c:v>
                </c:pt>
                <c:pt idx="567">
                  <c:v>-20.80315587307016</c:v>
                </c:pt>
                <c:pt idx="568">
                  <c:v>-21.045373691058543</c:v>
                </c:pt>
                <c:pt idx="569">
                  <c:v>-21.291887463539684</c:v>
                </c:pt>
                <c:pt idx="570">
                  <c:v>-21.537829975137214</c:v>
                </c:pt>
                <c:pt idx="571">
                  <c:v>-21.789910196063023</c:v>
                </c:pt>
                <c:pt idx="572">
                  <c:v>-22.041349252272205</c:v>
                </c:pt>
                <c:pt idx="573">
                  <c:v>-22.296907036095774</c:v>
                </c:pt>
                <c:pt idx="574">
                  <c:v>-22.551758316812528</c:v>
                </c:pt>
                <c:pt idx="575">
                  <c:v>-22.812535240025554</c:v>
                </c:pt>
                <c:pt idx="576">
                  <c:v>-23.072524993007452</c:v>
                </c:pt>
                <c:pt idx="577">
                  <c:v>-24.164006524297715</c:v>
                </c:pt>
                <c:pt idx="578">
                  <c:v>-25.239481144306453</c:v>
                </c:pt>
                <c:pt idx="579">
                  <c:v>-27.534114205755124</c:v>
                </c:pt>
                <c:pt idx="580">
                  <c:v>-29.945325896131813</c:v>
                </c:pt>
                <c:pt idx="581">
                  <c:v>-32.452233715524507</c:v>
                </c:pt>
                <c:pt idx="582">
                  <c:v>-35.038065738698322</c:v>
                </c:pt>
                <c:pt idx="583">
                  <c:v>-37.68304652390983</c:v>
                </c:pt>
                <c:pt idx="584">
                  <c:v>-40.372683111752998</c:v>
                </c:pt>
                <c:pt idx="585">
                  <c:v>-43.090792758747369</c:v>
                </c:pt>
                <c:pt idx="586">
                  <c:v>-45.825100926464287</c:v>
                </c:pt>
                <c:pt idx="587">
                  <c:v>-48.566384141603109</c:v>
                </c:pt>
                <c:pt idx="588">
                  <c:v>-51.303214810952923</c:v>
                </c:pt>
                <c:pt idx="589">
                  <c:v>-54.030735054803259</c:v>
                </c:pt>
                <c:pt idx="590">
                  <c:v>-56.742464958918468</c:v>
                </c:pt>
                <c:pt idx="591">
                  <c:v>-59.434669886525668</c:v>
                </c:pt>
                <c:pt idx="592">
                  <c:v>-62.104337649259477</c:v>
                </c:pt>
                <c:pt idx="593">
                  <c:v>-64.750766687893616</c:v>
                </c:pt>
                <c:pt idx="594">
                  <c:v>-67.372750971456753</c:v>
                </c:pt>
                <c:pt idx="595">
                  <c:v>-69.971121704217609</c:v>
                </c:pt>
                <c:pt idx="596">
                  <c:v>-72.546276942862335</c:v>
                </c:pt>
                <c:pt idx="597">
                  <c:v>-75.100142038072903</c:v>
                </c:pt>
                <c:pt idx="598">
                  <c:v>-77.633753527539142</c:v>
                </c:pt>
                <c:pt idx="599">
                  <c:v>-80.149584667919044</c:v>
                </c:pt>
                <c:pt idx="600">
                  <c:v>-82.64912481580626</c:v>
                </c:pt>
              </c:numCache>
            </c:numRef>
          </c:yVal>
          <c:smooth val="0"/>
          <c:extLst>
            <c:ext xmlns:c16="http://schemas.microsoft.com/office/drawing/2014/chart" uri="{C3380CC4-5D6E-409C-BE32-E72D297353CC}">
              <c16:uniqueId val="{00000000-C921-4838-A0BE-4B6A27AAB705}"/>
            </c:ext>
          </c:extLst>
        </c:ser>
        <c:dLbls>
          <c:showLegendKey val="0"/>
          <c:showVal val="0"/>
          <c:showCatName val="0"/>
          <c:showSerName val="0"/>
          <c:showPercent val="0"/>
          <c:showBubbleSize val="0"/>
        </c:dLbls>
        <c:axId val="182162176"/>
        <c:axId val="182164096"/>
      </c:scatterChart>
      <c:scatterChart>
        <c:scatterStyle val="lineMarker"/>
        <c:varyColors val="0"/>
        <c:ser>
          <c:idx val="1"/>
          <c:order val="1"/>
          <c:tx>
            <c:strRef>
              <c:f>'Stability Calculations'!$S$12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-66.061249339782549</c:v>
                </c:pt>
                <c:pt idx="1">
                  <c:v>-67.958369755150116</c:v>
                </c:pt>
                <c:pt idx="2">
                  <c:v>-69.733980155516448</c:v>
                </c:pt>
                <c:pt idx="3">
                  <c:v>-71.389564011514437</c:v>
                </c:pt>
                <c:pt idx="4">
                  <c:v>-72.92717342315062</c:v>
                </c:pt>
                <c:pt idx="5">
                  <c:v>-74.353495234145811</c:v>
                </c:pt>
                <c:pt idx="6">
                  <c:v>-75.671435457558573</c:v>
                </c:pt>
                <c:pt idx="7">
                  <c:v>-76.887485451052513</c:v>
                </c:pt>
                <c:pt idx="8">
                  <c:v>-78.006714275016691</c:v>
                </c:pt>
                <c:pt idx="9">
                  <c:v>-79.036060878431613</c:v>
                </c:pt>
                <c:pt idx="10">
                  <c:v>-79.980991421985323</c:v>
                </c:pt>
                <c:pt idx="11">
                  <c:v>-80.847636987620319</c:v>
                </c:pt>
                <c:pt idx="12">
                  <c:v>-81.642180031692561</c:v>
                </c:pt>
                <c:pt idx="13">
                  <c:v>-82.369378479478414</c:v>
                </c:pt>
                <c:pt idx="14">
                  <c:v>-83.035066722200767</c:v>
                </c:pt>
                <c:pt idx="15">
                  <c:v>-83.643897615217583</c:v>
                </c:pt>
                <c:pt idx="16">
                  <c:v>-84.200543629170213</c:v>
                </c:pt>
                <c:pt idx="17">
                  <c:v>-84.709238971976944</c:v>
                </c:pt>
                <c:pt idx="18">
                  <c:v>-85.174127158543726</c:v>
                </c:pt>
                <c:pt idx="19">
                  <c:v>-85.598781087136729</c:v>
                </c:pt>
                <c:pt idx="20">
                  <c:v>-85.986705322763655</c:v>
                </c:pt>
                <c:pt idx="21">
                  <c:v>-86.340972595603745</c:v>
                </c:pt>
                <c:pt idx="22">
                  <c:v>-86.664558704167121</c:v>
                </c:pt>
                <c:pt idx="23">
                  <c:v>-86.960049612174302</c:v>
                </c:pt>
                <c:pt idx="24">
                  <c:v>-87.229967835653994</c:v>
                </c:pt>
                <c:pt idx="25">
                  <c:v>-87.476512379952226</c:v>
                </c:pt>
                <c:pt idx="26">
                  <c:v>-87.701792660724308</c:v>
                </c:pt>
                <c:pt idx="27">
                  <c:v>-87.90761961284116</c:v>
                </c:pt>
                <c:pt idx="28">
                  <c:v>-88.095733486547147</c:v>
                </c:pt>
                <c:pt idx="29">
                  <c:v>-88.267617097176711</c:v>
                </c:pt>
                <c:pt idx="30">
                  <c:v>-88.425001928672984</c:v>
                </c:pt>
                <c:pt idx="31">
                  <c:v>-88.568981239497887</c:v>
                </c:pt>
                <c:pt idx="32">
                  <c:v>-88.700870970084566</c:v>
                </c:pt>
                <c:pt idx="33">
                  <c:v>-88.821693677608664</c:v>
                </c:pt>
                <c:pt idx="34">
                  <c:v>-88.932565989748426</c:v>
                </c:pt>
                <c:pt idx="35">
                  <c:v>-89.034361567568681</c:v>
                </c:pt>
                <c:pt idx="36">
                  <c:v>-89.127961505512502</c:v>
                </c:pt>
                <c:pt idx="37">
                  <c:v>-89.214204467167718</c:v>
                </c:pt>
                <c:pt idx="38">
                  <c:v>-89.293738878432364</c:v>
                </c:pt>
                <c:pt idx="39">
                  <c:v>-89.367304792626413</c:v>
                </c:pt>
                <c:pt idx="40">
                  <c:v>-89.435495720991184</c:v>
                </c:pt>
                <c:pt idx="41">
                  <c:v>-89.498896125720321</c:v>
                </c:pt>
                <c:pt idx="42">
                  <c:v>-89.55803554910311</c:v>
                </c:pt>
                <c:pt idx="43">
                  <c:v>-89.613432674171662</c:v>
                </c:pt>
                <c:pt idx="44">
                  <c:v>-89.66554210615439</c:v>
                </c:pt>
                <c:pt idx="45">
                  <c:v>-89.714816257698203</c:v>
                </c:pt>
                <c:pt idx="46">
                  <c:v>-89.761662846878991</c:v>
                </c:pt>
                <c:pt idx="47">
                  <c:v>-89.806488959765971</c:v>
                </c:pt>
                <c:pt idx="48">
                  <c:v>-89.84966322001668</c:v>
                </c:pt>
                <c:pt idx="49">
                  <c:v>-89.891562111500178</c:v>
                </c:pt>
                <c:pt idx="50">
                  <c:v>-89.932533216096189</c:v>
                </c:pt>
                <c:pt idx="51">
                  <c:v>-89.972931884381481</c:v>
                </c:pt>
                <c:pt idx="52">
                  <c:v>-90.013085657848393</c:v>
                </c:pt>
                <c:pt idx="53">
                  <c:v>-90.05333374047936</c:v>
                </c:pt>
                <c:pt idx="54">
                  <c:v>-90.093987890182632</c:v>
                </c:pt>
                <c:pt idx="55">
                  <c:v>-90.135456618761296</c:v>
                </c:pt>
                <c:pt idx="56">
                  <c:v>-90.178026926072476</c:v>
                </c:pt>
                <c:pt idx="57">
                  <c:v>-90.22207899968717</c:v>
                </c:pt>
                <c:pt idx="58">
                  <c:v>-90.267941698436303</c:v>
                </c:pt>
                <c:pt idx="59">
                  <c:v>-90.316022263226785</c:v>
                </c:pt>
                <c:pt idx="60">
                  <c:v>-90.366679366169777</c:v>
                </c:pt>
                <c:pt idx="61">
                  <c:v>-90.420319875820638</c:v>
                </c:pt>
                <c:pt idx="62">
                  <c:v>-90.477391336169816</c:v>
                </c:pt>
                <c:pt idx="63">
                  <c:v>-90.538273199134409</c:v>
                </c:pt>
                <c:pt idx="64">
                  <c:v>-90.603465190969757</c:v>
                </c:pt>
                <c:pt idx="65">
                  <c:v>-90.673413207327073</c:v>
                </c:pt>
                <c:pt idx="66">
                  <c:v>-90.748607980667344</c:v>
                </c:pt>
                <c:pt idx="67">
                  <c:v>-90.829537068097693</c:v>
                </c:pt>
                <c:pt idx="68">
                  <c:v>-90.916733796719583</c:v>
                </c:pt>
                <c:pt idx="69">
                  <c:v>-91.010690147503368</c:v>
                </c:pt>
                <c:pt idx="70">
                  <c:v>-91.111938798531568</c:v>
                </c:pt>
                <c:pt idx="71">
                  <c:v>-91.220964453576116</c:v>
                </c:pt>
                <c:pt idx="72">
                  <c:v>-91.338279008581225</c:v>
                </c:pt>
                <c:pt idx="73">
                  <c:v>-91.464316028639331</c:v>
                </c:pt>
                <c:pt idx="74">
                  <c:v>-91.599537408331372</c:v>
                </c:pt>
                <c:pt idx="75">
                  <c:v>-91.744316117289614</c:v>
                </c:pt>
                <c:pt idx="76">
                  <c:v>-91.899044988849255</c:v>
                </c:pt>
                <c:pt idx="77">
                  <c:v>-92.064006201038083</c:v>
                </c:pt>
                <c:pt idx="78">
                  <c:v>-92.239528037028066</c:v>
                </c:pt>
                <c:pt idx="79">
                  <c:v>-92.425843548112155</c:v>
                </c:pt>
                <c:pt idx="80">
                  <c:v>-92.623708000224255</c:v>
                </c:pt>
                <c:pt idx="81">
                  <c:v>-92.83343563620042</c:v>
                </c:pt>
                <c:pt idx="82">
                  <c:v>-93.055968055587542</c:v>
                </c:pt>
                <c:pt idx="83">
                  <c:v>-93.292243844585144</c:v>
                </c:pt>
                <c:pt idx="84">
                  <c:v>-93.543916239625574</c:v>
                </c:pt>
                <c:pt idx="85">
                  <c:v>-93.812749868417697</c:v>
                </c:pt>
                <c:pt idx="86">
                  <c:v>-94.101149260243062</c:v>
                </c:pt>
                <c:pt idx="87">
                  <c:v>-94.412133875041349</c:v>
                </c:pt>
                <c:pt idx="88">
                  <c:v>-94.748725512332172</c:v>
                </c:pt>
                <c:pt idx="89">
                  <c:v>-95.114946856993313</c:v>
                </c:pt>
                <c:pt idx="90">
                  <c:v>-95.514829031928443</c:v>
                </c:pt>
                <c:pt idx="91">
                  <c:v>-95.952926475374369</c:v>
                </c:pt>
                <c:pt idx="92">
                  <c:v>-96.434029975174752</c:v>
                </c:pt>
                <c:pt idx="93">
                  <c:v>-96.963465007859924</c:v>
                </c:pt>
                <c:pt idx="94">
                  <c:v>-97.103944092942967</c:v>
                </c:pt>
                <c:pt idx="95">
                  <c:v>-97.175915544993771</c:v>
                </c:pt>
                <c:pt idx="96">
                  <c:v>-97.247931456853394</c:v>
                </c:pt>
                <c:pt idx="97">
                  <c:v>-97.321663057405814</c:v>
                </c:pt>
                <c:pt idx="98">
                  <c:v>-97.395441604301297</c:v>
                </c:pt>
                <c:pt idx="99">
                  <c:v>-97.470998036986956</c:v>
                </c:pt>
                <c:pt idx="100">
                  <c:v>-97.546603754762543</c:v>
                </c:pt>
                <c:pt idx="101">
                  <c:v>-97.623991842462161</c:v>
                </c:pt>
                <c:pt idx="102">
                  <c:v>-97.701431331583876</c:v>
                </c:pt>
                <c:pt idx="103">
                  <c:v>-97.780773193401231</c:v>
                </c:pt>
                <c:pt idx="104">
                  <c:v>-97.860168504692538</c:v>
                </c:pt>
                <c:pt idx="105">
                  <c:v>-97.941470618735508</c:v>
                </c:pt>
                <c:pt idx="106">
                  <c:v>-98.022828009535573</c:v>
                </c:pt>
                <c:pt idx="107">
                  <c:v>-98.106096438799028</c:v>
                </c:pt>
                <c:pt idx="108">
                  <c:v>-98.189421751693331</c:v>
                </c:pt>
                <c:pt idx="109">
                  <c:v>-98.274720220491631</c:v>
                </c:pt>
                <c:pt idx="110">
                  <c:v>-98.360077040907882</c:v>
                </c:pt>
                <c:pt idx="111">
                  <c:v>-98.447527328294314</c:v>
                </c:pt>
                <c:pt idx="112">
                  <c:v>-98.535037378394776</c:v>
                </c:pt>
                <c:pt idx="113">
                  <c:v>-98.624644980118106</c:v>
                </c:pt>
                <c:pt idx="114">
                  <c:v>-98.714313542256974</c:v>
                </c:pt>
                <c:pt idx="115">
                  <c:v>-98.806141844026385</c:v>
                </c:pt>
                <c:pt idx="116">
                  <c:v>-98.898032173094649</c:v>
                </c:pt>
                <c:pt idx="117">
                  <c:v>-98.992144441845198</c:v>
                </c:pt>
                <c:pt idx="118">
                  <c:v>-99.086319676527538</c:v>
                </c:pt>
                <c:pt idx="119">
                  <c:v>-99.182720577379442</c:v>
                </c:pt>
                <c:pt idx="120">
                  <c:v>-99.279185180445054</c:v>
                </c:pt>
                <c:pt idx="121">
                  <c:v>-99.377937501836996</c:v>
                </c:pt>
                <c:pt idx="122">
                  <c:v>-99.476754141930769</c:v>
                </c:pt>
                <c:pt idx="123">
                  <c:v>-99.577979181545416</c:v>
                </c:pt>
                <c:pt idx="124">
                  <c:v>-99.679269114025701</c:v>
                </c:pt>
                <c:pt idx="125">
                  <c:v>-99.782970929248108</c:v>
                </c:pt>
                <c:pt idx="126">
                  <c:v>-99.886738020587813</c:v>
                </c:pt>
                <c:pt idx="127">
                  <c:v>-99.992979020222748</c:v>
                </c:pt>
                <c:pt idx="128">
                  <c:v>-100.0992855682983</c:v>
                </c:pt>
                <c:pt idx="129">
                  <c:v>-100.20812803084979</c:v>
                </c:pt>
                <c:pt idx="130">
                  <c:v>-100.31703620621661</c:v>
                </c:pt>
                <c:pt idx="131">
                  <c:v>-100.42854227766753</c:v>
                </c:pt>
                <c:pt idx="132">
                  <c:v>-100.48432007198237</c:v>
                </c:pt>
                <c:pt idx="133">
                  <c:v>-100.54011412132932</c:v>
                </c:pt>
                <c:pt idx="134">
                  <c:v>-100.59725114025245</c:v>
                </c:pt>
                <c:pt idx="135">
                  <c:v>-100.65440480366516</c:v>
                </c:pt>
                <c:pt idx="136">
                  <c:v>-100.7115749157725</c:v>
                </c:pt>
                <c:pt idx="137">
                  <c:v>-100.76876128267823</c:v>
                </c:pt>
                <c:pt idx="138">
                  <c:v>-100.82726261096654</c:v>
                </c:pt>
                <c:pt idx="139">
                  <c:v>-100.88578053645837</c:v>
                </c:pt>
                <c:pt idx="140">
                  <c:v>-100.94431485799758</c:v>
                </c:pt>
                <c:pt idx="141">
                  <c:v>-101.00286537655444</c:v>
                </c:pt>
                <c:pt idx="142">
                  <c:v>-101.06282090034166</c:v>
                </c:pt>
                <c:pt idx="143">
                  <c:v>-101.12279298317043</c:v>
                </c:pt>
                <c:pt idx="144">
                  <c:v>-101.18278141846825</c:v>
                </c:pt>
                <c:pt idx="145">
                  <c:v>-101.24278600201021</c:v>
                </c:pt>
                <c:pt idx="146">
                  <c:v>-101.3041970420594</c:v>
                </c:pt>
                <c:pt idx="147">
                  <c:v>-101.3656245621046</c:v>
                </c:pt>
                <c:pt idx="148">
                  <c:v>-101.42706835100256</c:v>
                </c:pt>
                <c:pt idx="149">
                  <c:v>-101.48852820015887</c:v>
                </c:pt>
                <c:pt idx="150">
                  <c:v>-101.55142549295813</c:v>
                </c:pt>
                <c:pt idx="151">
                  <c:v>-101.61433916364162</c:v>
                </c:pt>
                <c:pt idx="152">
                  <c:v>-101.67726899701523</c:v>
                </c:pt>
                <c:pt idx="153">
                  <c:v>-101.74021478062002</c:v>
                </c:pt>
                <c:pt idx="154">
                  <c:v>-101.8046586377622</c:v>
                </c:pt>
                <c:pt idx="155">
                  <c:v>-101.86911876322415</c:v>
                </c:pt>
                <c:pt idx="156">
                  <c:v>-101.93359493796162</c:v>
                </c:pt>
                <c:pt idx="157">
                  <c:v>-101.99808694584223</c:v>
                </c:pt>
                <c:pt idx="158">
                  <c:v>-102.06410804783842</c:v>
                </c:pt>
                <c:pt idx="159">
                  <c:v>-102.13014528568688</c:v>
                </c:pt>
                <c:pt idx="160">
                  <c:v>-102.19619843698503</c:v>
                </c:pt>
                <c:pt idx="161">
                  <c:v>-102.26226728240427</c:v>
                </c:pt>
                <c:pt idx="162">
                  <c:v>-102.32986652720915</c:v>
                </c:pt>
                <c:pt idx="163">
                  <c:v>-102.39748173928929</c:v>
                </c:pt>
                <c:pt idx="164">
                  <c:v>-102.46511269365166</c:v>
                </c:pt>
                <c:pt idx="165">
                  <c:v>-102.53275916851958</c:v>
                </c:pt>
                <c:pt idx="166">
                  <c:v>-102.60202646149175</c:v>
                </c:pt>
                <c:pt idx="167">
                  <c:v>-102.67130955997177</c:v>
                </c:pt>
                <c:pt idx="168">
                  <c:v>-102.74060823623495</c:v>
                </c:pt>
                <c:pt idx="169">
                  <c:v>-102.80992226591242</c:v>
                </c:pt>
                <c:pt idx="170">
                  <c:v>-102.88073934243828</c:v>
                </c:pt>
                <c:pt idx="171">
                  <c:v>-102.95157197567724</c:v>
                </c:pt>
                <c:pt idx="172">
                  <c:v>-103.02241993705209</c:v>
                </c:pt>
                <c:pt idx="173">
                  <c:v>-103.09328300143834</c:v>
                </c:pt>
                <c:pt idx="174">
                  <c:v>-103.16594797647626</c:v>
                </c:pt>
                <c:pt idx="175">
                  <c:v>-103.23862835733181</c:v>
                </c:pt>
                <c:pt idx="176">
                  <c:v>-103.31132391238927</c:v>
                </c:pt>
                <c:pt idx="177">
                  <c:v>-103.38403441362146</c:v>
                </c:pt>
                <c:pt idx="178">
                  <c:v>-103.45854814525607</c:v>
                </c:pt>
                <c:pt idx="179">
                  <c:v>-103.53307709382203</c:v>
                </c:pt>
                <c:pt idx="180">
                  <c:v>-103.60762102540438</c:v>
                </c:pt>
                <c:pt idx="181">
                  <c:v>-103.68217970979406</c:v>
                </c:pt>
                <c:pt idx="182">
                  <c:v>-103.75824453126802</c:v>
                </c:pt>
                <c:pt idx="183">
                  <c:v>-103.83432422926187</c:v>
                </c:pt>
                <c:pt idx="184">
                  <c:v>-103.91041857099187</c:v>
                </c:pt>
                <c:pt idx="185">
                  <c:v>-103.98652732741894</c:v>
                </c:pt>
                <c:pt idx="186">
                  <c:v>-104.0647401206549</c:v>
                </c:pt>
                <c:pt idx="187">
                  <c:v>-104.14296765250067</c:v>
                </c:pt>
                <c:pt idx="188">
                  <c:v>-104.22120968645143</c:v>
                </c:pt>
                <c:pt idx="189">
                  <c:v>-104.29946598988546</c:v>
                </c:pt>
                <c:pt idx="190">
                  <c:v>-104.37923017790358</c:v>
                </c:pt>
                <c:pt idx="191">
                  <c:v>-104.45900870946095</c:v>
                </c:pt>
                <c:pt idx="192">
                  <c:v>-104.53880135035389</c:v>
                </c:pt>
                <c:pt idx="193">
                  <c:v>-104.61860787026417</c:v>
                </c:pt>
                <c:pt idx="194">
                  <c:v>-104.70052088800766</c:v>
                </c:pt>
                <c:pt idx="195">
                  <c:v>-104.78244804282734</c:v>
                </c:pt>
                <c:pt idx="196">
                  <c:v>-104.86438909809149</c:v>
                </c:pt>
                <c:pt idx="197">
                  <c:v>-104.94634382115596</c:v>
                </c:pt>
                <c:pt idx="198">
                  <c:v>-105.03010705520637</c:v>
                </c:pt>
                <c:pt idx="199">
                  <c:v>-105.11388408339465</c:v>
                </c:pt>
                <c:pt idx="200">
                  <c:v>-105.19767466985759</c:v>
                </c:pt>
                <c:pt idx="201">
                  <c:v>-105.28147858274568</c:v>
                </c:pt>
                <c:pt idx="202">
                  <c:v>-105.36709181464664</c:v>
                </c:pt>
                <c:pt idx="203">
                  <c:v>-105.45271847371387</c:v>
                </c:pt>
                <c:pt idx="204">
                  <c:v>-105.53835832531988</c:v>
                </c:pt>
                <c:pt idx="205">
                  <c:v>-105.62401113886071</c:v>
                </c:pt>
                <c:pt idx="206">
                  <c:v>-105.71177355468237</c:v>
                </c:pt>
                <c:pt idx="207">
                  <c:v>-105.79954909730813</c:v>
                </c:pt>
                <c:pt idx="208">
                  <c:v>-105.88733753138139</c:v>
                </c:pt>
                <c:pt idx="209">
                  <c:v>-105.97513862561892</c:v>
                </c:pt>
                <c:pt idx="210">
                  <c:v>-106.06534996393049</c:v>
                </c:pt>
                <c:pt idx="211">
                  <c:v>-106.15557418118738</c:v>
                </c:pt>
                <c:pt idx="212">
                  <c:v>-106.24581103950369</c:v>
                </c:pt>
                <c:pt idx="213">
                  <c:v>-106.33606030515431</c:v>
                </c:pt>
                <c:pt idx="214">
                  <c:v>-106.42812110215341</c:v>
                </c:pt>
                <c:pt idx="215">
                  <c:v>-106.52019432777638</c:v>
                </c:pt>
                <c:pt idx="216">
                  <c:v>-106.61227974684033</c:v>
                </c:pt>
                <c:pt idx="217">
                  <c:v>-106.70437712828398</c:v>
                </c:pt>
                <c:pt idx="218">
                  <c:v>-106.79858658803118</c:v>
                </c:pt>
                <c:pt idx="219">
                  <c:v>-106.89280808575465</c:v>
                </c:pt>
                <c:pt idx="220">
                  <c:v>-106.98704138701925</c:v>
                </c:pt>
                <c:pt idx="221">
                  <c:v>-107.08128626151208</c:v>
                </c:pt>
                <c:pt idx="222">
                  <c:v>-107.17764386387773</c:v>
                </c:pt>
                <c:pt idx="223">
                  <c:v>-107.27401308725716</c:v>
                </c:pt>
                <c:pt idx="224">
                  <c:v>-107.37039369835392</c:v>
                </c:pt>
                <c:pt idx="225">
                  <c:v>-107.46678546798044</c:v>
                </c:pt>
                <c:pt idx="226">
                  <c:v>-107.56559086826142</c:v>
                </c:pt>
                <c:pt idx="227">
                  <c:v>-107.66440751551815</c:v>
                </c:pt>
                <c:pt idx="228">
                  <c:v>-107.76323517582509</c:v>
                </c:pt>
                <c:pt idx="229">
                  <c:v>-107.86207361938798</c:v>
                </c:pt>
                <c:pt idx="230">
                  <c:v>-108.06458996582181</c:v>
                </c:pt>
                <c:pt idx="231">
                  <c:v>-108.16586416320065</c:v>
                </c:pt>
                <c:pt idx="232">
                  <c:v>-108.2671487353479</c:v>
                </c:pt>
                <c:pt idx="233">
                  <c:v>-108.37084820028288</c:v>
                </c:pt>
                <c:pt idx="234">
                  <c:v>-108.47455806351125</c:v>
                </c:pt>
                <c:pt idx="235">
                  <c:v>-108.57827809113789</c:v>
                </c:pt>
                <c:pt idx="236">
                  <c:v>-108.68200805339546</c:v>
                </c:pt>
                <c:pt idx="237">
                  <c:v>-108.78785268638045</c:v>
                </c:pt>
                <c:pt idx="238">
                  <c:v>-108.89370719071246</c:v>
                </c:pt>
                <c:pt idx="239">
                  <c:v>-108.99957133500972</c:v>
                </c:pt>
                <c:pt idx="240">
                  <c:v>-109.10544489194872</c:v>
                </c:pt>
                <c:pt idx="241">
                  <c:v>-109.21403498600169</c:v>
                </c:pt>
                <c:pt idx="242">
                  <c:v>-109.32263450854717</c:v>
                </c:pt>
                <c:pt idx="243">
                  <c:v>-109.43124322703848</c:v>
                </c:pt>
                <c:pt idx="244">
                  <c:v>-109.53986091299664</c:v>
                </c:pt>
                <c:pt idx="245">
                  <c:v>-109.65089467312301</c:v>
                </c:pt>
                <c:pt idx="246">
                  <c:v>-109.76193733242292</c:v>
                </c:pt>
                <c:pt idx="247">
                  <c:v>-109.87298865942623</c:v>
                </c:pt>
                <c:pt idx="248">
                  <c:v>-109.984048426681</c:v>
                </c:pt>
                <c:pt idx="249">
                  <c:v>-110.0978254866607</c:v>
                </c:pt>
                <c:pt idx="250">
                  <c:v>-110.21161093294403</c:v>
                </c:pt>
                <c:pt idx="251">
                  <c:v>-110.32540453349866</c:v>
                </c:pt>
                <c:pt idx="252">
                  <c:v>-110.43920606029099</c:v>
                </c:pt>
                <c:pt idx="253">
                  <c:v>-110.55542403173297</c:v>
                </c:pt>
                <c:pt idx="254">
                  <c:v>-110.67164980017621</c:v>
                </c:pt>
                <c:pt idx="255">
                  <c:v>-110.78788313506784</c:v>
                </c:pt>
                <c:pt idx="256">
                  <c:v>-110.9041238097797</c:v>
                </c:pt>
                <c:pt idx="257">
                  <c:v>-111.0233832949347</c:v>
                </c:pt>
                <c:pt idx="258">
                  <c:v>-111.14265003416344</c:v>
                </c:pt>
                <c:pt idx="259">
                  <c:v>-111.26192379499402</c:v>
                </c:pt>
                <c:pt idx="260">
                  <c:v>-111.38120434887378</c:v>
                </c:pt>
                <c:pt idx="261">
                  <c:v>-111.50320261662476</c:v>
                </c:pt>
                <c:pt idx="262">
                  <c:v>-111.62520751827367</c:v>
                </c:pt>
                <c:pt idx="263">
                  <c:v>-111.74721882139953</c:v>
                </c:pt>
                <c:pt idx="264">
                  <c:v>-111.86923629744123</c:v>
                </c:pt>
                <c:pt idx="265">
                  <c:v>-111.99397141910377</c:v>
                </c:pt>
                <c:pt idx="266">
                  <c:v>-112.1187125200218</c:v>
                </c:pt>
                <c:pt idx="267">
                  <c:v>-112.24345936791646</c:v>
                </c:pt>
                <c:pt idx="268">
                  <c:v>-112.36821173429789</c:v>
                </c:pt>
                <c:pt idx="269">
                  <c:v>-112.49598292803994</c:v>
                </c:pt>
                <c:pt idx="270">
                  <c:v>-112.62375943672264</c:v>
                </c:pt>
                <c:pt idx="271">
                  <c:v>-112.75154102660858</c:v>
                </c:pt>
                <c:pt idx="272">
                  <c:v>-112.87932746770282</c:v>
                </c:pt>
                <c:pt idx="273">
                  <c:v>-113.01013252789146</c:v>
                </c:pt>
                <c:pt idx="274">
                  <c:v>-113.14094219477407</c:v>
                </c:pt>
                <c:pt idx="275">
                  <c:v>-113.27175623323339</c:v>
                </c:pt>
                <c:pt idx="276">
                  <c:v>-113.40257441183502</c:v>
                </c:pt>
                <c:pt idx="277">
                  <c:v>-113.53610944303051</c:v>
                </c:pt>
                <c:pt idx="278">
                  <c:v>-113.66964831189441</c:v>
                </c:pt>
                <c:pt idx="279">
                  <c:v>-113.80319078352821</c:v>
                </c:pt>
                <c:pt idx="280">
                  <c:v>-113.93673662661195</c:v>
                </c:pt>
                <c:pt idx="281">
                  <c:v>-114.07390323469373</c:v>
                </c:pt>
                <c:pt idx="282">
                  <c:v>-114.21107291587147</c:v>
                </c:pt>
                <c:pt idx="283">
                  <c:v>-114.34824543066048</c:v>
                </c:pt>
                <c:pt idx="284">
                  <c:v>-114.48542054313413</c:v>
                </c:pt>
                <c:pt idx="285">
                  <c:v>-114.6253114437756</c:v>
                </c:pt>
                <c:pt idx="286">
                  <c:v>-114.76520456120146</c:v>
                </c:pt>
                <c:pt idx="287">
                  <c:v>-114.90509965600573</c:v>
                </c:pt>
                <c:pt idx="288">
                  <c:v>-115.04499649221424</c:v>
                </c:pt>
                <c:pt idx="289">
                  <c:v>-115.18851291578545</c:v>
                </c:pt>
                <c:pt idx="290">
                  <c:v>-115.33203067956585</c:v>
                </c:pt>
                <c:pt idx="291">
                  <c:v>-115.47554953942044</c:v>
                </c:pt>
                <c:pt idx="292">
                  <c:v>-115.61906925459719</c:v>
                </c:pt>
                <c:pt idx="293">
                  <c:v>-115.7659062394102</c:v>
                </c:pt>
                <c:pt idx="294">
                  <c:v>-115.91274362011701</c:v>
                </c:pt>
                <c:pt idx="295">
                  <c:v>-116.05958114924852</c:v>
                </c:pt>
                <c:pt idx="296">
                  <c:v>-116.20641858262641</c:v>
                </c:pt>
                <c:pt idx="297">
                  <c:v>-116.35657232251866</c:v>
                </c:pt>
                <c:pt idx="298">
                  <c:v>-116.50672545596387</c:v>
                </c:pt>
                <c:pt idx="299">
                  <c:v>-116.65687773191118</c:v>
                </c:pt>
                <c:pt idx="300">
                  <c:v>-116.80702890249593</c:v>
                </c:pt>
                <c:pt idx="301">
                  <c:v>-116.96049526815655</c:v>
                </c:pt>
                <c:pt idx="302">
                  <c:v>-117.11395996526565</c:v>
                </c:pt>
                <c:pt idx="303">
                  <c:v>-117.26742273886923</c:v>
                </c:pt>
                <c:pt idx="304">
                  <c:v>-117.42088333708385</c:v>
                </c:pt>
                <c:pt idx="305">
                  <c:v>-117.5782608410405</c:v>
                </c:pt>
                <c:pt idx="306">
                  <c:v>-117.73563552997322</c:v>
                </c:pt>
                <c:pt idx="307">
                  <c:v>-117.89300714164506</c:v>
                </c:pt>
                <c:pt idx="308">
                  <c:v>-118.05037541680731</c:v>
                </c:pt>
                <c:pt idx="309">
                  <c:v>-118.2110561726023</c:v>
                </c:pt>
                <c:pt idx="310">
                  <c:v>-118.37173291262712</c:v>
                </c:pt>
                <c:pt idx="311">
                  <c:v>-118.53240536992915</c:v>
                </c:pt>
                <c:pt idx="312">
                  <c:v>-118.69307328040217</c:v>
                </c:pt>
                <c:pt idx="313">
                  <c:v>-118.85765493269049</c:v>
                </c:pt>
                <c:pt idx="314">
                  <c:v>-119.022231261348</c:v>
                </c:pt>
                <c:pt idx="315">
                  <c:v>-119.18680199115181</c:v>
                </c:pt>
                <c:pt idx="316">
                  <c:v>-119.35136684961256</c:v>
                </c:pt>
                <c:pt idx="317">
                  <c:v>-119.5198435545247</c:v>
                </c:pt>
                <c:pt idx="318">
                  <c:v>-119.68831353551516</c:v>
                </c:pt>
                <c:pt idx="319">
                  <c:v>-119.85677650846409</c:v>
                </c:pt>
                <c:pt idx="320">
                  <c:v>-120.02523219185582</c:v>
                </c:pt>
                <c:pt idx="321">
                  <c:v>-120.19759761242746</c:v>
                </c:pt>
                <c:pt idx="322">
                  <c:v>-120.36995481202271</c:v>
                </c:pt>
                <c:pt idx="323">
                  <c:v>-120.54230349689099</c:v>
                </c:pt>
                <c:pt idx="324">
                  <c:v>-120.71464337574031</c:v>
                </c:pt>
                <c:pt idx="325">
                  <c:v>-120.89089066041819</c:v>
                </c:pt>
                <c:pt idx="326">
                  <c:v>-121.06712812543871</c:v>
                </c:pt>
                <c:pt idx="327">
                  <c:v>-121.24335546657662</c:v>
                </c:pt>
                <c:pt idx="328">
                  <c:v>-121.41957238190304</c:v>
                </c:pt>
                <c:pt idx="329">
                  <c:v>-121.59999533808677</c:v>
                </c:pt>
                <c:pt idx="330">
                  <c:v>-121.78040672977575</c:v>
                </c:pt>
                <c:pt idx="331">
                  <c:v>-121.96080623973106</c:v>
                </c:pt>
                <c:pt idx="332">
                  <c:v>-122.14119355284599</c:v>
                </c:pt>
                <c:pt idx="333">
                  <c:v>-122.32548286017442</c:v>
                </c:pt>
                <c:pt idx="334">
                  <c:v>-122.50975877691715</c:v>
                </c:pt>
                <c:pt idx="335">
                  <c:v>-122.6940209733109</c:v>
                </c:pt>
                <c:pt idx="336">
                  <c:v>-122.87826912152836</c:v>
                </c:pt>
                <c:pt idx="337">
                  <c:v>-123.06701824604346</c:v>
                </c:pt>
                <c:pt idx="338">
                  <c:v>-123.25575193452518</c:v>
                </c:pt>
                <c:pt idx="339">
                  <c:v>-123.4444698401807</c:v>
                </c:pt>
                <c:pt idx="340">
                  <c:v>-123.63317161796279</c:v>
                </c:pt>
                <c:pt idx="341">
                  <c:v>-123.82637072246122</c:v>
                </c:pt>
                <c:pt idx="342">
                  <c:v>-124.01955219124245</c:v>
                </c:pt>
                <c:pt idx="343">
                  <c:v>-124.21271565899973</c:v>
                </c:pt>
                <c:pt idx="344">
                  <c:v>-124.40586076195797</c:v>
                </c:pt>
                <c:pt idx="345">
                  <c:v>-124.60319840502798</c:v>
                </c:pt>
                <c:pt idx="346">
                  <c:v>-124.80051611020308</c:v>
                </c:pt>
                <c:pt idx="347">
                  <c:v>-124.99781349376069</c:v>
                </c:pt>
                <c:pt idx="348">
                  <c:v>-125.1950901732645</c:v>
                </c:pt>
                <c:pt idx="349">
                  <c:v>-125.39715661291251</c:v>
                </c:pt>
                <c:pt idx="350">
                  <c:v>-125.59920051756147</c:v>
                </c:pt>
                <c:pt idx="351">
                  <c:v>-125.80122147972115</c:v>
                </c:pt>
                <c:pt idx="352">
                  <c:v>-126.00321909293369</c:v>
                </c:pt>
                <c:pt idx="353">
                  <c:v>-126.21000156022966</c:v>
                </c:pt>
                <c:pt idx="354">
                  <c:v>-126.41675869418731</c:v>
                </c:pt>
                <c:pt idx="355">
                  <c:v>-126.62349006140163</c:v>
                </c:pt>
                <c:pt idx="356">
                  <c:v>-126.83019522921821</c:v>
                </c:pt>
                <c:pt idx="357">
                  <c:v>-127.04137953850262</c:v>
                </c:pt>
                <c:pt idx="358">
                  <c:v>-127.25253558223248</c:v>
                </c:pt>
                <c:pt idx="359">
                  <c:v>-127.46366290068389</c:v>
                </c:pt>
                <c:pt idx="360">
                  <c:v>-127.67476103457044</c:v>
                </c:pt>
                <c:pt idx="361">
                  <c:v>-127.89093322847981</c:v>
                </c:pt>
                <c:pt idx="362">
                  <c:v>-128.10707383510731</c:v>
                </c:pt>
                <c:pt idx="363">
                  <c:v>-128.32318236188328</c:v>
                </c:pt>
                <c:pt idx="364">
                  <c:v>-128.53925831633794</c:v>
                </c:pt>
                <c:pt idx="365">
                  <c:v>-128.76010177979379</c:v>
                </c:pt>
                <c:pt idx="366">
                  <c:v>-128.98091016648411</c:v>
                </c:pt>
                <c:pt idx="367">
                  <c:v>-129.20168295012036</c:v>
                </c:pt>
                <c:pt idx="368">
                  <c:v>-129.42241960414353</c:v>
                </c:pt>
                <c:pt idx="369">
                  <c:v>-129.64851669225627</c:v>
                </c:pt>
                <c:pt idx="370">
                  <c:v>-129.87457474190958</c:v>
                </c:pt>
                <c:pt idx="371">
                  <c:v>-130.10059318549889</c:v>
                </c:pt>
                <c:pt idx="372">
                  <c:v>-130.32657145474138</c:v>
                </c:pt>
                <c:pt idx="373">
                  <c:v>-130.55760258864177</c:v>
                </c:pt>
                <c:pt idx="374">
                  <c:v>-130.78859051185339</c:v>
                </c:pt>
                <c:pt idx="375">
                  <c:v>-131.01953461400669</c:v>
                </c:pt>
                <c:pt idx="376">
                  <c:v>-131.25043428361181</c:v>
                </c:pt>
                <c:pt idx="377">
                  <c:v>-131.48697735849618</c:v>
                </c:pt>
                <c:pt idx="378">
                  <c:v>-131.72347248010959</c:v>
                </c:pt>
                <c:pt idx="379">
                  <c:v>-131.95991898639585</c:v>
                </c:pt>
                <c:pt idx="380">
                  <c:v>-132.19631621368444</c:v>
                </c:pt>
                <c:pt idx="381">
                  <c:v>-132.43774889691284</c:v>
                </c:pt>
                <c:pt idx="382">
                  <c:v>-132.67912875194133</c:v>
                </c:pt>
                <c:pt idx="383">
                  <c:v>-132.92045506553842</c:v>
                </c:pt>
                <c:pt idx="384">
                  <c:v>-133.16172712234004</c:v>
                </c:pt>
                <c:pt idx="385">
                  <c:v>-133.40892161901806</c:v>
                </c:pt>
                <c:pt idx="386">
                  <c:v>-133.65605760788142</c:v>
                </c:pt>
                <c:pt idx="387">
                  <c:v>-133.90313431151168</c:v>
                </c:pt>
                <c:pt idx="388">
                  <c:v>-134.15015094976471</c:v>
                </c:pt>
                <c:pt idx="389">
                  <c:v>-134.40277973064229</c:v>
                </c:pt>
                <c:pt idx="390">
                  <c:v>-134.65534399381283</c:v>
                </c:pt>
                <c:pt idx="391">
                  <c:v>-134.90784289470125</c:v>
                </c:pt>
                <c:pt idx="392">
                  <c:v>-135.16027558537886</c:v>
                </c:pt>
                <c:pt idx="393">
                  <c:v>-135.41830822389497</c:v>
                </c:pt>
                <c:pt idx="394">
                  <c:v>-135.6762698409342</c:v>
                </c:pt>
                <c:pt idx="395">
                  <c:v>-135.93415951872078</c:v>
                </c:pt>
                <c:pt idx="396">
                  <c:v>-136.19197633545335</c:v>
                </c:pt>
                <c:pt idx="397">
                  <c:v>-136.45597578523353</c:v>
                </c:pt>
                <c:pt idx="398">
                  <c:v>-136.71989682226683</c:v>
                </c:pt>
                <c:pt idx="399">
                  <c:v>-136.98373844229937</c:v>
                </c:pt>
                <c:pt idx="400">
                  <c:v>-137.24749963629429</c:v>
                </c:pt>
                <c:pt idx="401">
                  <c:v>-137.51713058141436</c:v>
                </c:pt>
                <c:pt idx="402">
                  <c:v>-137.78667527886307</c:v>
                </c:pt>
                <c:pt idx="403">
                  <c:v>-138.05613263368508</c:v>
                </c:pt>
                <c:pt idx="404">
                  <c:v>-138.32550154535838</c:v>
                </c:pt>
                <c:pt idx="405">
                  <c:v>-138.60102141158202</c:v>
                </c:pt>
                <c:pt idx="406">
                  <c:v>-138.87644633798686</c:v>
                </c:pt>
                <c:pt idx="407">
                  <c:v>-139.15177512715107</c:v>
                </c:pt>
                <c:pt idx="408">
                  <c:v>-139.42700657523324</c:v>
                </c:pt>
                <c:pt idx="409">
                  <c:v>-139.70866784806253</c:v>
                </c:pt>
                <c:pt idx="410">
                  <c:v>-139.99022453051799</c:v>
                </c:pt>
                <c:pt idx="411">
                  <c:v>-140.27167530963513</c:v>
                </c:pt>
                <c:pt idx="412">
                  <c:v>-140.55301886510443</c:v>
                </c:pt>
                <c:pt idx="413">
                  <c:v>-140.84077224457391</c:v>
                </c:pt>
                <c:pt idx="414">
                  <c:v>-141.12841055105719</c:v>
                </c:pt>
                <c:pt idx="415">
                  <c:v>-141.41593234599176</c:v>
                </c:pt>
                <c:pt idx="416">
                  <c:v>-141.70333618250345</c:v>
                </c:pt>
                <c:pt idx="417">
                  <c:v>-141.9974240289697</c:v>
                </c:pt>
                <c:pt idx="418">
                  <c:v>-142.29138516739508</c:v>
                </c:pt>
                <c:pt idx="419">
                  <c:v>-142.58521801822315</c:v>
                </c:pt>
                <c:pt idx="420">
                  <c:v>-142.87892099255171</c:v>
                </c:pt>
                <c:pt idx="421">
                  <c:v>-143.17898855103323</c:v>
                </c:pt>
                <c:pt idx="422">
                  <c:v>-143.47891703350817</c:v>
                </c:pt>
                <c:pt idx="423">
                  <c:v>-143.77870471268167</c:v>
                </c:pt>
                <c:pt idx="424">
                  <c:v>-144.07834985089445</c:v>
                </c:pt>
                <c:pt idx="425">
                  <c:v>-144.38521847377464</c:v>
                </c:pt>
                <c:pt idx="426">
                  <c:v>-144.6919337277595</c:v>
                </c:pt>
                <c:pt idx="427">
                  <c:v>-144.99849370971046</c:v>
                </c:pt>
                <c:pt idx="428">
                  <c:v>-145.30489650497162</c:v>
                </c:pt>
                <c:pt idx="429">
                  <c:v>-145.61819866861285</c:v>
                </c:pt>
                <c:pt idx="430">
                  <c:v>-145.9313322231537</c:v>
                </c:pt>
                <c:pt idx="431">
                  <c:v>-146.24429508097128</c:v>
                </c:pt>
                <c:pt idx="432">
                  <c:v>-146.55708514181887</c:v>
                </c:pt>
                <c:pt idx="433">
                  <c:v>-146.87674310960011</c:v>
                </c:pt>
                <c:pt idx="434">
                  <c:v>-147.19621592286671</c:v>
                </c:pt>
                <c:pt idx="435">
                  <c:v>-147.51550129533098</c:v>
                </c:pt>
                <c:pt idx="436">
                  <c:v>-147.83459692700649</c:v>
                </c:pt>
                <c:pt idx="437">
                  <c:v>-148.16111199720214</c:v>
                </c:pt>
                <c:pt idx="438">
                  <c:v>-148.48742323466732</c:v>
                </c:pt>
                <c:pt idx="439">
                  <c:v>-148.81352812638897</c:v>
                </c:pt>
                <c:pt idx="440">
                  <c:v>-149.13942414453592</c:v>
                </c:pt>
                <c:pt idx="441">
                  <c:v>-149.47270064271873</c:v>
                </c:pt>
                <c:pt idx="442">
                  <c:v>-149.80575300947285</c:v>
                </c:pt>
                <c:pt idx="443">
                  <c:v>-150.13857848833609</c:v>
                </c:pt>
                <c:pt idx="444">
                  <c:v>-150.47117430699811</c:v>
                </c:pt>
                <c:pt idx="445">
                  <c:v>-150.81110852040698</c:v>
                </c:pt>
                <c:pt idx="446">
                  <c:v>-151.15079657133012</c:v>
                </c:pt>
                <c:pt idx="447">
                  <c:v>-151.49023544298069</c:v>
                </c:pt>
                <c:pt idx="448">
                  <c:v>-151.82942210182873</c:v>
                </c:pt>
                <c:pt idx="449">
                  <c:v>-152.17648236670672</c:v>
                </c:pt>
                <c:pt idx="450">
                  <c:v>-152.5232716797963</c:v>
                </c:pt>
                <c:pt idx="451">
                  <c:v>-152.86978673055103</c:v>
                </c:pt>
                <c:pt idx="452">
                  <c:v>-153.21602419085784</c:v>
                </c:pt>
                <c:pt idx="453">
                  <c:v>-153.56979403458729</c:v>
                </c:pt>
                <c:pt idx="454">
                  <c:v>-153.92326650810477</c:v>
                </c:pt>
                <c:pt idx="455">
                  <c:v>-154.27643799719792</c:v>
                </c:pt>
                <c:pt idx="456">
                  <c:v>-154.62930486957265</c:v>
                </c:pt>
                <c:pt idx="457">
                  <c:v>-154.99022647593191</c:v>
                </c:pt>
                <c:pt idx="458">
                  <c:v>-155.35082107542959</c:v>
                </c:pt>
                <c:pt idx="459">
                  <c:v>-155.71108471420899</c:v>
                </c:pt>
                <c:pt idx="460">
                  <c:v>-156.07101342002261</c:v>
                </c:pt>
                <c:pt idx="461">
                  <c:v>-156.43893496548839</c:v>
                </c:pt>
                <c:pt idx="462">
                  <c:v>-156.80649739883287</c:v>
                </c:pt>
                <c:pt idx="463">
                  <c:v>-157.17369640802386</c:v>
                </c:pt>
                <c:pt idx="464">
                  <c:v>-157.5405276627416</c:v>
                </c:pt>
                <c:pt idx="465">
                  <c:v>-157.91557120320678</c:v>
                </c:pt>
                <c:pt idx="466">
                  <c:v>-158.29022031455534</c:v>
                </c:pt>
                <c:pt idx="467">
                  <c:v>-158.66447029868667</c:v>
                </c:pt>
                <c:pt idx="468">
                  <c:v>-159.03831643977358</c:v>
                </c:pt>
                <c:pt idx="469">
                  <c:v>-159.42030118722991</c:v>
                </c:pt>
                <c:pt idx="470">
                  <c:v>-159.80185334756743</c:v>
                </c:pt>
                <c:pt idx="471">
                  <c:v>-160.18296782009827</c:v>
                </c:pt>
                <c:pt idx="472">
                  <c:v>-160.56363948759716</c:v>
                </c:pt>
                <c:pt idx="473">
                  <c:v>-160.9529376680552</c:v>
                </c:pt>
                <c:pt idx="474">
                  <c:v>-161.34176073504636</c:v>
                </c:pt>
                <c:pt idx="475">
                  <c:v>-161.73010314711567</c:v>
                </c:pt>
                <c:pt idx="476">
                  <c:v>-162.11795934812605</c:v>
                </c:pt>
                <c:pt idx="477">
                  <c:v>-162.51435259311481</c:v>
                </c:pt>
                <c:pt idx="478">
                  <c:v>-162.91022486667504</c:v>
                </c:pt>
                <c:pt idx="479">
                  <c:v>-163.30557017313751</c:v>
                </c:pt>
                <c:pt idx="480">
                  <c:v>-163.70038250492334</c:v>
                </c:pt>
                <c:pt idx="481">
                  <c:v>-164.10363580083998</c:v>
                </c:pt>
                <c:pt idx="482">
                  <c:v>-164.50631880433991</c:v>
                </c:pt>
                <c:pt idx="483">
                  <c:v>-164.90842505624005</c:v>
                </c:pt>
                <c:pt idx="484">
                  <c:v>-165.30994808928446</c:v>
                </c:pt>
                <c:pt idx="485">
                  <c:v>-165.72008809583943</c:v>
                </c:pt>
                <c:pt idx="486">
                  <c:v>-166.12960405856671</c:v>
                </c:pt>
                <c:pt idx="487">
                  <c:v>-166.53848903632891</c:v>
                </c:pt>
                <c:pt idx="488">
                  <c:v>-166.94673608495768</c:v>
                </c:pt>
                <c:pt idx="489">
                  <c:v>-167.36404175633223</c:v>
                </c:pt>
                <c:pt idx="490">
                  <c:v>-167.78066400350335</c:v>
                </c:pt>
                <c:pt idx="491">
                  <c:v>-168.19659537410178</c:v>
                </c:pt>
                <c:pt idx="492">
                  <c:v>-168.61182841918884</c:v>
                </c:pt>
                <c:pt idx="493">
                  <c:v>-169.03599381097021</c:v>
                </c:pt>
                <c:pt idx="494">
                  <c:v>-169.45941223486369</c:v>
                </c:pt>
                <c:pt idx="495">
                  <c:v>-169.88207573230125</c:v>
                </c:pt>
                <c:pt idx="496">
                  <c:v>-170.30397635624229</c:v>
                </c:pt>
                <c:pt idx="497">
                  <c:v>-170.7349478728998</c:v>
                </c:pt>
                <c:pt idx="498">
                  <c:v>-171.1651036131158</c:v>
                </c:pt>
                <c:pt idx="499">
                  <c:v>-171.59443510956203</c:v>
                </c:pt>
                <c:pt idx="500">
                  <c:v>-172.02293391638324</c:v>
                </c:pt>
                <c:pt idx="501">
                  <c:v>-172.46062799320288</c:v>
                </c:pt>
                <c:pt idx="502">
                  <c:v>-172.89743197368773</c:v>
                </c:pt>
                <c:pt idx="503">
                  <c:v>-173.33333688724173</c:v>
                </c:pt>
                <c:pt idx="504">
                  <c:v>-173.76833379675955</c:v>
                </c:pt>
                <c:pt idx="505">
                  <c:v>-174.21236634135508</c:v>
                </c:pt>
                <c:pt idx="506">
                  <c:v>-174.65542992020383</c:v>
                </c:pt>
                <c:pt idx="507">
                  <c:v>-175.09751509170511</c:v>
                </c:pt>
                <c:pt idx="508">
                  <c:v>-175.53861246193654</c:v>
                </c:pt>
                <c:pt idx="509">
                  <c:v>-175.988842647544</c:v>
                </c:pt>
                <c:pt idx="510">
                  <c:v>-176.43801925530158</c:v>
                </c:pt>
                <c:pt idx="511">
                  <c:v>-176.88613239963911</c:v>
                </c:pt>
                <c:pt idx="512">
                  <c:v>-177.33317225925916</c:v>
                </c:pt>
                <c:pt idx="513">
                  <c:v>-177.78968981780542</c:v>
                </c:pt>
                <c:pt idx="514">
                  <c:v>-178.24506198152415</c:v>
                </c:pt>
                <c:pt idx="515">
                  <c:v>-178.69927844260019</c:v>
                </c:pt>
                <c:pt idx="516">
                  <c:v>-179.15232897684515</c:v>
                </c:pt>
                <c:pt idx="517">
                  <c:v>-179.61465554519478</c:v>
                </c:pt>
                <c:pt idx="518">
                  <c:v>-180.07574017919933</c:v>
                </c:pt>
                <c:pt idx="519">
                  <c:v>-180.53557222028101</c:v>
                </c:pt>
                <c:pt idx="520">
                  <c:v>-180.99414111537297</c:v>
                </c:pt>
                <c:pt idx="521">
                  <c:v>-181.46203191917854</c:v>
                </c:pt>
                <c:pt idx="522">
                  <c:v>-181.92857827831253</c:v>
                </c:pt>
                <c:pt idx="523">
                  <c:v>-182.39376925274777</c:v>
                </c:pt>
                <c:pt idx="524">
                  <c:v>-182.85759403258646</c:v>
                </c:pt>
                <c:pt idx="525">
                  <c:v>-183.33076819870911</c:v>
                </c:pt>
                <c:pt idx="526">
                  <c:v>-183.80248949256961</c:v>
                </c:pt>
                <c:pt idx="527">
                  <c:v>-184.2727467787789</c:v>
                </c:pt>
                <c:pt idx="528">
                  <c:v>-184.7415290794101</c:v>
                </c:pt>
                <c:pt idx="529">
                  <c:v>-185.21966930912129</c:v>
                </c:pt>
                <c:pt idx="530">
                  <c:v>-185.69624245378347</c:v>
                </c:pt>
                <c:pt idx="531">
                  <c:v>-186.1712372865108</c:v>
                </c:pt>
                <c:pt idx="532">
                  <c:v>-186.64464276782022</c:v>
                </c:pt>
                <c:pt idx="533">
                  <c:v>-187.12764414570512</c:v>
                </c:pt>
                <c:pt idx="534">
                  <c:v>-187.60895691076351</c:v>
                </c:pt>
                <c:pt idx="535">
                  <c:v>-188.08856984973951</c:v>
                </c:pt>
                <c:pt idx="536">
                  <c:v>-188.56647196957505</c:v>
                </c:pt>
                <c:pt idx="537">
                  <c:v>-189.05344354694833</c:v>
                </c:pt>
                <c:pt idx="538">
                  <c:v>-189.5386032009327</c:v>
                </c:pt>
                <c:pt idx="539">
                  <c:v>-190.02193990775723</c:v>
                </c:pt>
                <c:pt idx="540">
                  <c:v>-190.50344289780747</c:v>
                </c:pt>
                <c:pt idx="541">
                  <c:v>-190.99445353905986</c:v>
                </c:pt>
                <c:pt idx="542">
                  <c:v>-191.48352045276991</c:v>
                </c:pt>
                <c:pt idx="543">
                  <c:v>-191.97063293080984</c:v>
                </c:pt>
                <c:pt idx="544">
                  <c:v>-192.45578055581851</c:v>
                </c:pt>
                <c:pt idx="545">
                  <c:v>-192.95012198963525</c:v>
                </c:pt>
                <c:pt idx="546">
                  <c:v>-193.44238536641325</c:v>
                </c:pt>
                <c:pt idx="547">
                  <c:v>-193.93256048799842</c:v>
                </c:pt>
                <c:pt idx="548">
                  <c:v>-194.42063748414967</c:v>
                </c:pt>
                <c:pt idx="549">
                  <c:v>-194.9178180958028</c:v>
                </c:pt>
                <c:pt idx="550">
                  <c:v>-195.41278259269203</c:v>
                </c:pt>
                <c:pt idx="551">
                  <c:v>-195.90552148006972</c:v>
                </c:pt>
                <c:pt idx="552">
                  <c:v>-196.39602562859315</c:v>
                </c:pt>
                <c:pt idx="553">
                  <c:v>-196.8957530727462</c:v>
                </c:pt>
                <c:pt idx="554">
                  <c:v>-197.39312114843776</c:v>
                </c:pt>
                <c:pt idx="555">
                  <c:v>-197.88812126017888</c:v>
                </c:pt>
                <c:pt idx="556">
                  <c:v>-198.38074521564681</c:v>
                </c:pt>
                <c:pt idx="557">
                  <c:v>-199.38166399817078</c:v>
                </c:pt>
                <c:pt idx="558">
                  <c:v>-200.37253324727411</c:v>
                </c:pt>
                <c:pt idx="559">
                  <c:v>-201.37566006212617</c:v>
                </c:pt>
                <c:pt idx="560">
                  <c:v>-202.36816354946183</c:v>
                </c:pt>
                <c:pt idx="561">
                  <c:v>-203.37316553004595</c:v>
                </c:pt>
                <c:pt idx="562">
                  <c:v>-204.36695055071482</c:v>
                </c:pt>
                <c:pt idx="563">
                  <c:v>-205.37044945857653</c:v>
                </c:pt>
                <c:pt idx="564">
                  <c:v>-206.36218966797543</c:v>
                </c:pt>
                <c:pt idx="565">
                  <c:v>-207.366708745935</c:v>
                </c:pt>
                <c:pt idx="566">
                  <c:v>-208.35884535962944</c:v>
                </c:pt>
                <c:pt idx="567">
                  <c:v>-209.36253735141207</c:v>
                </c:pt>
                <c:pt idx="568">
                  <c:v>-210.35324274518572</c:v>
                </c:pt>
                <c:pt idx="569">
                  <c:v>-211.35040418524798</c:v>
                </c:pt>
                <c:pt idx="570">
                  <c:v>-212.33410573230395</c:v>
                </c:pt>
                <c:pt idx="571">
                  <c:v>-213.33083345542846</c:v>
                </c:pt>
                <c:pt idx="572">
                  <c:v>-214.31344679285678</c:v>
                </c:pt>
                <c:pt idx="573">
                  <c:v>-215.30035546966218</c:v>
                </c:pt>
                <c:pt idx="574">
                  <c:v>-216.27274521000473</c:v>
                </c:pt>
                <c:pt idx="575">
                  <c:v>-217.25562150457532</c:v>
                </c:pt>
                <c:pt idx="576">
                  <c:v>-218.22339599292462</c:v>
                </c:pt>
                <c:pt idx="577">
                  <c:v>-222.15589187921702</c:v>
                </c:pt>
                <c:pt idx="578">
                  <c:v>-225.82957591798024</c:v>
                </c:pt>
                <c:pt idx="579">
                  <c:v>-233.03343432982354</c:v>
                </c:pt>
                <c:pt idx="580">
                  <c:v>-239.73928830445652</c:v>
                </c:pt>
                <c:pt idx="581">
                  <c:v>-245.86150161874525</c:v>
                </c:pt>
                <c:pt idx="582">
                  <c:v>-251.360314544142</c:v>
                </c:pt>
                <c:pt idx="583">
                  <c:v>-256.21597071280308</c:v>
                </c:pt>
                <c:pt idx="584">
                  <c:v>-260.43881782445834</c:v>
                </c:pt>
                <c:pt idx="585">
                  <c:v>-264.04975097130068</c:v>
                </c:pt>
                <c:pt idx="586">
                  <c:v>-267.08494980181439</c:v>
                </c:pt>
                <c:pt idx="587">
                  <c:v>-269.58918079806563</c:v>
                </c:pt>
                <c:pt idx="588">
                  <c:v>-271.60861423876372</c:v>
                </c:pt>
                <c:pt idx="589">
                  <c:v>-273.19632624589622</c:v>
                </c:pt>
                <c:pt idx="590">
                  <c:v>-274.40379595310537</c:v>
                </c:pt>
                <c:pt idx="591">
                  <c:v>-275.28278531353789</c:v>
                </c:pt>
                <c:pt idx="592">
                  <c:v>-275.88293682384966</c:v>
                </c:pt>
                <c:pt idx="593">
                  <c:v>-276.25115301258995</c:v>
                </c:pt>
                <c:pt idx="594">
                  <c:v>-276.43024215698478</c:v>
                </c:pt>
                <c:pt idx="595">
                  <c:v>-276.45878508149508</c:v>
                </c:pt>
                <c:pt idx="596">
                  <c:v>-276.37060585442367</c:v>
                </c:pt>
                <c:pt idx="597">
                  <c:v>-276.19473604107282</c:v>
                </c:pt>
                <c:pt idx="598">
                  <c:v>-275.95562958169711</c:v>
                </c:pt>
                <c:pt idx="599">
                  <c:v>-275.67330643458752</c:v>
                </c:pt>
                <c:pt idx="600">
                  <c:v>-275.36397298877313</c:v>
                </c:pt>
              </c:numCache>
            </c:numRef>
          </c:yVal>
          <c:smooth val="0"/>
          <c:extLst>
            <c:ext xmlns:c16="http://schemas.microsoft.com/office/drawing/2014/chart" uri="{C3380CC4-5D6E-409C-BE32-E72D297353CC}">
              <c16:uniqueId val="{00000001-C921-4838-A0BE-4B6A27AAB705}"/>
            </c:ext>
          </c:extLst>
        </c:ser>
        <c:dLbls>
          <c:showLegendKey val="0"/>
          <c:showVal val="0"/>
          <c:showCatName val="0"/>
          <c:showSerName val="0"/>
          <c:showPercent val="0"/>
          <c:showBubbleSize val="0"/>
        </c:dLbls>
        <c:axId val="182174464"/>
        <c:axId val="182176000"/>
      </c:scatterChart>
      <c:valAx>
        <c:axId val="182162176"/>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2164096"/>
        <c:crossesAt val="-40"/>
        <c:crossBetween val="midCat"/>
        <c:majorUnit val="10"/>
        <c:minorUnit val="10"/>
      </c:valAx>
      <c:valAx>
        <c:axId val="182164096"/>
        <c:scaling>
          <c:orientation val="minMax"/>
          <c:max val="10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2162176"/>
        <c:crossesAt val="0.1"/>
        <c:crossBetween val="midCat"/>
        <c:majorUnit val="20"/>
        <c:minorUnit val="4"/>
      </c:valAx>
      <c:valAx>
        <c:axId val="182174464"/>
        <c:scaling>
          <c:logBase val="10"/>
          <c:orientation val="minMax"/>
        </c:scaling>
        <c:delete val="1"/>
        <c:axPos val="t"/>
        <c:numFmt formatCode="General" sourceLinked="1"/>
        <c:majorTickMark val="out"/>
        <c:minorTickMark val="none"/>
        <c:tickLblPos val="none"/>
        <c:crossAx val="182176000"/>
        <c:crossesAt val="0"/>
        <c:crossBetween val="midCat"/>
      </c:valAx>
      <c:valAx>
        <c:axId val="18217600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217446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Ch2 Bode Plot</a:t>
            </a:r>
          </a:p>
        </c:rich>
      </c:tx>
      <c:layout>
        <c:manualLayout>
          <c:xMode val="edge"/>
          <c:yMode val="edge"/>
          <c:x val="0.35617103984450921"/>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'Ch2 Stability Calculations'!$Q$12</c:f>
              <c:strCache>
                <c:ptCount val="1"/>
                <c:pt idx="0">
                  <c:v>Gain (dB)</c:v>
                </c:pt>
              </c:strCache>
            </c:strRef>
          </c:tx>
          <c:spPr>
            <a:ln w="2540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93.860807560386817</c:v>
                </c:pt>
                <c:pt idx="1">
                  <c:v>93.632435465671705</c:v>
                </c:pt>
                <c:pt idx="2">
                  <c:v>93.372899397295242</c:v>
                </c:pt>
                <c:pt idx="3">
                  <c:v>93.080120721953563</c:v>
                </c:pt>
                <c:pt idx="4">
                  <c:v>92.752643908208668</c:v>
                </c:pt>
                <c:pt idx="5">
                  <c:v>92.388720681953643</c:v>
                </c:pt>
                <c:pt idx="6">
                  <c:v>91.988222386731508</c:v>
                </c:pt>
                <c:pt idx="7">
                  <c:v>91.550892599331036</c:v>
                </c:pt>
                <c:pt idx="8">
                  <c:v>91.077672910604093</c:v>
                </c:pt>
                <c:pt idx="9">
                  <c:v>90.569397625175569</c:v>
                </c:pt>
                <c:pt idx="10">
                  <c:v>90.028037524584178</c:v>
                </c:pt>
                <c:pt idx="11">
                  <c:v>89.455611316866865</c:v>
                </c:pt>
                <c:pt idx="12">
                  <c:v>88.854164151617198</c:v>
                </c:pt>
                <c:pt idx="13">
                  <c:v>88.226809023868384</c:v>
                </c:pt>
                <c:pt idx="14">
                  <c:v>87.575650150708725</c:v>
                </c:pt>
                <c:pt idx="15">
                  <c:v>86.903499838893822</c:v>
                </c:pt>
                <c:pt idx="16">
                  <c:v>86.212777276942575</c:v>
                </c:pt>
                <c:pt idx="17">
                  <c:v>85.505904074720988</c:v>
                </c:pt>
                <c:pt idx="18">
                  <c:v>84.784810512225462</c:v>
                </c:pt>
                <c:pt idx="19">
                  <c:v>84.051623425866651</c:v>
                </c:pt>
                <c:pt idx="20">
                  <c:v>83.307924357742309</c:v>
                </c:pt>
                <c:pt idx="21">
                  <c:v>82.555389763604964</c:v>
                </c:pt>
                <c:pt idx="22">
                  <c:v>81.795191668120779</c:v>
                </c:pt>
                <c:pt idx="23">
                  <c:v>81.02867375685085</c:v>
                </c:pt>
                <c:pt idx="24">
                  <c:v>80.256636005111886</c:v>
                </c:pt>
                <c:pt idx="25">
                  <c:v>79.480048964950612</c:v>
                </c:pt>
                <c:pt idx="26">
                  <c:v>78.699456555003991</c:v>
                </c:pt>
                <c:pt idx="27">
                  <c:v>77.91572287984755</c:v>
                </c:pt>
                <c:pt idx="28">
                  <c:v>77.129339443319225</c:v>
                </c:pt>
                <c:pt idx="29">
                  <c:v>76.341236869080134</c:v>
                </c:pt>
                <c:pt idx="30">
                  <c:v>75.550451573228074</c:v>
                </c:pt>
                <c:pt idx="31">
                  <c:v>74.758397938311575</c:v>
                </c:pt>
                <c:pt idx="32">
                  <c:v>73.964800285815329</c:v>
                </c:pt>
                <c:pt idx="33">
                  <c:v>73.170443466394971</c:v>
                </c:pt>
                <c:pt idx="34">
                  <c:v>72.37489880624085</c:v>
                </c:pt>
                <c:pt idx="35">
                  <c:v>71.578767898232257</c:v>
                </c:pt>
                <c:pt idx="36">
                  <c:v>70.782058275899473</c:v>
                </c:pt>
                <c:pt idx="37">
                  <c:v>69.984448776276636</c:v>
                </c:pt>
                <c:pt idx="38">
                  <c:v>69.186789612358353</c:v>
                </c:pt>
                <c:pt idx="39">
                  <c:v>68.388514098833483</c:v>
                </c:pt>
                <c:pt idx="40">
                  <c:v>67.589987238175425</c:v>
                </c:pt>
                <c:pt idx="41">
                  <c:v>66.79119278098355</c:v>
                </c:pt>
                <c:pt idx="42">
                  <c:v>65.99228393975126</c:v>
                </c:pt>
                <c:pt idx="43">
                  <c:v>65.193060993019415</c:v>
                </c:pt>
                <c:pt idx="44">
                  <c:v>64.393764648185169</c:v>
                </c:pt>
                <c:pt idx="45">
                  <c:v>63.594256025562224</c:v>
                </c:pt>
                <c:pt idx="46">
                  <c:v>62.794713961487716</c:v>
                </c:pt>
                <c:pt idx="47">
                  <c:v>61.994979380369912</c:v>
                </c:pt>
                <c:pt idx="48">
                  <c:v>61.195258388334452</c:v>
                </c:pt>
                <c:pt idx="49">
                  <c:v>60.395352604971883</c:v>
                </c:pt>
                <c:pt idx="50">
                  <c:v>59.595388198518634</c:v>
                </c:pt>
                <c:pt idx="51">
                  <c:v>58.795178528496422</c:v>
                </c:pt>
                <c:pt idx="52">
                  <c:v>57.994975577274708</c:v>
                </c:pt>
                <c:pt idx="53">
                  <c:v>57.194742971519439</c:v>
                </c:pt>
                <c:pt idx="54">
                  <c:v>56.394970036206509</c:v>
                </c:pt>
                <c:pt idx="55">
                  <c:v>55.594293704290926</c:v>
                </c:pt>
                <c:pt idx="56">
                  <c:v>54.793819006295486</c:v>
                </c:pt>
                <c:pt idx="57">
                  <c:v>53.992985760593051</c:v>
                </c:pt>
                <c:pt idx="58">
                  <c:v>53.192343371067238</c:v>
                </c:pt>
                <c:pt idx="59">
                  <c:v>52.391248373550035</c:v>
                </c:pt>
                <c:pt idx="60">
                  <c:v>51.590119875404653</c:v>
                </c:pt>
                <c:pt idx="61">
                  <c:v>50.788796809387058</c:v>
                </c:pt>
                <c:pt idx="62">
                  <c:v>49.986800787745892</c:v>
                </c:pt>
                <c:pt idx="63">
                  <c:v>49.18483905906573</c:v>
                </c:pt>
                <c:pt idx="64">
                  <c:v>48.382197292755393</c:v>
                </c:pt>
                <c:pt idx="65">
                  <c:v>47.579096391789768</c:v>
                </c:pt>
                <c:pt idx="66">
                  <c:v>46.775367835216372</c:v>
                </c:pt>
                <c:pt idx="67">
                  <c:v>45.971002893476992</c:v>
                </c:pt>
                <c:pt idx="68">
                  <c:v>45.165621815310843</c:v>
                </c:pt>
                <c:pt idx="69">
                  <c:v>44.359267706394476</c:v>
                </c:pt>
                <c:pt idx="70">
                  <c:v>43.551574836510213</c:v>
                </c:pt>
                <c:pt idx="71">
                  <c:v>42.742466309811313</c:v>
                </c:pt>
                <c:pt idx="72">
                  <c:v>41.9314854644783</c:v>
                </c:pt>
                <c:pt idx="73">
                  <c:v>41.118501420501936</c:v>
                </c:pt>
                <c:pt idx="74">
                  <c:v>40.302921930242675</c:v>
                </c:pt>
                <c:pt idx="75">
                  <c:v>39.484428122569881</c:v>
                </c:pt>
                <c:pt idx="76">
                  <c:v>38.662319259655547</c:v>
                </c:pt>
                <c:pt idx="77">
                  <c:v>37.836279610361146</c:v>
                </c:pt>
                <c:pt idx="78">
                  <c:v>37.005632727068914</c:v>
                </c:pt>
                <c:pt idx="79">
                  <c:v>36.170190024284501</c:v>
                </c:pt>
                <c:pt idx="80">
                  <c:v>35.327768748384386</c:v>
                </c:pt>
                <c:pt idx="81">
                  <c:v>34.478732326862726</c:v>
                </c:pt>
                <c:pt idx="82">
                  <c:v>33.621682154085981</c:v>
                </c:pt>
                <c:pt idx="83">
                  <c:v>32.756428638276063</c:v>
                </c:pt>
                <c:pt idx="84">
                  <c:v>31.881573363694876</c:v>
                </c:pt>
                <c:pt idx="85">
                  <c:v>30.997005376471588</c:v>
                </c:pt>
                <c:pt idx="86">
                  <c:v>30.102192267100794</c:v>
                </c:pt>
                <c:pt idx="87">
                  <c:v>29.1965190513022</c:v>
                </c:pt>
                <c:pt idx="88">
                  <c:v>28.281066787726587</c:v>
                </c:pt>
                <c:pt idx="89">
                  <c:v>27.355720995513849</c:v>
                </c:pt>
                <c:pt idx="90">
                  <c:v>26.421881810911216</c:v>
                </c:pt>
                <c:pt idx="91">
                  <c:v>25.480951998872978</c:v>
                </c:pt>
                <c:pt idx="92">
                  <c:v>24.534925536656203</c:v>
                </c:pt>
                <c:pt idx="93">
                  <c:v>23.585677982448161</c:v>
                </c:pt>
                <c:pt idx="94">
                  <c:v>23.348253866752341</c:v>
                </c:pt>
                <c:pt idx="95">
                  <c:v>23.228800689646153</c:v>
                </c:pt>
                <c:pt idx="96">
                  <c:v>23.110717025859508</c:v>
                </c:pt>
                <c:pt idx="97">
                  <c:v>22.991285793750759</c:v>
                </c:pt>
                <c:pt idx="98">
                  <c:v>22.873232801510049</c:v>
                </c:pt>
                <c:pt idx="99">
                  <c:v>22.753811934679469</c:v>
                </c:pt>
                <c:pt idx="100">
                  <c:v>22.635778431576693</c:v>
                </c:pt>
                <c:pt idx="101">
                  <c:v>22.516448824028007</c:v>
                </c:pt>
                <c:pt idx="102">
                  <c:v>22.398513924077839</c:v>
                </c:pt>
                <c:pt idx="103">
                  <c:v>22.279178905891829</c:v>
                </c:pt>
                <c:pt idx="104">
                  <c:v>22.161248247201875</c:v>
                </c:pt>
                <c:pt idx="105">
                  <c:v>22.041991659093071</c:v>
                </c:pt>
                <c:pt idx="106">
                  <c:v>21.924147154022059</c:v>
                </c:pt>
                <c:pt idx="107">
                  <c:v>21.805047861106139</c:v>
                </c:pt>
                <c:pt idx="108">
                  <c:v>21.687366491431245</c:v>
                </c:pt>
                <c:pt idx="109">
                  <c:v>21.568417958322847</c:v>
                </c:pt>
                <c:pt idx="110">
                  <c:v>21.450893274093236</c:v>
                </c:pt>
                <c:pt idx="111">
                  <c:v>21.332013240389145</c:v>
                </c:pt>
                <c:pt idx="112">
                  <c:v>21.214564855904889</c:v>
                </c:pt>
                <c:pt idx="113">
                  <c:v>21.095834516456762</c:v>
                </c:pt>
                <c:pt idx="114">
                  <c:v>20.978541571376887</c:v>
                </c:pt>
                <c:pt idx="115">
                  <c:v>20.859961960973301</c:v>
                </c:pt>
                <c:pt idx="116">
                  <c:v>20.742825311982472</c:v>
                </c:pt>
                <c:pt idx="117">
                  <c:v>20.624399487990303</c:v>
                </c:pt>
                <c:pt idx="118">
                  <c:v>20.507421938102741</c:v>
                </c:pt>
                <c:pt idx="119">
                  <c:v>20.38922596407798</c:v>
                </c:pt>
                <c:pt idx="120">
                  <c:v>20.272481510359146</c:v>
                </c:pt>
                <c:pt idx="121">
                  <c:v>20.154516519395678</c:v>
                </c:pt>
                <c:pt idx="122">
                  <c:v>20.038006015195194</c:v>
                </c:pt>
                <c:pt idx="123">
                  <c:v>19.920206876882261</c:v>
                </c:pt>
                <c:pt idx="124">
                  <c:v>19.803866522909189</c:v>
                </c:pt>
                <c:pt idx="125">
                  <c:v>19.686308325665646</c:v>
                </c:pt>
                <c:pt idx="126">
                  <c:v>19.570211075142552</c:v>
                </c:pt>
                <c:pt idx="127">
                  <c:v>19.452898775779467</c:v>
                </c:pt>
                <c:pt idx="128">
                  <c:v>19.337049147061002</c:v>
                </c:pt>
                <c:pt idx="129">
                  <c:v>19.219988616638325</c:v>
                </c:pt>
                <c:pt idx="130">
                  <c:v>19.104392001355169</c:v>
                </c:pt>
                <c:pt idx="131">
                  <c:v>18.987589848257976</c:v>
                </c:pt>
                <c:pt idx="132">
                  <c:v>18.929740094834596</c:v>
                </c:pt>
                <c:pt idx="133">
                  <c:v>18.872252340380186</c:v>
                </c:pt>
                <c:pt idx="134">
                  <c:v>18.81376874386731</c:v>
                </c:pt>
                <c:pt idx="135">
                  <c:v>18.755655964126781</c:v>
                </c:pt>
                <c:pt idx="136">
                  <c:v>18.697909750096038</c:v>
                </c:pt>
                <c:pt idx="137">
                  <c:v>18.640525915149528</c:v>
                </c:pt>
                <c:pt idx="138">
                  <c:v>18.582209764835085</c:v>
                </c:pt>
                <c:pt idx="139">
                  <c:v>18.524263979213973</c:v>
                </c:pt>
                <c:pt idx="140">
                  <c:v>18.466684281472222</c:v>
                </c:pt>
                <c:pt idx="141">
                  <c:v>18.409466460225985</c:v>
                </c:pt>
                <c:pt idx="142">
                  <c:v>18.351262329535412</c:v>
                </c:pt>
                <c:pt idx="143">
                  <c:v>18.293428714747012</c:v>
                </c:pt>
                <c:pt idx="144">
                  <c:v>18.23596130296724</c:v>
                </c:pt>
                <c:pt idx="145">
                  <c:v>18.178855847965696</c:v>
                </c:pt>
                <c:pt idx="146">
                  <c:v>18.120797865618165</c:v>
                </c:pt>
                <c:pt idx="147">
                  <c:v>18.06311001803298</c:v>
                </c:pt>
                <c:pt idx="148">
                  <c:v>18.005787965668375</c:v>
                </c:pt>
                <c:pt idx="149">
                  <c:v>17.948827436711817</c:v>
                </c:pt>
                <c:pt idx="150">
                  <c:v>17.890919674251371</c:v>
                </c:pt>
                <c:pt idx="151">
                  <c:v>17.833381511283722</c:v>
                </c:pt>
                <c:pt idx="152">
                  <c:v>17.776208584672972</c:v>
                </c:pt>
                <c:pt idx="153">
                  <c:v>17.719396600036539</c:v>
                </c:pt>
                <c:pt idx="154">
                  <c:v>17.661616609271427</c:v>
                </c:pt>
                <c:pt idx="155">
                  <c:v>17.604205865236409</c:v>
                </c:pt>
                <c:pt idx="156">
                  <c:v>17.547159978402696</c:v>
                </c:pt>
                <c:pt idx="157">
                  <c:v>17.490474629096209</c:v>
                </c:pt>
                <c:pt idx="158">
                  <c:v>17.432828382298766</c:v>
                </c:pt>
                <c:pt idx="159">
                  <c:v>17.375550849968551</c:v>
                </c:pt>
                <c:pt idx="160">
                  <c:v>17.318637619863534</c:v>
                </c:pt>
                <c:pt idx="161">
                  <c:v>17.262084350635792</c:v>
                </c:pt>
                <c:pt idx="162">
                  <c:v>17.204602782661055</c:v>
                </c:pt>
                <c:pt idx="163">
                  <c:v>17.147488898064843</c:v>
                </c:pt>
                <c:pt idx="164">
                  <c:v>17.090738271456722</c:v>
                </c:pt>
                <c:pt idx="165">
                  <c:v>17.03434654918572</c:v>
                </c:pt>
                <c:pt idx="166">
                  <c:v>16.976984192918383</c:v>
                </c:pt>
                <c:pt idx="167">
                  <c:v>16.91998896430913</c:v>
                </c:pt>
                <c:pt idx="168">
                  <c:v>16.863356416960229</c:v>
                </c:pt>
                <c:pt idx="169">
                  <c:v>16.807082177235873</c:v>
                </c:pt>
                <c:pt idx="170">
                  <c:v>16.749965786260365</c:v>
                </c:pt>
                <c:pt idx="171">
                  <c:v>16.693214247261658</c:v>
                </c:pt>
                <c:pt idx="172">
                  <c:v>16.636823124845101</c:v>
                </c:pt>
                <c:pt idx="173">
                  <c:v>16.580788056704641</c:v>
                </c:pt>
                <c:pt idx="174">
                  <c:v>16.523705480186781</c:v>
                </c:pt>
                <c:pt idx="175">
                  <c:v>16.466988080274529</c:v>
                </c:pt>
                <c:pt idx="176">
                  <c:v>16.410631386094806</c:v>
                </c:pt>
                <c:pt idx="177">
                  <c:v>16.354631001210372</c:v>
                </c:pt>
                <c:pt idx="178">
                  <c:v>16.297618596675786</c:v>
                </c:pt>
                <c:pt idx="179">
                  <c:v>16.240971129282517</c:v>
                </c:pt>
                <c:pt idx="180">
                  <c:v>16.184684103589884</c:v>
                </c:pt>
                <c:pt idx="181">
                  <c:v>16.128753099706</c:v>
                </c:pt>
                <c:pt idx="182">
                  <c:v>16.072065742806981</c:v>
                </c:pt>
                <c:pt idx="183">
                  <c:v>16.015739735581114</c:v>
                </c:pt>
                <c:pt idx="184">
                  <c:v>15.95977062066294</c:v>
                </c:pt>
                <c:pt idx="185">
                  <c:v>15.904154015940859</c:v>
                </c:pt>
                <c:pt idx="186">
                  <c:v>15.847373311057355</c:v>
                </c:pt>
                <c:pt idx="187">
                  <c:v>15.790955593968373</c:v>
                </c:pt>
                <c:pt idx="188">
                  <c:v>15.734896349732921</c:v>
                </c:pt>
                <c:pt idx="189">
                  <c:v>15.679191140514526</c:v>
                </c:pt>
                <c:pt idx="190">
                  <c:v>15.622782572663693</c:v>
                </c:pt>
                <c:pt idx="191">
                  <c:v>15.566732613439475</c:v>
                </c:pt>
                <c:pt idx="192">
                  <c:v>15.51103680295267</c:v>
                </c:pt>
                <c:pt idx="193">
                  <c:v>15.455690757707398</c:v>
                </c:pt>
                <c:pt idx="194">
                  <c:v>15.399252814532563</c:v>
                </c:pt>
                <c:pt idx="195">
                  <c:v>15.343174103092959</c:v>
                </c:pt>
                <c:pt idx="196">
                  <c:v>15.287450126442581</c:v>
                </c:pt>
                <c:pt idx="197">
                  <c:v>15.232076465403956</c:v>
                </c:pt>
                <c:pt idx="198">
                  <c:v>15.175847629679268</c:v>
                </c:pt>
                <c:pt idx="199">
                  <c:v>15.119975530453187</c:v>
                </c:pt>
                <c:pt idx="200">
                  <c:v>15.064455692894985</c:v>
                </c:pt>
                <c:pt idx="201">
                  <c:v>15.009283719948591</c:v>
                </c:pt>
                <c:pt idx="202">
                  <c:v>14.953284124003684</c:v>
                </c:pt>
                <c:pt idx="203">
                  <c:v>14.897638428530877</c:v>
                </c:pt>
                <c:pt idx="204">
                  <c:v>14.842342188316964</c:v>
                </c:pt>
                <c:pt idx="205">
                  <c:v>14.787391035734746</c:v>
                </c:pt>
                <c:pt idx="206">
                  <c:v>14.731448298768504</c:v>
                </c:pt>
                <c:pt idx="207">
                  <c:v>14.675858710707777</c:v>
                </c:pt>
                <c:pt idx="208">
                  <c:v>14.620617817769846</c:v>
                </c:pt>
                <c:pt idx="209">
                  <c:v>14.565721244438182</c:v>
                </c:pt>
                <c:pt idx="210">
                  <c:v>14.5096798215046</c:v>
                </c:pt>
                <c:pt idx="211">
                  <c:v>14.453992662234141</c:v>
                </c:pt>
                <c:pt idx="212">
                  <c:v>14.398655269671142</c:v>
                </c:pt>
                <c:pt idx="213">
                  <c:v>14.343663226609081</c:v>
                </c:pt>
                <c:pt idx="214">
                  <c:v>14.28792624169024</c:v>
                </c:pt>
                <c:pt idx="215">
                  <c:v>14.232539475710592</c:v>
                </c:pt>
                <c:pt idx="216">
                  <c:v>14.177498487158847</c:v>
                </c:pt>
                <c:pt idx="217">
                  <c:v>14.122798913417133</c:v>
                </c:pt>
                <c:pt idx="218">
                  <c:v>14.067200832333924</c:v>
                </c:pt>
                <c:pt idx="219">
                  <c:v>14.011950926399619</c:v>
                </c:pt>
                <c:pt idx="220">
                  <c:v>13.957044772572431</c:v>
                </c:pt>
                <c:pt idx="221">
                  <c:v>13.902478026696656</c:v>
                </c:pt>
                <c:pt idx="222">
                  <c:v>13.847041223504579</c:v>
                </c:pt>
                <c:pt idx="223">
                  <c:v>13.791950193296378</c:v>
                </c:pt>
                <c:pt idx="224">
                  <c:v>13.737200539186517</c:v>
                </c:pt>
                <c:pt idx="225">
                  <c:v>13.682787942963552</c:v>
                </c:pt>
                <c:pt idx="226">
                  <c:v>13.627364595185828</c:v>
                </c:pt>
                <c:pt idx="227">
                  <c:v>13.572286375572711</c:v>
                </c:pt>
                <c:pt idx="228">
                  <c:v>13.517548880737106</c:v>
                </c:pt>
                <c:pt idx="229">
                  <c:v>13.463147786511371</c:v>
                </c:pt>
                <c:pt idx="230">
                  <c:v>13.352732638053389</c:v>
                </c:pt>
                <c:pt idx="231">
                  <c:v>13.298036696570348</c:v>
                </c:pt>
                <c:pt idx="232">
                  <c:v>13.243676055844285</c:v>
                </c:pt>
                <c:pt idx="233">
                  <c:v>13.188367859712901</c:v>
                </c:pt>
                <c:pt idx="234">
                  <c:v>13.133402155646948</c:v>
                </c:pt>
                <c:pt idx="235">
                  <c:v>13.078774554903678</c:v>
                </c:pt>
                <c:pt idx="236">
                  <c:v>13.024480748334494</c:v>
                </c:pt>
                <c:pt idx="237">
                  <c:v>12.969424960003895</c:v>
                </c:pt>
                <c:pt idx="238">
                  <c:v>12.914707831264447</c:v>
                </c:pt>
                <c:pt idx="239">
                  <c:v>12.86032502983768</c:v>
                </c:pt>
                <c:pt idx="240">
                  <c:v>12.806272302009498</c:v>
                </c:pt>
                <c:pt idx="241">
                  <c:v>12.75117600977574</c:v>
                </c:pt>
                <c:pt idx="242">
                  <c:v>12.69641806902564</c:v>
                </c:pt>
                <c:pt idx="243">
                  <c:v>12.641994137063454</c:v>
                </c:pt>
                <c:pt idx="244">
                  <c:v>12.587899950320187</c:v>
                </c:pt>
                <c:pt idx="245">
                  <c:v>12.532943429697001</c:v>
                </c:pt>
                <c:pt idx="246">
                  <c:v>12.478322668093188</c:v>
                </c:pt>
                <c:pt idx="247">
                  <c:v>12.424033356691025</c:v>
                </c:pt>
                <c:pt idx="248">
                  <c:v>12.370071265269793</c:v>
                </c:pt>
                <c:pt idx="249">
                  <c:v>12.315127972869451</c:v>
                </c:pt>
                <c:pt idx="250">
                  <c:v>12.260519315571639</c:v>
                </c:pt>
                <c:pt idx="251">
                  <c:v>12.2062409907178</c:v>
                </c:pt>
                <c:pt idx="252">
                  <c:v>12.15228877436795</c:v>
                </c:pt>
                <c:pt idx="253">
                  <c:v>12.097526936933608</c:v>
                </c:pt>
                <c:pt idx="254">
                  <c:v>12.043096498213639</c:v>
                </c:pt>
                <c:pt idx="255">
                  <c:v>11.988993202701344</c:v>
                </c:pt>
                <c:pt idx="256">
                  <c:v>11.935212872712807</c:v>
                </c:pt>
                <c:pt idx="257">
                  <c:v>11.880370595544052</c:v>
                </c:pt>
                <c:pt idx="258">
                  <c:v>11.8258595703478</c:v>
                </c:pt>
                <c:pt idx="259">
                  <c:v>11.771675529720509</c:v>
                </c:pt>
                <c:pt idx="260">
                  <c:v>11.717814284602547</c:v>
                </c:pt>
                <c:pt idx="261">
                  <c:v>11.663058517932596</c:v>
                </c:pt>
                <c:pt idx="262">
                  <c:v>11.608631766096009</c:v>
                </c:pt>
                <c:pt idx="263">
                  <c:v>11.554529790248928</c:v>
                </c:pt>
                <c:pt idx="264">
                  <c:v>11.500748429407333</c:v>
                </c:pt>
                <c:pt idx="265">
                  <c:v>11.446099055561572</c:v>
                </c:pt>
                <c:pt idx="266">
                  <c:v>11.391776153093549</c:v>
                </c:pt>
                <c:pt idx="267">
                  <c:v>11.337775517838429</c:v>
                </c:pt>
                <c:pt idx="268">
                  <c:v>11.284093022837837</c:v>
                </c:pt>
                <c:pt idx="269">
                  <c:v>11.22943937618615</c:v>
                </c:pt>
                <c:pt idx="270">
                  <c:v>11.175110902790104</c:v>
                </c:pt>
                <c:pt idx="271">
                  <c:v>11.121103409314978</c:v>
                </c:pt>
                <c:pt idx="272">
                  <c:v>11.067412779542479</c:v>
                </c:pt>
                <c:pt idx="273">
                  <c:v>11.012779805492823</c:v>
                </c:pt>
                <c:pt idx="274">
                  <c:v>10.958470330375111</c:v>
                </c:pt>
                <c:pt idx="275">
                  <c:v>10.904480178979256</c:v>
                </c:pt>
                <c:pt idx="276">
                  <c:v>10.850805252925117</c:v>
                </c:pt>
                <c:pt idx="277">
                  <c:v>10.796338173193643</c:v>
                </c:pt>
                <c:pt idx="278">
                  <c:v>10.742191136229922</c:v>
                </c:pt>
                <c:pt idx="279">
                  <c:v>10.688360019310588</c:v>
                </c:pt>
                <c:pt idx="280">
                  <c:v>10.634840775397969</c:v>
                </c:pt>
                <c:pt idx="281">
                  <c:v>10.580192286852606</c:v>
                </c:pt>
                <c:pt idx="282">
                  <c:v>10.525864379535959</c:v>
                </c:pt>
                <c:pt idx="283">
                  <c:v>10.471852906058675</c:v>
                </c:pt>
                <c:pt idx="284">
                  <c:v>10.418153795441093</c:v>
                </c:pt>
                <c:pt idx="285">
                  <c:v>10.363710053962215</c:v>
                </c:pt>
                <c:pt idx="286">
                  <c:v>10.309582838606136</c:v>
                </c:pt>
                <c:pt idx="287">
                  <c:v>10.25576806583719</c:v>
                </c:pt>
                <c:pt idx="288">
                  <c:v>10.202261727072511</c:v>
                </c:pt>
                <c:pt idx="289">
                  <c:v>10.147687981766811</c:v>
                </c:pt>
                <c:pt idx="290">
                  <c:v>10.093430518282441</c:v>
                </c:pt>
                <c:pt idx="291">
                  <c:v>10.039485243104584</c:v>
                </c:pt>
                <c:pt idx="292">
                  <c:v>9.9858481380019644</c:v>
                </c:pt>
                <c:pt idx="293">
                  <c:v>9.9312863411226466</c:v>
                </c:pt>
                <c:pt idx="294">
                  <c:v>9.8770388461919403</c:v>
                </c:pt>
                <c:pt idx="295">
                  <c:v>9.8231015829018844</c:v>
                </c:pt>
                <c:pt idx="296">
                  <c:v>9.7694705557320329</c:v>
                </c:pt>
                <c:pt idx="297">
                  <c:v>9.7149407533610361</c:v>
                </c:pt>
                <c:pt idx="298">
                  <c:v>9.6607229585841772</c:v>
                </c:pt>
                <c:pt idx="299">
                  <c:v>9.606813130001651</c:v>
                </c:pt>
                <c:pt idx="300">
                  <c:v>9.5532073003504827</c:v>
                </c:pt>
                <c:pt idx="301">
                  <c:v>9.4987274973908491</c:v>
                </c:pt>
                <c:pt idx="302">
                  <c:v>9.4445571201903888</c:v>
                </c:pt>
                <c:pt idx="303">
                  <c:v>9.3906921613666903</c:v>
                </c:pt>
                <c:pt idx="304">
                  <c:v>9.3371286868843626</c:v>
                </c:pt>
                <c:pt idx="305">
                  <c:v>9.2825062738155193</c:v>
                </c:pt>
                <c:pt idx="306">
                  <c:v>9.2281927900299809</c:v>
                </c:pt>
                <c:pt idx="307">
                  <c:v>9.1741842211605142</c:v>
                </c:pt>
                <c:pt idx="308">
                  <c:v>9.1204766263802046</c:v>
                </c:pt>
                <c:pt idx="309">
                  <c:v>9.0659437969417418</c:v>
                </c:pt>
                <c:pt idx="310">
                  <c:v>9.01171668284465</c:v>
                </c:pt>
                <c:pt idx="311">
                  <c:v>8.9577913148088797</c:v>
                </c:pt>
                <c:pt idx="312">
                  <c:v>8.9041637960066851</c:v>
                </c:pt>
                <c:pt idx="313">
                  <c:v>8.8495331246315825</c:v>
                </c:pt>
                <c:pt idx="314">
                  <c:v>8.795206956239932</c:v>
                </c:pt>
                <c:pt idx="315">
                  <c:v>8.7411813270304055</c:v>
                </c:pt>
                <c:pt idx="316">
                  <c:v>8.6874523455138135</c:v>
                </c:pt>
                <c:pt idx="317">
                  <c:v>8.6327474394090693</c:v>
                </c:pt>
                <c:pt idx="318">
                  <c:v>8.578345444842201</c:v>
                </c:pt>
                <c:pt idx="319">
                  <c:v>8.5242424099646534</c:v>
                </c:pt>
                <c:pt idx="320">
                  <c:v>8.47043445492789</c:v>
                </c:pt>
                <c:pt idx="321">
                  <c:v>8.4156766315476954</c:v>
                </c:pt>
                <c:pt idx="322">
                  <c:v>8.3612197763552683</c:v>
                </c:pt>
                <c:pt idx="323">
                  <c:v>8.3070599553484019</c:v>
                </c:pt>
                <c:pt idx="324">
                  <c:v>8.2531933060554952</c:v>
                </c:pt>
                <c:pt idx="325">
                  <c:v>8.1984017043877717</c:v>
                </c:pt>
                <c:pt idx="326">
                  <c:v>8.1439088015768668</c:v>
                </c:pt>
                <c:pt idx="327">
                  <c:v>8.0897106867947048</c:v>
                </c:pt>
                <c:pt idx="328">
                  <c:v>8.035803520131811</c:v>
                </c:pt>
                <c:pt idx="329">
                  <c:v>7.9809038052629901</c:v>
                </c:pt>
                <c:pt idx="330">
                  <c:v>7.9263012031892632</c:v>
                </c:pt>
                <c:pt idx="331">
                  <c:v>7.8719918117043921</c:v>
                </c:pt>
                <c:pt idx="332">
                  <c:v>7.817971799245214</c:v>
                </c:pt>
                <c:pt idx="333">
                  <c:v>7.7630743531582302</c:v>
                </c:pt>
                <c:pt idx="334">
                  <c:v>7.7084711151542411</c:v>
                </c:pt>
                <c:pt idx="335">
                  <c:v>7.6541582162694644</c:v>
                </c:pt>
                <c:pt idx="336">
                  <c:v>7.600131857301812</c:v>
                </c:pt>
                <c:pt idx="337">
                  <c:v>7.5450745827988444</c:v>
                </c:pt>
                <c:pt idx="338">
                  <c:v>7.4903102104743633</c:v>
                </c:pt>
                <c:pt idx="339">
                  <c:v>7.4358348717584013</c:v>
                </c:pt>
                <c:pt idx="340">
                  <c:v>7.3816447677348513</c:v>
                </c:pt>
                <c:pt idx="341">
                  <c:v>7.3264499054342789</c:v>
                </c:pt>
                <c:pt idx="342">
                  <c:v>7.2715462442012058</c:v>
                </c:pt>
                <c:pt idx="343">
                  <c:v>7.2169299220065044</c:v>
                </c:pt>
                <c:pt idx="344">
                  <c:v>7.1625971462038693</c:v>
                </c:pt>
                <c:pt idx="345">
                  <c:v>7.1073685569396066</c:v>
                </c:pt>
                <c:pt idx="346">
                  <c:v>7.0524282237398319</c:v>
                </c:pt>
                <c:pt idx="347">
                  <c:v>6.9977723141119199</c:v>
                </c:pt>
                <c:pt idx="348">
                  <c:v>6.9433970641118057</c:v>
                </c:pt>
                <c:pt idx="349">
                  <c:v>6.8879827354844707</c:v>
                </c:pt>
                <c:pt idx="350">
                  <c:v>6.8328551416281602</c:v>
                </c:pt>
                <c:pt idx="351">
                  <c:v>6.7780104494532054</c:v>
                </c:pt>
                <c:pt idx="352">
                  <c:v>6.7234448942859508</c:v>
                </c:pt>
                <c:pt idx="353">
                  <c:v>6.6678654835115827</c:v>
                </c:pt>
                <c:pt idx="354">
                  <c:v>6.612570886735468</c:v>
                </c:pt>
                <c:pt idx="355">
                  <c:v>6.557557276124836</c:v>
                </c:pt>
                <c:pt idx="356">
                  <c:v>6.5028208919743369</c:v>
                </c:pt>
                <c:pt idx="357">
                  <c:v>6.4471736437347316</c:v>
                </c:pt>
                <c:pt idx="358">
                  <c:v>6.3918081161735643</c:v>
                </c:pt>
                <c:pt idx="359">
                  <c:v>6.3367205081391278</c:v>
                </c:pt>
                <c:pt idx="360">
                  <c:v>6.2819070857965613</c:v>
                </c:pt>
                <c:pt idx="361">
                  <c:v>6.2260485399793719</c:v>
                </c:pt>
                <c:pt idx="362">
                  <c:v>6.170469882474233</c:v>
                </c:pt>
                <c:pt idx="363">
                  <c:v>6.1151673110455089</c:v>
                </c:pt>
                <c:pt idx="364">
                  <c:v>6.060137090601768</c:v>
                </c:pt>
                <c:pt idx="365">
                  <c:v>6.0041616524505725</c:v>
                </c:pt>
                <c:pt idx="366">
                  <c:v>5.9484631194047086</c:v>
                </c:pt>
                <c:pt idx="367">
                  <c:v>5.8930377089454407</c:v>
                </c:pt>
                <c:pt idx="368">
                  <c:v>5.8378817050206422</c:v>
                </c:pt>
                <c:pt idx="369">
                  <c:v>5.7816523306269989</c:v>
                </c:pt>
                <c:pt idx="370">
                  <c:v>5.7256980129088211</c:v>
                </c:pt>
                <c:pt idx="371">
                  <c:v>5.6700149630946903</c:v>
                </c:pt>
                <c:pt idx="372">
                  <c:v>5.614599458791445</c:v>
                </c:pt>
                <c:pt idx="373">
                  <c:v>5.5582073848088518</c:v>
                </c:pt>
                <c:pt idx="374">
                  <c:v>5.5020873902763148</c:v>
                </c:pt>
                <c:pt idx="375">
                  <c:v>5.4462357003351958</c:v>
                </c:pt>
                <c:pt idx="376">
                  <c:v>5.390648605929</c:v>
                </c:pt>
                <c:pt idx="377">
                  <c:v>5.3339623062668204</c:v>
                </c:pt>
                <c:pt idx="378">
                  <c:v>5.2775461246732736</c:v>
                </c:pt>
                <c:pt idx="379">
                  <c:v>5.2213962757973533</c:v>
                </c:pt>
                <c:pt idx="380">
                  <c:v>5.165509040061103</c:v>
                </c:pt>
                <c:pt idx="381">
                  <c:v>5.108686517356734</c:v>
                </c:pt>
                <c:pt idx="382">
                  <c:v>5.0521303885722784</c:v>
                </c:pt>
                <c:pt idx="383">
                  <c:v>4.9958368912717219</c:v>
                </c:pt>
                <c:pt idx="384">
                  <c:v>4.9398023279742436</c:v>
                </c:pt>
                <c:pt idx="385">
                  <c:v>4.8826438901121056</c:v>
                </c:pt>
                <c:pt idx="386">
                  <c:v>4.8257497198908359</c:v>
                </c:pt>
                <c:pt idx="387">
                  <c:v>4.7691160402746569</c:v>
                </c:pt>
                <c:pt idx="388">
                  <c:v>4.7127391392092175</c:v>
                </c:pt>
                <c:pt idx="389">
                  <c:v>4.6553288925206147</c:v>
                </c:pt>
                <c:pt idx="390">
                  <c:v>4.5981797018149724</c:v>
                </c:pt>
                <c:pt idx="391">
                  <c:v>4.541287794327606</c:v>
                </c:pt>
                <c:pt idx="392">
                  <c:v>4.4846494618508199</c:v>
                </c:pt>
                <c:pt idx="393">
                  <c:v>4.4269974946988979</c:v>
                </c:pt>
                <c:pt idx="394">
                  <c:v>4.3696029799430738</c:v>
                </c:pt>
                <c:pt idx="395">
                  <c:v>4.3124621532977176</c:v>
                </c:pt>
                <c:pt idx="396">
                  <c:v>4.2555713144990417</c:v>
                </c:pt>
                <c:pt idx="397">
                  <c:v>4.1975546745012275</c:v>
                </c:pt>
                <c:pt idx="398">
                  <c:v>4.1397926486794816</c:v>
                </c:pt>
                <c:pt idx="399">
                  <c:v>4.0822814596992556</c:v>
                </c:pt>
                <c:pt idx="400">
                  <c:v>4.0250173941839007</c:v>
                </c:pt>
                <c:pt idx="401">
                  <c:v>3.9667124366003117</c:v>
                </c:pt>
                <c:pt idx="402">
                  <c:v>3.9086582299130024</c:v>
                </c:pt>
                <c:pt idx="403">
                  <c:v>3.8508510012461845</c:v>
                </c:pt>
                <c:pt idx="404">
                  <c:v>3.7932870412098838</c:v>
                </c:pt>
                <c:pt idx="405">
                  <c:v>3.7346368051865104</c:v>
                </c:pt>
                <c:pt idx="406">
                  <c:v>3.6762335862233035</c:v>
                </c:pt>
                <c:pt idx="407">
                  <c:v>3.6180736076401936</c:v>
                </c:pt>
                <c:pt idx="408">
                  <c:v>3.5601531559458808</c:v>
                </c:pt>
                <c:pt idx="409">
                  <c:v>3.5011024176636152</c:v>
                </c:pt>
                <c:pt idx="410">
                  <c:v>3.4422950307388827</c:v>
                </c:pt>
                <c:pt idx="411">
                  <c:v>3.3837272071227535</c:v>
                </c:pt>
                <c:pt idx="412">
                  <c:v>3.3253952218180398</c:v>
                </c:pt>
                <c:pt idx="413">
                  <c:v>3.2659512489474785</c:v>
                </c:pt>
                <c:pt idx="414">
                  <c:v>3.2067464816362081</c:v>
                </c:pt>
                <c:pt idx="415">
                  <c:v>3.1477771251761641</c:v>
                </c:pt>
                <c:pt idx="416">
                  <c:v>3.0890394476659293</c:v>
                </c:pt>
                <c:pt idx="417">
                  <c:v>3.0291465993694819</c:v>
                </c:pt>
                <c:pt idx="418">
                  <c:v>2.9694888166434392</c:v>
                </c:pt>
                <c:pt idx="419">
                  <c:v>2.9100622910921627</c:v>
                </c:pt>
                <c:pt idx="420">
                  <c:v>2.8508632770382372</c:v>
                </c:pt>
                <c:pt idx="421">
                  <c:v>2.7905853082674326</c:v>
                </c:pt>
                <c:pt idx="422">
                  <c:v>2.7305373143593119</c:v>
                </c:pt>
                <c:pt idx="423">
                  <c:v>2.6707154891645728</c:v>
                </c:pt>
                <c:pt idx="424">
                  <c:v>2.6111160888256864</c:v>
                </c:pt>
                <c:pt idx="425">
                  <c:v>2.5502770185718129</c:v>
                </c:pt>
                <c:pt idx="426">
                  <c:v>2.4896636908156062</c:v>
                </c:pt>
                <c:pt idx="427">
                  <c:v>2.4292722726468061</c:v>
                </c:pt>
                <c:pt idx="428">
                  <c:v>2.3690989936705455</c:v>
                </c:pt>
                <c:pt idx="429">
                  <c:v>2.3077603076556787</c:v>
                </c:pt>
                <c:pt idx="430">
                  <c:v>2.2466421457976087</c:v>
                </c:pt>
                <c:pt idx="431">
                  <c:v>2.1857406647781525</c:v>
                </c:pt>
                <c:pt idx="432">
                  <c:v>2.1250520836918247</c:v>
                </c:pt>
                <c:pt idx="433">
                  <c:v>2.0632121480771022</c:v>
                </c:pt>
                <c:pt idx="434">
                  <c:v>2.0015870141205454</c:v>
                </c:pt>
                <c:pt idx="435">
                  <c:v>1.9401728328522514</c:v>
                </c:pt>
                <c:pt idx="436">
                  <c:v>1.8789658175537487</c:v>
                </c:pt>
                <c:pt idx="437">
                  <c:v>1.8165082312132077</c:v>
                </c:pt>
                <c:pt idx="438">
                  <c:v>1.7542599809701895</c:v>
                </c:pt>
                <c:pt idx="439">
                  <c:v>1.6922171962070756</c:v>
                </c:pt>
                <c:pt idx="440">
                  <c:v>1.6303760687996049</c:v>
                </c:pt>
                <c:pt idx="441">
                  <c:v>1.5672977629224145</c:v>
                </c:pt>
                <c:pt idx="442">
                  <c:v>1.504422754636594</c:v>
                </c:pt>
                <c:pt idx="443">
                  <c:v>1.4417471575258873</c:v>
                </c:pt>
                <c:pt idx="444">
                  <c:v>1.3792671478615706</c:v>
                </c:pt>
                <c:pt idx="445">
                  <c:v>1.3155618067355523</c:v>
                </c:pt>
                <c:pt idx="446">
                  <c:v>1.2520531721533037</c:v>
                </c:pt>
                <c:pt idx="447">
                  <c:v>1.1887373477622398</c:v>
                </c:pt>
                <c:pt idx="448">
                  <c:v>1.1256105000664098</c:v>
                </c:pt>
                <c:pt idx="449">
                  <c:v>1.0611609333818299</c:v>
                </c:pt>
                <c:pt idx="450">
                  <c:v>0.99690158095187775</c:v>
                </c:pt>
                <c:pt idx="451">
                  <c:v>0.93282852295969232</c:v>
                </c:pt>
                <c:pt idx="452">
                  <c:v>0.8689379030316019</c:v>
                </c:pt>
                <c:pt idx="453">
                  <c:v>0.8037884440242965</c:v>
                </c:pt>
                <c:pt idx="454">
                  <c:v>0.73882180137706654</c:v>
                </c:pt>
                <c:pt idx="455">
                  <c:v>0.67403404874577311</c:v>
                </c:pt>
                <c:pt idx="456">
                  <c:v>0.60942132360911827</c:v>
                </c:pt>
                <c:pt idx="457">
                  <c:v>0.54345257614462017</c:v>
                </c:pt>
                <c:pt idx="458">
                  <c:v>0.47765926939633119</c:v>
                </c:pt>
                <c:pt idx="459">
                  <c:v>0.41203745884043241</c:v>
                </c:pt>
                <c:pt idx="460">
                  <c:v>0.34658326460019645</c:v>
                </c:pt>
                <c:pt idx="461">
                  <c:v>0.27978125627341593</c:v>
                </c:pt>
                <c:pt idx="462">
                  <c:v>0.21314670950353543</c:v>
                </c:pt>
                <c:pt idx="463">
                  <c:v>0.14667567031161005</c:v>
                </c:pt>
                <c:pt idx="464">
                  <c:v>8.0364250233926501E-2</c:v>
                </c:pt>
                <c:pt idx="465">
                  <c:v>1.2659940583602902E-2</c:v>
                </c:pt>
                <c:pt idx="466">
                  <c:v>-5.4885216437709008E-2</c:v>
                </c:pt>
                <c:pt idx="467">
                  <c:v>-0.12227518394903351</c:v>
                </c:pt>
                <c:pt idx="468">
                  <c:v>-0.18951385841374291</c:v>
                </c:pt>
                <c:pt idx="469">
                  <c:v>-0.2581398135362562</c:v>
                </c:pt>
                <c:pt idx="470">
                  <c:v>-0.3266155057706846</c:v>
                </c:pt>
                <c:pt idx="471">
                  <c:v>-0.39494489673229005</c:v>
                </c:pt>
                <c:pt idx="472">
                  <c:v>-0.46313188014922535</c:v>
                </c:pt>
                <c:pt idx="473">
                  <c:v>-0.53280365647293537</c:v>
                </c:pt>
                <c:pt idx="474">
                  <c:v>-0.60233419077639616</c:v>
                </c:pt>
                <c:pt idx="475">
                  <c:v>-0.67172744881486746</c:v>
                </c:pt>
                <c:pt idx="476">
                  <c:v>-0.74098732670721734</c:v>
                </c:pt>
                <c:pt idx="477">
                  <c:v>-0.81172850553372966</c:v>
                </c:pt>
                <c:pt idx="478">
                  <c:v>-0.88233804655195325</c:v>
                </c:pt>
                <c:pt idx="479">
                  <c:v>-0.95281990580491094</c:v>
                </c:pt>
                <c:pt idx="480">
                  <c:v>-1.0231779678168997</c:v>
                </c:pt>
                <c:pt idx="481">
                  <c:v>-1.0950155456792059</c:v>
                </c:pt>
                <c:pt idx="482">
                  <c:v>-1.1667316144202091</c:v>
                </c:pt>
                <c:pt idx="483">
                  <c:v>-1.2383301052715416</c:v>
                </c:pt>
                <c:pt idx="484">
                  <c:v>-1.3098148759102797</c:v>
                </c:pt>
                <c:pt idx="485">
                  <c:v>-1.3828286784236146</c:v>
                </c:pt>
                <c:pt idx="486">
                  <c:v>-1.4557314097690006</c:v>
                </c:pt>
                <c:pt idx="487">
                  <c:v>-1.5285269677827706</c:v>
                </c:pt>
                <c:pt idx="488">
                  <c:v>-1.6012191743380055</c:v>
                </c:pt>
                <c:pt idx="489">
                  <c:v>-1.6755401637993226</c:v>
                </c:pt>
                <c:pt idx="490">
                  <c:v>-1.7497606866448101</c:v>
                </c:pt>
                <c:pt idx="491">
                  <c:v>-1.8238846038493974</c:v>
                </c:pt>
                <c:pt idx="492">
                  <c:v>-1.8979156974244937</c:v>
                </c:pt>
                <c:pt idx="493">
                  <c:v>-1.9735773637774217</c:v>
                </c:pt>
                <c:pt idx="494">
                  <c:v>-2.0491495995819884</c:v>
                </c:pt>
                <c:pt idx="495">
                  <c:v>-2.1246362070418856</c:v>
                </c:pt>
                <c:pt idx="496">
                  <c:v>-2.2000409062175854</c:v>
                </c:pt>
                <c:pt idx="497">
                  <c:v>-2.2771284498557955</c:v>
                </c:pt>
                <c:pt idx="498">
                  <c:v>-2.354137832772023</c:v>
                </c:pt>
                <c:pt idx="499">
                  <c:v>-2.4310727816873885</c:v>
                </c:pt>
                <c:pt idx="500">
                  <c:v>-2.5079369376179779</c:v>
                </c:pt>
                <c:pt idx="501">
                  <c:v>-2.5865371950204343</c:v>
                </c:pt>
                <c:pt idx="502">
                  <c:v>-2.6650707414533645</c:v>
                </c:pt>
                <c:pt idx="503">
                  <c:v>-2.743541208389952</c:v>
                </c:pt>
                <c:pt idx="504">
                  <c:v>-2.8219521376729033</c:v>
                </c:pt>
                <c:pt idx="505">
                  <c:v>-2.9021048182363804</c:v>
                </c:pt>
                <c:pt idx="506">
                  <c:v>-2.9822024116677999</c:v>
                </c:pt>
                <c:pt idx="507">
                  <c:v>-3.0622484249671884</c:v>
                </c:pt>
                <c:pt idx="508">
                  <c:v>-3.1422462714761581</c:v>
                </c:pt>
                <c:pt idx="509">
                  <c:v>-3.2240412276410018</c:v>
                </c:pt>
                <c:pt idx="510">
                  <c:v>-3.3057927032473216</c:v>
                </c:pt>
                <c:pt idx="511">
                  <c:v>-3.3875040557468528</c:v>
                </c:pt>
                <c:pt idx="512">
                  <c:v>-3.4691785446394166</c:v>
                </c:pt>
                <c:pt idx="513">
                  <c:v>-3.5527547114952989</c:v>
                </c:pt>
                <c:pt idx="514">
                  <c:v>-3.6362988490533965</c:v>
                </c:pt>
                <c:pt idx="515">
                  <c:v>-3.7198141425563271</c:v>
                </c:pt>
                <c:pt idx="516">
                  <c:v>-3.8033036745784492</c:v>
                </c:pt>
                <c:pt idx="517">
                  <c:v>-3.8887033990162752</c:v>
                </c:pt>
                <c:pt idx="518">
                  <c:v>-3.9740823596623609</c:v>
                </c:pt>
                <c:pt idx="519">
                  <c:v>-4.0594435324279985</c:v>
                </c:pt>
                <c:pt idx="520">
                  <c:v>-4.1447897859924989</c:v>
                </c:pt>
                <c:pt idx="521">
                  <c:v>-4.232103781788993</c:v>
                </c:pt>
                <c:pt idx="522">
                  <c:v>-4.3194078962622164</c:v>
                </c:pt>
                <c:pt idx="523">
                  <c:v>-4.4067048624370129</c:v>
                </c:pt>
                <c:pt idx="524">
                  <c:v>-4.4939973015949972</c:v>
                </c:pt>
                <c:pt idx="525">
                  <c:v>-4.5833154844895425</c:v>
                </c:pt>
                <c:pt idx="526">
                  <c:v>-4.6726341283136854</c:v>
                </c:pt>
                <c:pt idx="527">
                  <c:v>-4.7619556875469522</c:v>
                </c:pt>
                <c:pt idx="528">
                  <c:v>-4.8512825006302034</c:v>
                </c:pt>
                <c:pt idx="529">
                  <c:v>-4.9426933163326963</c:v>
                </c:pt>
                <c:pt idx="530">
                  <c:v>-5.0341142216786565</c:v>
                </c:pt>
                <c:pt idx="531">
                  <c:v>-5.1255473554504327</c:v>
                </c:pt>
                <c:pt idx="532">
                  <c:v>-5.2169947365046827</c:v>
                </c:pt>
                <c:pt idx="533">
                  <c:v>-5.310632728886084</c:v>
                </c:pt>
                <c:pt idx="534">
                  <c:v>-5.4042895591519144</c:v>
                </c:pt>
                <c:pt idx="535">
                  <c:v>-5.4979670151917013</c:v>
                </c:pt>
                <c:pt idx="536">
                  <c:v>-5.5916667614577804</c:v>
                </c:pt>
                <c:pt idx="537">
                  <c:v>-5.6875185122864105</c:v>
                </c:pt>
                <c:pt idx="538">
                  <c:v>-5.7833967122500187</c:v>
                </c:pt>
                <c:pt idx="539">
                  <c:v>-5.8793027551144856</c:v>
                </c:pt>
                <c:pt idx="540">
                  <c:v>-5.9752379090763608</c:v>
                </c:pt>
                <c:pt idx="541">
                  <c:v>-6.0734793632051174</c:v>
                </c:pt>
                <c:pt idx="542">
                  <c:v>-6.1717536223799749</c:v>
                </c:pt>
                <c:pt idx="543">
                  <c:v>-6.2700616542044196</c:v>
                </c:pt>
                <c:pt idx="544">
                  <c:v>-6.3684042992024645</c:v>
                </c:pt>
                <c:pt idx="545">
                  <c:v>-6.4690615364665724</c:v>
                </c:pt>
                <c:pt idx="546">
                  <c:v>-6.56975639381601</c:v>
                </c:pt>
                <c:pt idx="547">
                  <c:v>-6.6704893766703668</c:v>
                </c:pt>
                <c:pt idx="548">
                  <c:v>-6.771260863507309</c:v>
                </c:pt>
                <c:pt idx="549">
                  <c:v>-6.8744024414654428</c:v>
                </c:pt>
                <c:pt idx="550">
                  <c:v>-6.9775847326835674</c:v>
                </c:pt>
                <c:pt idx="551">
                  <c:v>-7.0808077505426628</c:v>
                </c:pt>
                <c:pt idx="552">
                  <c:v>-7.1840713832650982</c:v>
                </c:pt>
                <c:pt idx="553">
                  <c:v>-7.2898077083813035</c:v>
                </c:pt>
                <c:pt idx="554">
                  <c:v>-7.3955859596690363</c:v>
                </c:pt>
                <c:pt idx="555">
                  <c:v>-7.5014056330925243</c:v>
                </c:pt>
                <c:pt idx="556">
                  <c:v>-7.6072661028980377</c:v>
                </c:pt>
                <c:pt idx="557">
                  <c:v>-7.8240777832671995</c:v>
                </c:pt>
                <c:pt idx="558">
                  <c:v>-8.0410493155184479</c:v>
                </c:pt>
                <c:pt idx="559">
                  <c:v>-8.2631493981498494</c:v>
                </c:pt>
                <c:pt idx="560">
                  <c:v>-8.4853943518964119</c:v>
                </c:pt>
                <c:pt idx="561">
                  <c:v>-8.7130477241085593</c:v>
                </c:pt>
                <c:pt idx="562">
                  <c:v>-8.9408215717170023</c:v>
                </c:pt>
                <c:pt idx="563">
                  <c:v>-9.1735886403949856</c:v>
                </c:pt>
                <c:pt idx="564">
                  <c:v>-9.4064413413802903</c:v>
                </c:pt>
                <c:pt idx="565">
                  <c:v>-9.6452297615639875</c:v>
                </c:pt>
                <c:pt idx="566">
                  <c:v>-9.8840592848337057</c:v>
                </c:pt>
                <c:pt idx="567">
                  <c:v>-10.128776544007836</c:v>
                </c:pt>
                <c:pt idx="568">
                  <c:v>-10.373479505807573</c:v>
                </c:pt>
                <c:pt idx="569">
                  <c:v>-10.623030202716119</c:v>
                </c:pt>
                <c:pt idx="570">
                  <c:v>-10.872501258445395</c:v>
                </c:pt>
                <c:pt idx="571">
                  <c:v>-11.128702227942311</c:v>
                </c:pt>
                <c:pt idx="572">
                  <c:v>-11.3847466933302</c:v>
                </c:pt>
                <c:pt idx="573">
                  <c:v>-11.645478005903735</c:v>
                </c:pt>
                <c:pt idx="574">
                  <c:v>-11.905968757293902</c:v>
                </c:pt>
                <c:pt idx="575">
                  <c:v>-12.172997497211268</c:v>
                </c:pt>
                <c:pt idx="576">
                  <c:v>-12.439689232231672</c:v>
                </c:pt>
                <c:pt idx="577">
                  <c:v>-13.56406543576645</c:v>
                </c:pt>
                <c:pt idx="578">
                  <c:v>-14.678649818652307</c:v>
                </c:pt>
                <c:pt idx="579">
                  <c:v>-17.074319647166831</c:v>
                </c:pt>
                <c:pt idx="580">
                  <c:v>-19.61019265089228</c:v>
                </c:pt>
                <c:pt idx="581">
                  <c:v>-22.25954480087146</c:v>
                </c:pt>
                <c:pt idx="582">
                  <c:v>-25.001070360465647</c:v>
                </c:pt>
                <c:pt idx="583">
                  <c:v>-27.811775943598551</c:v>
                </c:pt>
                <c:pt idx="584">
                  <c:v>-30.675610378867901</c:v>
                </c:pt>
                <c:pt idx="585">
                  <c:v>-33.57563653720679</c:v>
                </c:pt>
                <c:pt idx="586">
                  <c:v>-36.499500566472037</c:v>
                </c:pt>
                <c:pt idx="587">
                  <c:v>-39.438108372603658</c:v>
                </c:pt>
                <c:pt idx="588">
                  <c:v>-42.379661965712614</c:v>
                </c:pt>
                <c:pt idx="589">
                  <c:v>-45.318856271102412</c:v>
                </c:pt>
                <c:pt idx="590">
                  <c:v>-48.247978403538227</c:v>
                </c:pt>
                <c:pt idx="591">
                  <c:v>-51.161590126014545</c:v>
                </c:pt>
                <c:pt idx="592">
                  <c:v>-54.054423552960614</c:v>
                </c:pt>
                <c:pt idx="593">
                  <c:v>-56.923245362602167</c:v>
                </c:pt>
                <c:pt idx="594">
                  <c:v>-59.763997550368948</c:v>
                </c:pt>
                <c:pt idx="595">
                  <c:v>-62.574764616001616</c:v>
                </c:pt>
                <c:pt idx="596">
                  <c:v>-65.353306182234249</c:v>
                </c:pt>
                <c:pt idx="597">
                  <c:v>-68.099353910958186</c:v>
                </c:pt>
                <c:pt idx="598">
                  <c:v>-70.812136666127955</c:v>
                </c:pt>
                <c:pt idx="599">
                  <c:v>-73.49295213830716</c:v>
                </c:pt>
                <c:pt idx="600">
                  <c:v>-76.142589416031285</c:v>
                </c:pt>
              </c:numCache>
            </c:numRef>
          </c:yVal>
          <c:smooth val="0"/>
          <c:extLst>
            <c:ext xmlns:c16="http://schemas.microsoft.com/office/drawing/2014/chart" uri="{C3380CC4-5D6E-409C-BE32-E72D297353CC}">
              <c16:uniqueId val="{00000000-5314-496C-84FB-BC9D9C42BA7D}"/>
            </c:ext>
          </c:extLst>
        </c:ser>
        <c:dLbls>
          <c:showLegendKey val="0"/>
          <c:showVal val="0"/>
          <c:showCatName val="0"/>
          <c:showSerName val="0"/>
          <c:showPercent val="0"/>
          <c:showBubbleSize val="0"/>
        </c:dLbls>
        <c:axId val="184325248"/>
        <c:axId val="184327168"/>
      </c:scatterChart>
      <c:scatterChart>
        <c:scatterStyle val="lineMarker"/>
        <c:varyColors val="0"/>
        <c:ser>
          <c:idx val="1"/>
          <c:order val="1"/>
          <c:tx>
            <c:strRef>
              <c:f>'Ch2 Stability Calculations'!$S$12</c:f>
              <c:strCache>
                <c:ptCount val="1"/>
                <c:pt idx="0">
                  <c:v>Phase Margin (°)</c:v>
                </c:pt>
              </c:strCache>
            </c:strRef>
          </c:tx>
          <c:spPr>
            <a:ln w="25400">
              <a:solidFill>
                <a:srgbClr val="0000FF"/>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-31.109543818942527</c:v>
                </c:pt>
                <c:pt idx="1">
                  <c:v>-33.492908918584327</c:v>
                </c:pt>
                <c:pt idx="2">
                  <c:v>-35.963313836768876</c:v>
                </c:pt>
                <c:pt idx="3">
                  <c:v>-38.505099905917064</c:v>
                </c:pt>
                <c:pt idx="4">
                  <c:v>-41.098247658018195</c:v>
                </c:pt>
                <c:pt idx="5">
                  <c:v>-43.726694499727508</c:v>
                </c:pt>
                <c:pt idx="6">
                  <c:v>-46.364991155147813</c:v>
                </c:pt>
                <c:pt idx="7">
                  <c:v>-48.992655506355774</c:v>
                </c:pt>
                <c:pt idx="8">
                  <c:v>-51.58604012186877</c:v>
                </c:pt>
                <c:pt idx="9">
                  <c:v>-54.126723174623237</c:v>
                </c:pt>
                <c:pt idx="10">
                  <c:v>-56.594953104895751</c:v>
                </c:pt>
                <c:pt idx="11">
                  <c:v>-58.975495332316001</c:v>
                </c:pt>
                <c:pt idx="12">
                  <c:v>-61.256924830302253</c:v>
                </c:pt>
                <c:pt idx="13">
                  <c:v>-63.427534773392182</c:v>
                </c:pt>
                <c:pt idx="14">
                  <c:v>-65.482592596711683</c:v>
                </c:pt>
                <c:pt idx="15">
                  <c:v>-67.417567882361809</c:v>
                </c:pt>
                <c:pt idx="16">
                  <c:v>-69.231394640837465</c:v>
                </c:pt>
                <c:pt idx="17">
                  <c:v>-70.924685686187786</c:v>
                </c:pt>
                <c:pt idx="18">
                  <c:v>-72.500461528579706</c:v>
                </c:pt>
                <c:pt idx="19">
                  <c:v>-73.962127379648223</c:v>
                </c:pt>
                <c:pt idx="20">
                  <c:v>-75.314774129196394</c:v>
                </c:pt>
                <c:pt idx="21">
                  <c:v>-76.563582683358263</c:v>
                </c:pt>
                <c:pt idx="22">
                  <c:v>-77.714681617453792</c:v>
                </c:pt>
                <c:pt idx="23">
                  <c:v>-78.773853864799932</c:v>
                </c:pt>
                <c:pt idx="24">
                  <c:v>-79.747478803579668</c:v>
                </c:pt>
                <c:pt idx="25">
                  <c:v>-80.641423728436337</c:v>
                </c:pt>
                <c:pt idx="26">
                  <c:v>-81.461740987210717</c:v>
                </c:pt>
                <c:pt idx="27">
                  <c:v>-82.213794235564635</c:v>
                </c:pt>
                <c:pt idx="28">
                  <c:v>-82.902995131392771</c:v>
                </c:pt>
                <c:pt idx="29">
                  <c:v>-83.534049292749486</c:v>
                </c:pt>
                <c:pt idx="30">
                  <c:v>-84.112758839760275</c:v>
                </c:pt>
                <c:pt idx="31">
                  <c:v>-84.642719976371012</c:v>
                </c:pt>
                <c:pt idx="32">
                  <c:v>-85.12845197623183</c:v>
                </c:pt>
                <c:pt idx="33">
                  <c:v>-85.573473522786429</c:v>
                </c:pt>
                <c:pt idx="34">
                  <c:v>-85.981709031415647</c:v>
                </c:pt>
                <c:pt idx="35">
                  <c:v>-86.356231925973105</c:v>
                </c:pt>
                <c:pt idx="36">
                  <c:v>-86.700174969321026</c:v>
                </c:pt>
                <c:pt idx="37">
                  <c:v>-87.016536672539289</c:v>
                </c:pt>
                <c:pt idx="38">
                  <c:v>-87.30763266057069</c:v>
                </c:pt>
                <c:pt idx="39">
                  <c:v>-87.576123903026783</c:v>
                </c:pt>
                <c:pt idx="40">
                  <c:v>-87.8241399872839</c:v>
                </c:pt>
                <c:pt idx="41">
                  <c:v>-88.053779329108266</c:v>
                </c:pt>
                <c:pt idx="42">
                  <c:v>-88.266939489890575</c:v>
                </c:pt>
                <c:pt idx="43">
                  <c:v>-88.465474464262357</c:v>
                </c:pt>
                <c:pt idx="44">
                  <c:v>-88.651001909392306</c:v>
                </c:pt>
                <c:pt idx="45">
                  <c:v>-88.825124228737238</c:v>
                </c:pt>
                <c:pt idx="46">
                  <c:v>-88.98927633288055</c:v>
                </c:pt>
                <c:pt idx="47">
                  <c:v>-89.144880792115586</c:v>
                </c:pt>
                <c:pt idx="48">
                  <c:v>-89.293215110220402</c:v>
                </c:pt>
                <c:pt idx="49">
                  <c:v>-89.435572182391766</c:v>
                </c:pt>
                <c:pt idx="50">
                  <c:v>-89.573133565889151</c:v>
                </c:pt>
                <c:pt idx="51">
                  <c:v>-89.707094225986637</c:v>
                </c:pt>
                <c:pt idx="52">
                  <c:v>-89.838543954401743</c:v>
                </c:pt>
                <c:pt idx="53">
                  <c:v>-89.968599404534842</c:v>
                </c:pt>
                <c:pt idx="54">
                  <c:v>-90.098277833536059</c:v>
                </c:pt>
                <c:pt idx="55">
                  <c:v>-90.228892123334276</c:v>
                </c:pt>
                <c:pt idx="56">
                  <c:v>-90.361358663827858</c:v>
                </c:pt>
                <c:pt idx="57">
                  <c:v>-90.496878844049249</c:v>
                </c:pt>
                <c:pt idx="58">
                  <c:v>-90.636488043552077</c:v>
                </c:pt>
                <c:pt idx="59">
                  <c:v>-90.781456209157099</c:v>
                </c:pt>
                <c:pt idx="60">
                  <c:v>-90.93290317816188</c:v>
                </c:pt>
                <c:pt idx="61">
                  <c:v>-91.092095407630424</c:v>
                </c:pt>
                <c:pt idx="62">
                  <c:v>-91.260423859683542</c:v>
                </c:pt>
                <c:pt idx="63">
                  <c:v>-91.439088661852821</c:v>
                </c:pt>
                <c:pt idx="64">
                  <c:v>-91.629659609794174</c:v>
                </c:pt>
                <c:pt idx="65">
                  <c:v>-91.833570648045139</c:v>
                </c:pt>
                <c:pt idx="66">
                  <c:v>-92.05241746359053</c:v>
                </c:pt>
                <c:pt idx="67">
                  <c:v>-92.287826129441044</c:v>
                </c:pt>
                <c:pt idx="68">
                  <c:v>-92.541605638998334</c:v>
                </c:pt>
                <c:pt idx="69">
                  <c:v>-92.815505012044028</c:v>
                </c:pt>
                <c:pt idx="70">
                  <c:v>-93.111462172564927</c:v>
                </c:pt>
                <c:pt idx="71">
                  <c:v>-93.431352947434931</c:v>
                </c:pt>
                <c:pt idx="72">
                  <c:v>-93.77721346789032</c:v>
                </c:pt>
                <c:pt idx="73">
                  <c:v>-94.15092295083879</c:v>
                </c:pt>
                <c:pt idx="74">
                  <c:v>-94.554495749124428</c:v>
                </c:pt>
                <c:pt idx="75">
                  <c:v>-94.989687195091022</c:v>
                </c:pt>
                <c:pt idx="76">
                  <c:v>-95.458237610463613</c:v>
                </c:pt>
                <c:pt idx="77">
                  <c:v>-95.961351407678265</c:v>
                </c:pt>
                <c:pt idx="78">
                  <c:v>-96.499985948231512</c:v>
                </c:pt>
                <c:pt idx="79">
                  <c:v>-97.074169480885061</c:v>
                </c:pt>
                <c:pt idx="80">
                  <c:v>-97.684588841852147</c:v>
                </c:pt>
                <c:pt idx="81">
                  <c:v>-98.329243344472403</c:v>
                </c:pt>
                <c:pt idx="82">
                  <c:v>-99.00632798499619</c:v>
                </c:pt>
                <c:pt idx="83">
                  <c:v>-99.711904653970549</c:v>
                </c:pt>
                <c:pt idx="84">
                  <c:v>-100.44173501420204</c:v>
                </c:pt>
                <c:pt idx="85">
                  <c:v>-101.18926897337577</c:v>
                </c:pt>
                <c:pt idx="86">
                  <c:v>-101.94718164583229</c:v>
                </c:pt>
                <c:pt idx="87">
                  <c:v>-102.70738805308677</c:v>
                </c:pt>
                <c:pt idx="88">
                  <c:v>-103.46001244811103</c:v>
                </c:pt>
                <c:pt idx="89">
                  <c:v>-104.19644019870445</c:v>
                </c:pt>
                <c:pt idx="90">
                  <c:v>-104.90784576690142</c:v>
                </c:pt>
                <c:pt idx="91">
                  <c:v>-105.58728497666723</c:v>
                </c:pt>
                <c:pt idx="92">
                  <c:v>-106.23006189865573</c:v>
                </c:pt>
                <c:pt idx="93">
                  <c:v>-106.83491850423277</c:v>
                </c:pt>
                <c:pt idx="94">
                  <c:v>-106.98031160936365</c:v>
                </c:pt>
                <c:pt idx="95">
                  <c:v>-107.05262941096048</c:v>
                </c:pt>
                <c:pt idx="96">
                  <c:v>-107.12358794596936</c:v>
                </c:pt>
                <c:pt idx="97">
                  <c:v>-107.1948346692208</c:v>
                </c:pt>
                <c:pt idx="98">
                  <c:v>-107.26475893503181</c:v>
                </c:pt>
                <c:pt idx="99">
                  <c:v>-107.33500374802601</c:v>
                </c:pt>
                <c:pt idx="100">
                  <c:v>-107.4039655868078</c:v>
                </c:pt>
                <c:pt idx="101">
                  <c:v>-107.47323100454513</c:v>
                </c:pt>
                <c:pt idx="102">
                  <c:v>-107.54125744663502</c:v>
                </c:pt>
                <c:pt idx="103">
                  <c:v>-107.60967695740068</c:v>
                </c:pt>
                <c:pt idx="104">
                  <c:v>-107.67690220172834</c:v>
                </c:pt>
                <c:pt idx="105">
                  <c:v>-107.74451171164937</c:v>
                </c:pt>
                <c:pt idx="106">
                  <c:v>-107.81097594261458</c:v>
                </c:pt>
                <c:pt idx="107">
                  <c:v>-107.87782319350319</c:v>
                </c:pt>
                <c:pt idx="108">
                  <c:v>-107.94357798229829</c:v>
                </c:pt>
                <c:pt idx="109">
                  <c:v>-108.00976635664198</c:v>
                </c:pt>
                <c:pt idx="110">
                  <c:v>-108.07491707093456</c:v>
                </c:pt>
                <c:pt idx="111">
                  <c:v>-108.14059787398379</c:v>
                </c:pt>
                <c:pt idx="112">
                  <c:v>-108.20529644449886</c:v>
                </c:pt>
                <c:pt idx="113">
                  <c:v>-108.27053649306718</c:v>
                </c:pt>
                <c:pt idx="114">
                  <c:v>-108.33485296674461</c:v>
                </c:pt>
                <c:pt idx="115">
                  <c:v>-108.39976992398553</c:v>
                </c:pt>
                <c:pt idx="116">
                  <c:v>-108.46382361372149</c:v>
                </c:pt>
                <c:pt idx="117">
                  <c:v>-108.5285398156892</c:v>
                </c:pt>
                <c:pt idx="118">
                  <c:v>-108.59245455580364</c:v>
                </c:pt>
                <c:pt idx="119">
                  <c:v>-108.65705798010063</c:v>
                </c:pt>
                <c:pt idx="120">
                  <c:v>-108.72092394214498</c:v>
                </c:pt>
                <c:pt idx="121">
                  <c:v>-108.78554848725884</c:v>
                </c:pt>
                <c:pt idx="122">
                  <c:v>-108.84950046461609</c:v>
                </c:pt>
                <c:pt idx="123">
                  <c:v>-108.91432107811701</c:v>
                </c:pt>
                <c:pt idx="124">
                  <c:v>-108.97853405390489</c:v>
                </c:pt>
                <c:pt idx="125">
                  <c:v>-109.04365317464026</c:v>
                </c:pt>
                <c:pt idx="126">
                  <c:v>-109.10823092421806</c:v>
                </c:pt>
                <c:pt idx="127">
                  <c:v>-109.17379316058795</c:v>
                </c:pt>
                <c:pt idx="128">
                  <c:v>-109.23888060062306</c:v>
                </c:pt>
                <c:pt idx="129">
                  <c:v>-109.30503352395647</c:v>
                </c:pt>
                <c:pt idx="130">
                  <c:v>-109.37077832613681</c:v>
                </c:pt>
                <c:pt idx="131">
                  <c:v>-109.43767216340743</c:v>
                </c:pt>
                <c:pt idx="132">
                  <c:v>-109.47098844903559</c:v>
                </c:pt>
                <c:pt idx="133">
                  <c:v>-109.50422444354855</c:v>
                </c:pt>
                <c:pt idx="134">
                  <c:v>-109.53817248189746</c:v>
                </c:pt>
                <c:pt idx="135">
                  <c:v>-109.57204666611828</c:v>
                </c:pt>
                <c:pt idx="136">
                  <c:v>-109.60585199023745</c:v>
                </c:pt>
                <c:pt idx="137">
                  <c:v>-109.63959330742912</c:v>
                </c:pt>
                <c:pt idx="138">
                  <c:v>-109.67403939181901</c:v>
                </c:pt>
                <c:pt idx="139">
                  <c:v>-109.70842836099044</c:v>
                </c:pt>
                <c:pt idx="140">
                  <c:v>-109.74276497130043</c:v>
                </c:pt>
                <c:pt idx="141">
                  <c:v>-109.77705383974263</c:v>
                </c:pt>
                <c:pt idx="142">
                  <c:v>-109.8121110387511</c:v>
                </c:pt>
                <c:pt idx="143">
                  <c:v>-109.84712756432872</c:v>
                </c:pt>
                <c:pt idx="144">
                  <c:v>-109.88210793873748</c:v>
                </c:pt>
                <c:pt idx="145">
                  <c:v>-109.91705654631599</c:v>
                </c:pt>
                <c:pt idx="146">
                  <c:v>-109.95278626052598</c:v>
                </c:pt>
                <c:pt idx="147">
                  <c:v>-109.98849157843428</c:v>
                </c:pt>
                <c:pt idx="148">
                  <c:v>-110.02417677117988</c:v>
                </c:pt>
                <c:pt idx="149">
                  <c:v>-110.05984597420489</c:v>
                </c:pt>
                <c:pt idx="150">
                  <c:v>-110.09632752462988</c:v>
                </c:pt>
                <c:pt idx="151">
                  <c:v>-110.13280067603644</c:v>
                </c:pt>
                <c:pt idx="152">
                  <c:v>-110.16926944010727</c:v>
                </c:pt>
                <c:pt idx="153">
                  <c:v>-110.20573769553896</c:v>
                </c:pt>
                <c:pt idx="154">
                  <c:v>-110.24306781738079</c:v>
                </c:pt>
                <c:pt idx="155">
                  <c:v>-110.28040521812446</c:v>
                </c:pt>
                <c:pt idx="156">
                  <c:v>-110.31775364810751</c:v>
                </c:pt>
                <c:pt idx="157">
                  <c:v>-110.35511672761868</c:v>
                </c:pt>
                <c:pt idx="158">
                  <c:v>-110.39337512442123</c:v>
                </c:pt>
                <c:pt idx="159">
                  <c:v>-110.43165613825821</c:v>
                </c:pt>
                <c:pt idx="160">
                  <c:v>-110.46996325135811</c:v>
                </c:pt>
                <c:pt idx="161">
                  <c:v>-110.50829981930565</c:v>
                </c:pt>
                <c:pt idx="162">
                  <c:v>-110.54754895794532</c:v>
                </c:pt>
                <c:pt idx="163">
                  <c:v>-110.58683563051477</c:v>
                </c:pt>
                <c:pt idx="164">
                  <c:v>-110.62616304171097</c:v>
                </c:pt>
                <c:pt idx="165">
                  <c:v>-110.66553427364316</c:v>
                </c:pt>
                <c:pt idx="166">
                  <c:v>-110.70588810667071</c:v>
                </c:pt>
                <c:pt idx="167">
                  <c:v>-110.74629402389267</c:v>
                </c:pt>
                <c:pt idx="168">
                  <c:v>-110.786754957184</c:v>
                </c:pt>
                <c:pt idx="169">
                  <c:v>-110.82727371986283</c:v>
                </c:pt>
                <c:pt idx="170">
                  <c:v>-110.86872449337621</c:v>
                </c:pt>
                <c:pt idx="171">
                  <c:v>-110.91024117639475</c:v>
                </c:pt>
                <c:pt idx="172">
                  <c:v>-110.95182640826327</c:v>
                </c:pt>
                <c:pt idx="173">
                  <c:v>-110.99348271514047</c:v>
                </c:pt>
                <c:pt idx="174">
                  <c:v>-111.03626549554055</c:v>
                </c:pt>
                <c:pt idx="175">
                  <c:v>-111.07912800796724</c:v>
                </c:pt>
                <c:pt idx="176">
                  <c:v>-111.12207262804459</c:v>
                </c:pt>
                <c:pt idx="177">
                  <c:v>-111.16510162221277</c:v>
                </c:pt>
                <c:pt idx="178">
                  <c:v>-111.20927847719491</c:v>
                </c:pt>
                <c:pt idx="179">
                  <c:v>-111.25354838836658</c:v>
                </c:pt>
                <c:pt idx="180">
                  <c:v>-111.29791346079206</c:v>
                </c:pt>
                <c:pt idx="181">
                  <c:v>-111.34237569496</c:v>
                </c:pt>
                <c:pt idx="182">
                  <c:v>-111.38782923932627</c:v>
                </c:pt>
                <c:pt idx="183">
                  <c:v>-111.43338775829486</c:v>
                </c:pt>
                <c:pt idx="184">
                  <c:v>-111.47905306181384</c:v>
                </c:pt>
                <c:pt idx="185">
                  <c:v>-111.52482686190181</c:v>
                </c:pt>
                <c:pt idx="186">
                  <c:v>-111.57197190223546</c:v>
                </c:pt>
                <c:pt idx="187">
                  <c:v>-111.6192348393505</c:v>
                </c:pt>
                <c:pt idx="188">
                  <c:v>-111.66661723022115</c:v>
                </c:pt>
                <c:pt idx="189">
                  <c:v>-111.71412053788377</c:v>
                </c:pt>
                <c:pt idx="190">
                  <c:v>-111.76265621810772</c:v>
                </c:pt>
                <c:pt idx="191">
                  <c:v>-111.81132025932622</c:v>
                </c:pt>
                <c:pt idx="192">
                  <c:v>-111.86011393110472</c:v>
                </c:pt>
                <c:pt idx="193">
                  <c:v>-111.90903841626454</c:v>
                </c:pt>
                <c:pt idx="194">
                  <c:v>-111.95938272099953</c:v>
                </c:pt>
                <c:pt idx="195">
                  <c:v>-112.00986704612031</c:v>
                </c:pt>
                <c:pt idx="196">
                  <c:v>-112.06049240679306</c:v>
                </c:pt>
                <c:pt idx="197">
                  <c:v>-112.11125973628276</c:v>
                </c:pt>
                <c:pt idx="198">
                  <c:v>-112.16328631413818</c:v>
                </c:pt>
                <c:pt idx="199">
                  <c:v>-112.21546286943629</c:v>
                </c:pt>
                <c:pt idx="200">
                  <c:v>-112.26779015406666</c:v>
                </c:pt>
                <c:pt idx="201">
                  <c:v>-112.32026884437204</c:v>
                </c:pt>
                <c:pt idx="202">
                  <c:v>-112.37402901266307</c:v>
                </c:pt>
                <c:pt idx="203">
                  <c:v>-112.42794834379637</c:v>
                </c:pt>
                <c:pt idx="204">
                  <c:v>-112.48202733452</c:v>
                </c:pt>
                <c:pt idx="205">
                  <c:v>-112.53626641249068</c:v>
                </c:pt>
                <c:pt idx="206">
                  <c:v>-112.59199941047778</c:v>
                </c:pt>
                <c:pt idx="207">
                  <c:v>-112.647901127314</c:v>
                </c:pt>
                <c:pt idx="208">
                  <c:v>-112.70397181657937</c:v>
                </c:pt>
                <c:pt idx="209">
                  <c:v>-112.7602116684042</c:v>
                </c:pt>
                <c:pt idx="210">
                  <c:v>-112.81816336883855</c:v>
                </c:pt>
                <c:pt idx="211">
                  <c:v>-112.87629380898875</c:v>
                </c:pt>
                <c:pt idx="212">
                  <c:v>-112.93460300459606</c:v>
                </c:pt>
                <c:pt idx="213">
                  <c:v>-112.99309091304011</c:v>
                </c:pt>
                <c:pt idx="214">
                  <c:v>-113.05292868325475</c:v>
                </c:pt>
                <c:pt idx="215">
                  <c:v>-113.11295209900189</c:v>
                </c:pt>
                <c:pt idx="216">
                  <c:v>-113.17316094516508</c:v>
                </c:pt>
                <c:pt idx="217">
                  <c:v>-113.23355495501511</c:v>
                </c:pt>
                <c:pt idx="218">
                  <c:v>-113.29551724239437</c:v>
                </c:pt>
                <c:pt idx="219">
                  <c:v>-113.35767251511183</c:v>
                </c:pt>
                <c:pt idx="220">
                  <c:v>-113.42002033689448</c:v>
                </c:pt>
                <c:pt idx="221">
                  <c:v>-113.48256022586079</c:v>
                </c:pt>
                <c:pt idx="222">
                  <c:v>-113.54669230672592</c:v>
                </c:pt>
                <c:pt idx="223">
                  <c:v>-113.61102395991067</c:v>
                </c:pt>
                <c:pt idx="224">
                  <c:v>-113.67555453841717</c:v>
                </c:pt>
                <c:pt idx="225">
                  <c:v>-113.74028335561998</c:v>
                </c:pt>
                <c:pt idx="226">
                  <c:v>-113.80683030540615</c:v>
                </c:pt>
                <c:pt idx="227">
                  <c:v>-113.87358391972339</c:v>
                </c:pt>
                <c:pt idx="228">
                  <c:v>-113.94054334447044</c:v>
                </c:pt>
                <c:pt idx="229">
                  <c:v>-114.007707691417</c:v>
                </c:pt>
                <c:pt idx="230">
                  <c:v>-114.14593874899417</c:v>
                </c:pt>
                <c:pt idx="231">
                  <c:v>-114.21537275873112</c:v>
                </c:pt>
                <c:pt idx="232">
                  <c:v>-114.2850176575969</c:v>
                </c:pt>
                <c:pt idx="233">
                  <c:v>-114.35653314945381</c:v>
                </c:pt>
                <c:pt idx="234">
                  <c:v>-114.42826728630475</c:v>
                </c:pt>
                <c:pt idx="235">
                  <c:v>-114.50021882825132</c:v>
                </c:pt>
                <c:pt idx="236">
                  <c:v>-114.57238651230718</c:v>
                </c:pt>
                <c:pt idx="237">
                  <c:v>-114.64623990042817</c:v>
                </c:pt>
                <c:pt idx="238">
                  <c:v>-114.72031556884215</c:v>
                </c:pt>
                <c:pt idx="239">
                  <c:v>-114.79461211345421</c:v>
                </c:pt>
                <c:pt idx="240">
                  <c:v>-114.86912811268672</c:v>
                </c:pt>
                <c:pt idx="241">
                  <c:v>-114.9457757876644</c:v>
                </c:pt>
                <c:pt idx="242">
                  <c:v>-115.02265120493499</c:v>
                </c:pt>
                <c:pt idx="243">
                  <c:v>-115.09975278445829</c:v>
                </c:pt>
                <c:pt idx="244">
                  <c:v>-115.1770789337767</c:v>
                </c:pt>
                <c:pt idx="245">
                  <c:v>-115.25634910250177</c:v>
                </c:pt>
                <c:pt idx="246">
                  <c:v>-115.33585050681369</c:v>
                </c:pt>
                <c:pt idx="247">
                  <c:v>-115.41558141544247</c:v>
                </c:pt>
                <c:pt idx="248">
                  <c:v>-115.49554008978663</c:v>
                </c:pt>
                <c:pt idx="249">
                  <c:v>-115.57768331840312</c:v>
                </c:pt>
                <c:pt idx="250">
                  <c:v>-115.66006184758976</c:v>
                </c:pt>
                <c:pt idx="251">
                  <c:v>-115.74267379312887</c:v>
                </c:pt>
                <c:pt idx="252">
                  <c:v>-115.82551726831046</c:v>
                </c:pt>
                <c:pt idx="253">
                  <c:v>-115.91035101410374</c:v>
                </c:pt>
                <c:pt idx="254">
                  <c:v>-115.99542221414806</c:v>
                </c:pt>
                <c:pt idx="255">
                  <c:v>-116.08072885894533</c:v>
                </c:pt>
                <c:pt idx="256">
                  <c:v>-116.16626894116553</c:v>
                </c:pt>
                <c:pt idx="257">
                  <c:v>-116.25426557423265</c:v>
                </c:pt>
                <c:pt idx="258">
                  <c:v>-116.34250362799236</c:v>
                </c:pt>
                <c:pt idx="259">
                  <c:v>-116.43098094881782</c:v>
                </c:pt>
                <c:pt idx="260">
                  <c:v>-116.51969538976427</c:v>
                </c:pt>
                <c:pt idx="261">
                  <c:v>-116.61066910345704</c:v>
                </c:pt>
                <c:pt idx="262">
                  <c:v>-116.7018863208679</c:v>
                </c:pt>
                <c:pt idx="263">
                  <c:v>-116.79334477271867</c:v>
                </c:pt>
                <c:pt idx="264">
                  <c:v>-116.88504220068202</c:v>
                </c:pt>
                <c:pt idx="265">
                  <c:v>-116.97902201107252</c:v>
                </c:pt>
                <c:pt idx="266">
                  <c:v>-117.07324680291009</c:v>
                </c:pt>
                <c:pt idx="267">
                  <c:v>-117.16771420417048</c:v>
                </c:pt>
                <c:pt idx="268">
                  <c:v>-117.26242185779313</c:v>
                </c:pt>
                <c:pt idx="269">
                  <c:v>-117.3596637167052</c:v>
                </c:pt>
                <c:pt idx="270">
                  <c:v>-117.45715262093408</c:v>
                </c:pt>
                <c:pt idx="271">
                  <c:v>-117.5548860911055</c:v>
                </c:pt>
                <c:pt idx="272">
                  <c:v>-117.6528616667232</c:v>
                </c:pt>
                <c:pt idx="273">
                  <c:v>-117.75339617695057</c:v>
                </c:pt>
                <c:pt idx="274">
                  <c:v>-117.8541791933221</c:v>
                </c:pt>
                <c:pt idx="275">
                  <c:v>-117.95520814152489</c:v>
                </c:pt>
                <c:pt idx="276">
                  <c:v>-118.05648046980581</c:v>
                </c:pt>
                <c:pt idx="277">
                  <c:v>-118.16010129252652</c:v>
                </c:pt>
                <c:pt idx="278">
                  <c:v>-118.26397039485335</c:v>
                </c:pt>
                <c:pt idx="279">
                  <c:v>-118.3680851377745</c:v>
                </c:pt>
                <c:pt idx="280">
                  <c:v>-118.4724429080286</c:v>
                </c:pt>
                <c:pt idx="281">
                  <c:v>-118.57987779902223</c:v>
                </c:pt>
                <c:pt idx="282">
                  <c:v>-118.6875635581214</c:v>
                </c:pt>
                <c:pt idx="283">
                  <c:v>-118.79549744000713</c:v>
                </c:pt>
                <c:pt idx="284">
                  <c:v>-118.90367672875247</c:v>
                </c:pt>
                <c:pt idx="285">
                  <c:v>-119.01424577901167</c:v>
                </c:pt>
                <c:pt idx="286">
                  <c:v>-119.12506442950348</c:v>
                </c:pt>
                <c:pt idx="287">
                  <c:v>-119.23612989483991</c:v>
                </c:pt>
                <c:pt idx="288">
                  <c:v>-119.34743942163072</c:v>
                </c:pt>
                <c:pt idx="289">
                  <c:v>-119.46187840199448</c:v>
                </c:pt>
                <c:pt idx="290">
                  <c:v>-119.57656846390681</c:v>
                </c:pt>
                <c:pt idx="291">
                  <c:v>-119.69150673947473</c:v>
                </c:pt>
                <c:pt idx="292">
                  <c:v>-119.80669039595868</c:v>
                </c:pt>
                <c:pt idx="293">
                  <c:v>-119.92478689437358</c:v>
                </c:pt>
                <c:pt idx="294">
                  <c:v>-120.04313435905284</c:v>
                </c:pt>
                <c:pt idx="295">
                  <c:v>-120.16172986953437</c:v>
                </c:pt>
                <c:pt idx="296">
                  <c:v>-120.28057054311307</c:v>
                </c:pt>
                <c:pt idx="297">
                  <c:v>-120.40234607068447</c:v>
                </c:pt>
                <c:pt idx="298">
                  <c:v>-120.52437198442622</c:v>
                </c:pt>
                <c:pt idx="299">
                  <c:v>-120.6466453226417</c:v>
                </c:pt>
                <c:pt idx="300">
                  <c:v>-120.76916316371089</c:v>
                </c:pt>
                <c:pt idx="301">
                  <c:v>-120.89463688587074</c:v>
                </c:pt>
                <c:pt idx="302">
                  <c:v>-121.02035998642975</c:v>
                </c:pt>
                <c:pt idx="303">
                  <c:v>-121.14632947330925</c:v>
                </c:pt>
                <c:pt idx="304">
                  <c:v>-121.27254239653917</c:v>
                </c:pt>
                <c:pt idx="305">
                  <c:v>-121.40222862832645</c:v>
                </c:pt>
                <c:pt idx="306">
                  <c:v>-121.53216473968011</c:v>
                </c:pt>
                <c:pt idx="307">
                  <c:v>-121.66234768379314</c:v>
                </c:pt>
                <c:pt idx="308">
                  <c:v>-121.79277445838756</c:v>
                </c:pt>
                <c:pt idx="309">
                  <c:v>-121.92619820816384</c:v>
                </c:pt>
                <c:pt idx="310">
                  <c:v>-122.05986998640674</c:v>
                </c:pt>
                <c:pt idx="311">
                  <c:v>-122.19378673717475</c:v>
                </c:pt>
                <c:pt idx="312">
                  <c:v>-122.32794545051711</c:v>
                </c:pt>
                <c:pt idx="313">
                  <c:v>-122.46562411580527</c:v>
                </c:pt>
                <c:pt idx="314">
                  <c:v>-122.60355044174035</c:v>
                </c:pt>
                <c:pt idx="315">
                  <c:v>-122.74172133873762</c:v>
                </c:pt>
                <c:pt idx="316">
                  <c:v>-122.88013376507688</c:v>
                </c:pt>
                <c:pt idx="317">
                  <c:v>-123.02208882253656</c:v>
                </c:pt>
                <c:pt idx="318">
                  <c:v>-123.16429074584173</c:v>
                </c:pt>
                <c:pt idx="319">
                  <c:v>-123.30673642208819</c:v>
                </c:pt>
                <c:pt idx="320">
                  <c:v>-123.44942278783429</c:v>
                </c:pt>
                <c:pt idx="321">
                  <c:v>-123.59567344724317</c:v>
                </c:pt>
                <c:pt idx="322">
                  <c:v>-123.74216978665069</c:v>
                </c:pt>
                <c:pt idx="323">
                  <c:v>-123.88890867958619</c:v>
                </c:pt>
                <c:pt idx="324">
                  <c:v>-124.03588705036312</c:v>
                </c:pt>
                <c:pt idx="325">
                  <c:v>-124.1864503892579</c:v>
                </c:pt>
                <c:pt idx="326">
                  <c:v>-124.33725786669983</c:v>
                </c:pt>
                <c:pt idx="327">
                  <c:v>-124.48830635175925</c:v>
                </c:pt>
                <c:pt idx="328">
                  <c:v>-124.63959276533866</c:v>
                </c:pt>
                <c:pt idx="329">
                  <c:v>-124.79474308367909</c:v>
                </c:pt>
                <c:pt idx="330">
                  <c:v>-124.95013648366974</c:v>
                </c:pt>
                <c:pt idx="331">
                  <c:v>-125.10576982274561</c:v>
                </c:pt>
                <c:pt idx="332">
                  <c:v>-125.26164001130334</c:v>
                </c:pt>
                <c:pt idx="333">
                  <c:v>-125.42113448140853</c:v>
                </c:pt>
                <c:pt idx="334">
                  <c:v>-125.58086983771467</c:v>
                </c:pt>
                <c:pt idx="335">
                  <c:v>-125.74084295000031</c:v>
                </c:pt>
                <c:pt idx="336">
                  <c:v>-125.90105074151553</c:v>
                </c:pt>
                <c:pt idx="337">
                  <c:v>-126.06542541051886</c:v>
                </c:pt>
                <c:pt idx="338">
                  <c:v>-126.23004003324004</c:v>
                </c:pt>
                <c:pt idx="339">
                  <c:v>-126.39489146898414</c:v>
                </c:pt>
                <c:pt idx="340">
                  <c:v>-126.55997663147058</c:v>
                </c:pt>
                <c:pt idx="341">
                  <c:v>-126.72925021331174</c:v>
                </c:pt>
                <c:pt idx="342">
                  <c:v>-126.8987624600387</c:v>
                </c:pt>
                <c:pt idx="343">
                  <c:v>-127.06851022876498</c:v>
                </c:pt>
                <c:pt idx="344">
                  <c:v>-127.23849043168707</c:v>
                </c:pt>
                <c:pt idx="345">
                  <c:v>-127.41241430415296</c:v>
                </c:pt>
                <c:pt idx="346">
                  <c:v>-127.5865745114906</c:v>
                </c:pt>
                <c:pt idx="347">
                  <c:v>-127.76096793030078</c:v>
                </c:pt>
                <c:pt idx="348">
                  <c:v>-127.93559149233236</c:v>
                </c:pt>
                <c:pt idx="349">
                  <c:v>-128.11470964665307</c:v>
                </c:pt>
                <c:pt idx="350">
                  <c:v>-128.29406296190294</c:v>
                </c:pt>
                <c:pt idx="351">
                  <c:v>-128.47364831214614</c:v>
                </c:pt>
                <c:pt idx="352">
                  <c:v>-128.65346262707223</c:v>
                </c:pt>
                <c:pt idx="353">
                  <c:v>-128.83779229316002</c:v>
                </c:pt>
                <c:pt idx="354">
                  <c:v>-129.02235561704532</c:v>
                </c:pt>
                <c:pt idx="355">
                  <c:v>-129.2071494771005</c:v>
                </c:pt>
                <c:pt idx="356">
                  <c:v>-129.39217080752701</c:v>
                </c:pt>
                <c:pt idx="357">
                  <c:v>-129.58145786401576</c:v>
                </c:pt>
                <c:pt idx="358">
                  <c:v>-129.77097611897236</c:v>
                </c:pt>
                <c:pt idx="359">
                  <c:v>-129.96072247414386</c:v>
                </c:pt>
                <c:pt idx="360">
                  <c:v>-130.15069388672981</c:v>
                </c:pt>
                <c:pt idx="361">
                  <c:v>-130.34548936680255</c:v>
                </c:pt>
                <c:pt idx="362">
                  <c:v>-130.54051463266362</c:v>
                </c:pt>
                <c:pt idx="363">
                  <c:v>-130.73576658788272</c:v>
                </c:pt>
                <c:pt idx="364">
                  <c:v>-130.93124219148027</c:v>
                </c:pt>
                <c:pt idx="365">
                  <c:v>-131.13128974620756</c:v>
                </c:pt>
                <c:pt idx="366">
                  <c:v>-131.33156474540425</c:v>
                </c:pt>
                <c:pt idx="367">
                  <c:v>-131.53206411192727</c:v>
                </c:pt>
                <c:pt idx="368">
                  <c:v>-131.73278482351259</c:v>
                </c:pt>
                <c:pt idx="369">
                  <c:v>-131.93864089350637</c:v>
                </c:pt>
                <c:pt idx="370">
                  <c:v>-132.14472301700499</c:v>
                </c:pt>
                <c:pt idx="371">
                  <c:v>-132.35102811494983</c:v>
                </c:pt>
                <c:pt idx="372">
                  <c:v>-132.55755316292144</c:v>
                </c:pt>
                <c:pt idx="373">
                  <c:v>-132.76895896055174</c:v>
                </c:pt>
                <c:pt idx="374">
                  <c:v>-132.98058851115269</c:v>
                </c:pt>
                <c:pt idx="375">
                  <c:v>-133.19243874940881</c:v>
                </c:pt>
                <c:pt idx="376">
                  <c:v>-133.40450666384285</c:v>
                </c:pt>
                <c:pt idx="377">
                  <c:v>-133.62202333030001</c:v>
                </c:pt>
                <c:pt idx="378">
                  <c:v>-133.8397622995621</c:v>
                </c:pt>
                <c:pt idx="379">
                  <c:v>-134.05772049877837</c:v>
                </c:pt>
                <c:pt idx="380">
                  <c:v>-134.27589490841788</c:v>
                </c:pt>
                <c:pt idx="381">
                  <c:v>-134.49898436402773</c:v>
                </c:pt>
                <c:pt idx="382">
                  <c:v>-134.72229322990071</c:v>
                </c:pt>
                <c:pt idx="383">
                  <c:v>-134.9458184505132</c:v>
                </c:pt>
                <c:pt idx="384">
                  <c:v>-135.1695570223342</c:v>
                </c:pt>
                <c:pt idx="385">
                  <c:v>-135.39905879952559</c:v>
                </c:pt>
                <c:pt idx="386">
                  <c:v>-135.62877840857422</c:v>
                </c:pt>
                <c:pt idx="387">
                  <c:v>-135.85871277766799</c:v>
                </c:pt>
                <c:pt idx="388">
                  <c:v>-136.08885888615714</c:v>
                </c:pt>
                <c:pt idx="389">
                  <c:v>-136.32450850589322</c:v>
                </c:pt>
                <c:pt idx="390">
                  <c:v>-136.560373468997</c:v>
                </c:pt>
                <c:pt idx="391">
                  <c:v>-136.79645069855948</c:v>
                </c:pt>
                <c:pt idx="392">
                  <c:v>-137.03273716745736</c:v>
                </c:pt>
                <c:pt idx="393">
                  <c:v>-137.2745435447093</c:v>
                </c:pt>
                <c:pt idx="394">
                  <c:v>-137.5165624179437</c:v>
                </c:pt>
                <c:pt idx="395">
                  <c:v>-137.75879070340076</c:v>
                </c:pt>
                <c:pt idx="396">
                  <c:v>-138.00122536545052</c:v>
                </c:pt>
                <c:pt idx="397">
                  <c:v>-138.24975655385558</c:v>
                </c:pt>
                <c:pt idx="398">
                  <c:v>-138.49849796253721</c:v>
                </c:pt>
                <c:pt idx="399">
                  <c:v>-138.7474464767887</c:v>
                </c:pt>
                <c:pt idx="400">
                  <c:v>-138.99659902851889</c:v>
                </c:pt>
                <c:pt idx="401">
                  <c:v>-139.25158364015769</c:v>
                </c:pt>
                <c:pt idx="402">
                  <c:v>-139.50677525886846</c:v>
                </c:pt>
                <c:pt idx="403">
                  <c:v>-139.76217074560441</c:v>
                </c:pt>
                <c:pt idx="404">
                  <c:v>-140.01776700589545</c:v>
                </c:pt>
                <c:pt idx="405">
                  <c:v>-140.27949230837794</c:v>
                </c:pt>
                <c:pt idx="406">
                  <c:v>-140.54142138184955</c:v>
                </c:pt>
                <c:pt idx="407">
                  <c:v>-140.80355104680885</c:v>
                </c:pt>
                <c:pt idx="408">
                  <c:v>-141.06587816618077</c:v>
                </c:pt>
                <c:pt idx="409">
                  <c:v>-141.33463226288691</c:v>
                </c:pt>
                <c:pt idx="410">
                  <c:v>-141.60358677358511</c:v>
                </c:pt>
                <c:pt idx="411">
                  <c:v>-141.87273846087959</c:v>
                </c:pt>
                <c:pt idx="412">
                  <c:v>-142.14208412749699</c:v>
                </c:pt>
                <c:pt idx="413">
                  <c:v>-142.41787132776784</c:v>
                </c:pt>
                <c:pt idx="414">
                  <c:v>-142.69385495540951</c:v>
                </c:pt>
                <c:pt idx="415">
                  <c:v>-142.97003170617316</c:v>
                </c:pt>
                <c:pt idx="416">
                  <c:v>-143.24639831328156</c:v>
                </c:pt>
                <c:pt idx="417">
                  <c:v>-143.52950447682466</c:v>
                </c:pt>
                <c:pt idx="418">
                  <c:v>-143.8128027833622</c:v>
                </c:pt>
                <c:pt idx="419">
                  <c:v>-144.09628984056175</c:v>
                </c:pt>
                <c:pt idx="420">
                  <c:v>-144.37996229070794</c:v>
                </c:pt>
                <c:pt idx="421">
                  <c:v>-144.67010133780565</c:v>
                </c:pt>
                <c:pt idx="422">
                  <c:v>-144.96042708565713</c:v>
                </c:pt>
                <c:pt idx="423">
                  <c:v>-145.25093605088492</c:v>
                </c:pt>
                <c:pt idx="424">
                  <c:v>-145.54162478138656</c:v>
                </c:pt>
                <c:pt idx="425">
                  <c:v>-145.83964916185835</c:v>
                </c:pt>
                <c:pt idx="426">
                  <c:v>-146.13785501992277</c:v>
                </c:pt>
                <c:pt idx="427">
                  <c:v>-146.43623873458233</c:v>
                </c:pt>
                <c:pt idx="428">
                  <c:v>-146.73479671276897</c:v>
                </c:pt>
                <c:pt idx="429">
                  <c:v>-147.04041448907213</c:v>
                </c:pt>
                <c:pt idx="430">
                  <c:v>-147.34620713166254</c:v>
                </c:pt>
                <c:pt idx="431">
                  <c:v>-147.65217087405162</c:v>
                </c:pt>
                <c:pt idx="432">
                  <c:v>-147.95830197382995</c:v>
                </c:pt>
                <c:pt idx="433">
                  <c:v>-148.27150098434007</c:v>
                </c:pt>
                <c:pt idx="434">
                  <c:v>-148.58486713649094</c:v>
                </c:pt>
                <c:pt idx="435">
                  <c:v>-148.89839649742316</c:v>
                </c:pt>
                <c:pt idx="436">
                  <c:v>-149.21208515414918</c:v>
                </c:pt>
                <c:pt idx="437">
                  <c:v>-149.53342414234609</c:v>
                </c:pt>
                <c:pt idx="438">
                  <c:v>-149.85492187885595</c:v>
                </c:pt>
                <c:pt idx="439">
                  <c:v>-150.1765742187095</c:v>
                </c:pt>
                <c:pt idx="440">
                  <c:v>-150.49837703237796</c:v>
                </c:pt>
                <c:pt idx="441">
                  <c:v>-150.8278352524014</c:v>
                </c:pt>
                <c:pt idx="442">
                  <c:v>-151.15744233925437</c:v>
                </c:pt>
                <c:pt idx="443">
                  <c:v>-151.48719390836987</c:v>
                </c:pt>
                <c:pt idx="444">
                  <c:v>-151.81708558581406</c:v>
                </c:pt>
                <c:pt idx="445">
                  <c:v>-152.15463489880264</c:v>
                </c:pt>
                <c:pt idx="446">
                  <c:v>-152.49232155064323</c:v>
                </c:pt>
                <c:pt idx="447">
                  <c:v>-152.83014088668747</c:v>
                </c:pt>
                <c:pt idx="448">
                  <c:v>-153.16808825778318</c:v>
                </c:pt>
                <c:pt idx="449">
                  <c:v>-153.5142718768796</c:v>
                </c:pt>
                <c:pt idx="450">
                  <c:v>-153.86057989344826</c:v>
                </c:pt>
                <c:pt idx="451">
                  <c:v>-154.2070073244185</c:v>
                </c:pt>
                <c:pt idx="452">
                  <c:v>-154.55354918680487</c:v>
                </c:pt>
                <c:pt idx="453">
                  <c:v>-154.9080340108778</c:v>
                </c:pt>
                <c:pt idx="454">
                  <c:v>-155.26262795107237</c:v>
                </c:pt>
                <c:pt idx="455">
                  <c:v>-155.61732567053187</c:v>
                </c:pt>
                <c:pt idx="456">
                  <c:v>-155.97212182681736</c:v>
                </c:pt>
                <c:pt idx="457">
                  <c:v>-156.33543424267273</c:v>
                </c:pt>
                <c:pt idx="458">
                  <c:v>-156.69883846860225</c:v>
                </c:pt>
                <c:pt idx="459">
                  <c:v>-157.0623287463296</c:v>
                </c:pt>
                <c:pt idx="460">
                  <c:v>-157.42589930611285</c:v>
                </c:pt>
                <c:pt idx="461">
                  <c:v>-157.79797502426777</c:v>
                </c:pt>
                <c:pt idx="462">
                  <c:v>-158.17012252719664</c:v>
                </c:pt>
                <c:pt idx="463">
                  <c:v>-158.54233558970444</c:v>
                </c:pt>
                <c:pt idx="464">
                  <c:v>-158.91460796914961</c:v>
                </c:pt>
                <c:pt idx="465">
                  <c:v>-159.29566036731703</c:v>
                </c:pt>
                <c:pt idx="466">
                  <c:v>-159.67676160434669</c:v>
                </c:pt>
                <c:pt idx="467">
                  <c:v>-160.05790492480003</c:v>
                </c:pt>
                <c:pt idx="468">
                  <c:v>-160.43908354978956</c:v>
                </c:pt>
                <c:pt idx="469">
                  <c:v>-160.82902089020021</c:v>
                </c:pt>
                <c:pt idx="470">
                  <c:v>-161.21898074341925</c:v>
                </c:pt>
                <c:pt idx="471">
                  <c:v>-161.60895577225926</c:v>
                </c:pt>
                <c:pt idx="472">
                  <c:v>-161.99893861028195</c:v>
                </c:pt>
                <c:pt idx="473">
                  <c:v>-162.39823483779026</c:v>
                </c:pt>
                <c:pt idx="474">
                  <c:v>-162.79752352558995</c:v>
                </c:pt>
                <c:pt idx="475">
                  <c:v>-163.1967966670953</c:v>
                </c:pt>
                <c:pt idx="476">
                  <c:v>-163.59604622088372</c:v>
                </c:pt>
                <c:pt idx="477">
                  <c:v>-164.00457487153261</c:v>
                </c:pt>
                <c:pt idx="478">
                  <c:v>-164.4130616694176</c:v>
                </c:pt>
                <c:pt idx="479">
                  <c:v>-164.82149788113901</c:v>
                </c:pt>
                <c:pt idx="480">
                  <c:v>-165.22987473350466</c:v>
                </c:pt>
                <c:pt idx="481">
                  <c:v>-165.6474887299791</c:v>
                </c:pt>
                <c:pt idx="482">
                  <c:v>-166.06502193778496</c:v>
                </c:pt>
                <c:pt idx="483">
                  <c:v>-166.48246484005799</c:v>
                </c:pt>
                <c:pt idx="484">
                  <c:v>-166.89980787613297</c:v>
                </c:pt>
                <c:pt idx="485">
                  <c:v>-167.32662831511007</c:v>
                </c:pt>
                <c:pt idx="486">
                  <c:v>-167.75332386549513</c:v>
                </c:pt>
                <c:pt idx="487">
                  <c:v>-168.17988415143867</c:v>
                </c:pt>
                <c:pt idx="488">
                  <c:v>-168.60629875046081</c:v>
                </c:pt>
                <c:pt idx="489">
                  <c:v>-169.04271112238567</c:v>
                </c:pt>
                <c:pt idx="490">
                  <c:v>-169.47894852497413</c:v>
                </c:pt>
                <c:pt idx="491">
                  <c:v>-169.91499962522812</c:v>
                </c:pt>
                <c:pt idx="492">
                  <c:v>-170.35085304214158</c:v>
                </c:pt>
                <c:pt idx="493">
                  <c:v>-170.79663276509837</c:v>
                </c:pt>
                <c:pt idx="494">
                  <c:v>-171.24218123670911</c:v>
                </c:pt>
                <c:pt idx="495">
                  <c:v>-171.687486114173</c:v>
                </c:pt>
                <c:pt idx="496">
                  <c:v>-172.1325350074855</c:v>
                </c:pt>
                <c:pt idx="497">
                  <c:v>-172.5877163891754</c:v>
                </c:pt>
                <c:pt idx="498">
                  <c:v>-173.04260327014794</c:v>
                </c:pt>
                <c:pt idx="499">
                  <c:v>-173.49718222811612</c:v>
                </c:pt>
                <c:pt idx="500">
                  <c:v>-173.95143979698852</c:v>
                </c:pt>
                <c:pt idx="501">
                  <c:v>-174.41602191350415</c:v>
                </c:pt>
                <c:pt idx="502">
                  <c:v>-174.88023868899711</c:v>
                </c:pt>
                <c:pt idx="503">
                  <c:v>-175.34407555883868</c:v>
                </c:pt>
                <c:pt idx="504">
                  <c:v>-175.80751792119591</c:v>
                </c:pt>
                <c:pt idx="505">
                  <c:v>-176.28117415440306</c:v>
                </c:pt>
                <c:pt idx="506">
                  <c:v>-176.75438654568745</c:v>
                </c:pt>
                <c:pt idx="507">
                  <c:v>-177.22713936392751</c:v>
                </c:pt>
                <c:pt idx="508">
                  <c:v>-177.69941685132389</c:v>
                </c:pt>
                <c:pt idx="509">
                  <c:v>-178.1820692848849</c:v>
                </c:pt>
                <c:pt idx="510">
                  <c:v>-178.66419079404105</c:v>
                </c:pt>
                <c:pt idx="511">
                  <c:v>-179.14576444512065</c:v>
                </c:pt>
                <c:pt idx="512">
                  <c:v>-179.62677329278694</c:v>
                </c:pt>
                <c:pt idx="513">
                  <c:v>-180.11858446208842</c:v>
                </c:pt>
                <c:pt idx="514">
                  <c:v>-180.60976777154627</c:v>
                </c:pt>
                <c:pt idx="515">
                  <c:v>-181.1003050348441</c:v>
                </c:pt>
                <c:pt idx="516">
                  <c:v>-181.59017807421711</c:v>
                </c:pt>
                <c:pt idx="517">
                  <c:v>-182.09069091005401</c:v>
                </c:pt>
                <c:pt idx="518">
                  <c:v>-182.59046994847634</c:v>
                </c:pt>
                <c:pt idx="519">
                  <c:v>-183.08949578407291</c:v>
                </c:pt>
                <c:pt idx="520">
                  <c:v>-183.58774904610311</c:v>
                </c:pt>
                <c:pt idx="521">
                  <c:v>-184.09674353016177</c:v>
                </c:pt>
                <c:pt idx="522">
                  <c:v>-184.60488828103806</c:v>
                </c:pt>
                <c:pt idx="523">
                  <c:v>-185.11216270394544</c:v>
                </c:pt>
                <c:pt idx="524">
                  <c:v>-185.61854627138226</c:v>
                </c:pt>
                <c:pt idx="525">
                  <c:v>-186.13574970170313</c:v>
                </c:pt>
                <c:pt idx="526">
                  <c:v>-186.6519771705934</c:v>
                </c:pt>
                <c:pt idx="527">
                  <c:v>-187.1672069543603</c:v>
                </c:pt>
                <c:pt idx="528">
                  <c:v>-187.68141743623511</c:v>
                </c:pt>
                <c:pt idx="529">
                  <c:v>-188.20650229371682</c:v>
                </c:pt>
                <c:pt idx="530">
                  <c:v>-188.73047450088666</c:v>
                </c:pt>
                <c:pt idx="531">
                  <c:v>-189.25331130065672</c:v>
                </c:pt>
                <c:pt idx="532">
                  <c:v>-189.774990089906</c:v>
                </c:pt>
                <c:pt idx="533">
                  <c:v>-190.30784705883562</c:v>
                </c:pt>
                <c:pt idx="534">
                  <c:v>-190.83944289633473</c:v>
                </c:pt>
                <c:pt idx="535">
                  <c:v>-191.36975390983898</c:v>
                </c:pt>
                <c:pt idx="536">
                  <c:v>-191.89875661581246</c:v>
                </c:pt>
                <c:pt idx="537">
                  <c:v>-192.43839225923952</c:v>
                </c:pt>
                <c:pt idx="538">
                  <c:v>-192.9766105429627</c:v>
                </c:pt>
                <c:pt idx="539">
                  <c:v>-193.5133870889544</c:v>
                </c:pt>
                <c:pt idx="540">
                  <c:v>-194.04869778990079</c:v>
                </c:pt>
                <c:pt idx="541">
                  <c:v>-194.59515926725797</c:v>
                </c:pt>
                <c:pt idx="542">
                  <c:v>-195.14003433985215</c:v>
                </c:pt>
                <c:pt idx="543">
                  <c:v>-195.6832980914061</c:v>
                </c:pt>
                <c:pt idx="544">
                  <c:v>-196.2249259462213</c:v>
                </c:pt>
                <c:pt idx="545">
                  <c:v>-196.77738169242781</c:v>
                </c:pt>
                <c:pt idx="546">
                  <c:v>-197.32807396037174</c:v>
                </c:pt>
                <c:pt idx="547">
                  <c:v>-197.87697759920297</c:v>
                </c:pt>
                <c:pt idx="548">
                  <c:v>-198.42406787428791</c:v>
                </c:pt>
                <c:pt idx="549">
                  <c:v>-198.98190554642943</c:v>
                </c:pt>
                <c:pt idx="550">
                  <c:v>-199.53779402459728</c:v>
                </c:pt>
                <c:pt idx="551">
                  <c:v>-200.09170823418</c:v>
                </c:pt>
                <c:pt idx="552">
                  <c:v>-200.64362359755907</c:v>
                </c:pt>
                <c:pt idx="553">
                  <c:v>-201.20643621744256</c:v>
                </c:pt>
                <c:pt idx="554">
                  <c:v>-201.76710430648279</c:v>
                </c:pt>
                <c:pt idx="555">
                  <c:v>-202.32560318532595</c:v>
                </c:pt>
                <c:pt idx="556">
                  <c:v>-202.88190875702583</c:v>
                </c:pt>
                <c:pt idx="557">
                  <c:v>-204.01368288757968</c:v>
                </c:pt>
                <c:pt idx="558">
                  <c:v>-205.13597576321365</c:v>
                </c:pt>
                <c:pt idx="559">
                  <c:v>-206.27399261012698</c:v>
                </c:pt>
                <c:pt idx="560">
                  <c:v>-207.4017129642622</c:v>
                </c:pt>
                <c:pt idx="561">
                  <c:v>-208.54534403911836</c:v>
                </c:pt>
                <c:pt idx="562">
                  <c:v>-209.67783261135</c:v>
                </c:pt>
                <c:pt idx="563">
                  <c:v>-210.8229556365159</c:v>
                </c:pt>
                <c:pt idx="564">
                  <c:v>-211.95613423247332</c:v>
                </c:pt>
                <c:pt idx="565">
                  <c:v>-213.10533475677246</c:v>
                </c:pt>
                <c:pt idx="566">
                  <c:v>-214.24170043254045</c:v>
                </c:pt>
                <c:pt idx="567">
                  <c:v>-215.39257359310471</c:v>
                </c:pt>
                <c:pt idx="568">
                  <c:v>-216.52973812654818</c:v>
                </c:pt>
                <c:pt idx="569">
                  <c:v>-217.67542626870201</c:v>
                </c:pt>
                <c:pt idx="570">
                  <c:v>-218.80667277379703</c:v>
                </c:pt>
                <c:pt idx="571">
                  <c:v>-219.95386372668165</c:v>
                </c:pt>
                <c:pt idx="572">
                  <c:v>-221.08568982914139</c:v>
                </c:pt>
                <c:pt idx="573">
                  <c:v>-222.22327366823151</c:v>
                </c:pt>
                <c:pt idx="574">
                  <c:v>-223.34484913924462</c:v>
                </c:pt>
                <c:pt idx="575">
                  <c:v>-224.47918707330504</c:v>
                </c:pt>
                <c:pt idx="576">
                  <c:v>-225.59668738800249</c:v>
                </c:pt>
                <c:pt idx="577">
                  <c:v>-230.14235771193285</c:v>
                </c:pt>
                <c:pt idx="578">
                  <c:v>-234.39328698570608</c:v>
                </c:pt>
                <c:pt idx="579">
                  <c:v>-242.73135063210739</c:v>
                </c:pt>
                <c:pt idx="580">
                  <c:v>-250.48642986246119</c:v>
                </c:pt>
                <c:pt idx="581">
                  <c:v>-257.55936986236009</c:v>
                </c:pt>
                <c:pt idx="582">
                  <c:v>-263.91271418149313</c:v>
                </c:pt>
                <c:pt idx="583">
                  <c:v>-269.53460243000848</c:v>
                </c:pt>
                <c:pt idx="584">
                  <c:v>-274.44551731682765</c:v>
                </c:pt>
                <c:pt idx="585">
                  <c:v>-278.67279918339415</c:v>
                </c:pt>
                <c:pt idx="586">
                  <c:v>-282.25520743962761</c:v>
                </c:pt>
                <c:pt idx="587">
                  <c:v>-285.23562263330263</c:v>
                </c:pt>
                <c:pt idx="588">
                  <c:v>-287.65379804429529</c:v>
                </c:pt>
                <c:pt idx="589">
                  <c:v>-289.55466384681404</c:v>
                </c:pt>
                <c:pt idx="590">
                  <c:v>-290.9800968297065</c:v>
                </c:pt>
                <c:pt idx="591">
                  <c:v>-291.97304743642451</c:v>
                </c:pt>
                <c:pt idx="592">
                  <c:v>-292.57636806310285</c:v>
                </c:pt>
                <c:pt idx="593">
                  <c:v>-292.83333917992809</c:v>
                </c:pt>
                <c:pt idx="594">
                  <c:v>-292.78707381164338</c:v>
                </c:pt>
                <c:pt idx="595">
                  <c:v>-292.48055742947963</c:v>
                </c:pt>
                <c:pt idx="596">
                  <c:v>-291.95609292210264</c:v>
                </c:pt>
                <c:pt idx="597">
                  <c:v>-291.25439185042563</c:v>
                </c:pt>
                <c:pt idx="598">
                  <c:v>-290.41429550792458</c:v>
                </c:pt>
                <c:pt idx="599">
                  <c:v>-289.47138804831985</c:v>
                </c:pt>
                <c:pt idx="600">
                  <c:v>-288.45811987957774</c:v>
                </c:pt>
              </c:numCache>
            </c:numRef>
          </c:yVal>
          <c:smooth val="0"/>
          <c:extLst>
            <c:ext xmlns:c16="http://schemas.microsoft.com/office/drawing/2014/chart" uri="{C3380CC4-5D6E-409C-BE32-E72D297353CC}">
              <c16:uniqueId val="{00000001-5314-496C-84FB-BC9D9C42BA7D}"/>
            </c:ext>
          </c:extLst>
        </c:ser>
        <c:dLbls>
          <c:showLegendKey val="0"/>
          <c:showVal val="0"/>
          <c:showCatName val="0"/>
          <c:showSerName val="0"/>
          <c:showPercent val="0"/>
          <c:showBubbleSize val="0"/>
        </c:dLbls>
        <c:axId val="184341632"/>
        <c:axId val="184343168"/>
      </c:scatterChart>
      <c:valAx>
        <c:axId val="18432524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84327168"/>
        <c:crossesAt val="-40"/>
        <c:crossBetween val="midCat"/>
        <c:majorUnit val="10"/>
        <c:minorUnit val="10"/>
      </c:valAx>
      <c:valAx>
        <c:axId val="184327168"/>
        <c:scaling>
          <c:orientation val="minMax"/>
          <c:max val="8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184325248"/>
        <c:crossesAt val="0.1"/>
        <c:crossBetween val="midCat"/>
        <c:majorUnit val="20"/>
        <c:minorUnit val="4"/>
      </c:valAx>
      <c:valAx>
        <c:axId val="184341632"/>
        <c:scaling>
          <c:logBase val="10"/>
          <c:orientation val="minMax"/>
        </c:scaling>
        <c:delete val="1"/>
        <c:axPos val="t"/>
        <c:numFmt formatCode="General" sourceLinked="1"/>
        <c:majorTickMark val="out"/>
        <c:minorTickMark val="none"/>
        <c:tickLblPos val="none"/>
        <c:crossAx val="184343168"/>
        <c:crossesAt val="0"/>
        <c:crossBetween val="midCat"/>
      </c:valAx>
      <c:valAx>
        <c:axId val="184343168"/>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184341632"/>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49-4ADE-B8CD-DD5F374AD671}"/>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104956.16848200282</c:v>
                </c:pt>
              </c:numCache>
            </c:numRef>
          </c:xVal>
          <c:yVal>
            <c:numRef>
              <c:f>'Stability Calculations'!$Q$627</c:f>
              <c:numCache>
                <c:formatCode>0.00</c:formatCode>
                <c:ptCount val="1"/>
                <c:pt idx="0">
                  <c:v>-20.133208802840038</c:v>
                </c:pt>
              </c:numCache>
            </c:numRef>
          </c:yVal>
          <c:smooth val="0"/>
          <c:extLst>
            <c:ext xmlns:c16="http://schemas.microsoft.com/office/drawing/2014/chart" uri="{C3380CC4-5D6E-409C-BE32-E72D297353CC}">
              <c16:uniqueId val="{00000001-4B49-4ADE-B8CD-DD5F374AD671}"/>
            </c:ext>
          </c:extLst>
        </c:ser>
        <c:dLbls>
          <c:showLegendKey val="0"/>
          <c:showVal val="0"/>
          <c:showCatName val="0"/>
          <c:showSerName val="0"/>
          <c:showPercent val="0"/>
          <c:showBubbleSize val="0"/>
        </c:dLbls>
        <c:axId val="165647872"/>
        <c:axId val="165649792"/>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Calculations'!$Q$13:$Q$613</c:f>
              <c:numCache>
                <c:formatCode>0.00</c:formatCode>
                <c:ptCount val="601"/>
                <c:pt idx="0">
                  <c:v>86.00565700300217</c:v>
                </c:pt>
                <c:pt idx="1">
                  <c:v>85.327517632676759</c:v>
                </c:pt>
                <c:pt idx="2">
                  <c:v>84.631600712198235</c:v>
                </c:pt>
                <c:pt idx="3">
                  <c:v>83.920152571786673</c:v>
                </c:pt>
                <c:pt idx="4">
                  <c:v>83.19570786921274</c:v>
                </c:pt>
                <c:pt idx="5">
                  <c:v>82.45890870680411</c:v>
                </c:pt>
                <c:pt idx="6">
                  <c:v>81.712441330247557</c:v>
                </c:pt>
                <c:pt idx="7">
                  <c:v>80.957269594768775</c:v>
                </c:pt>
                <c:pt idx="8">
                  <c:v>80.19521360297162</c:v>
                </c:pt>
                <c:pt idx="9">
                  <c:v>79.42679520819199</c:v>
                </c:pt>
                <c:pt idx="10">
                  <c:v>78.653399098063005</c:v>
                </c:pt>
                <c:pt idx="11">
                  <c:v>77.875724628843685</c:v>
                </c:pt>
                <c:pt idx="12">
                  <c:v>77.094045578546385</c:v>
                </c:pt>
                <c:pt idx="13">
                  <c:v>76.309696072733644</c:v>
                </c:pt>
                <c:pt idx="14">
                  <c:v>75.522543917325351</c:v>
                </c:pt>
                <c:pt idx="15">
                  <c:v>74.733306672621652</c:v>
                </c:pt>
                <c:pt idx="16">
                  <c:v>73.942270594498126</c:v>
                </c:pt>
                <c:pt idx="17">
                  <c:v>73.149841895643092</c:v>
                </c:pt>
                <c:pt idx="18">
                  <c:v>72.356036167445893</c:v>
                </c:pt>
                <c:pt idx="19">
                  <c:v>71.561271990355266</c:v>
                </c:pt>
                <c:pt idx="20">
                  <c:v>70.765562241387897</c:v>
                </c:pt>
                <c:pt idx="21">
                  <c:v>69.969211886803492</c:v>
                </c:pt>
                <c:pt idx="22">
                  <c:v>69.172169513662254</c:v>
                </c:pt>
                <c:pt idx="23">
                  <c:v>68.374731039025448</c:v>
                </c:pt>
                <c:pt idx="24">
                  <c:v>67.576775558913738</c:v>
                </c:pt>
                <c:pt idx="25">
                  <c:v>66.778494705697327</c:v>
                </c:pt>
                <c:pt idx="26">
                  <c:v>65.979759082982213</c:v>
                </c:pt>
                <c:pt idx="27">
                  <c:v>65.180870061462642</c:v>
                </c:pt>
                <c:pt idx="28">
                  <c:v>64.381835869870969</c:v>
                </c:pt>
                <c:pt idx="29">
                  <c:v>63.583185786768617</c:v>
                </c:pt>
                <c:pt idx="30">
                  <c:v>62.783596699106177</c:v>
                </c:pt>
                <c:pt idx="31">
                  <c:v>61.984208919797858</c:v>
                </c:pt>
                <c:pt idx="32">
                  <c:v>61.184499840939182</c:v>
                </c:pt>
                <c:pt idx="33">
                  <c:v>60.385056079944732</c:v>
                </c:pt>
                <c:pt idx="34">
                  <c:v>59.585275600218623</c:v>
                </c:pt>
                <c:pt idx="35">
                  <c:v>58.785621106988792</c:v>
                </c:pt>
                <c:pt idx="36">
                  <c:v>57.985981263103142</c:v>
                </c:pt>
                <c:pt idx="37">
                  <c:v>57.185935203827341</c:v>
                </c:pt>
                <c:pt idx="38">
                  <c:v>56.38625346326387</c:v>
                </c:pt>
                <c:pt idx="39">
                  <c:v>55.586299386974801</c:v>
                </c:pt>
                <c:pt idx="40">
                  <c:v>54.786382049855725</c:v>
                </c:pt>
                <c:pt idx="41">
                  <c:v>53.986438034897262</c:v>
                </c:pt>
                <c:pt idx="42">
                  <c:v>53.186581766005141</c:v>
                </c:pt>
                <c:pt idx="43">
                  <c:v>52.386581152542895</c:v>
                </c:pt>
                <c:pt idx="44">
                  <c:v>51.586650763392221</c:v>
                </c:pt>
                <c:pt idx="45">
                  <c:v>50.786630080297854</c:v>
                </c:pt>
                <c:pt idx="46">
                  <c:v>49.98668066765849</c:v>
                </c:pt>
                <c:pt idx="47">
                  <c:v>49.186629534722073</c:v>
                </c:pt>
                <c:pt idx="48">
                  <c:v>48.386672118278248</c:v>
                </c:pt>
                <c:pt idx="49">
                  <c:v>47.586601950553728</c:v>
                </c:pt>
                <c:pt idx="50">
                  <c:v>46.786539659452686</c:v>
                </c:pt>
                <c:pt idx="51">
                  <c:v>45.986295284872654</c:v>
                </c:pt>
                <c:pt idx="52">
                  <c:v>45.18611966826596</c:v>
                </c:pt>
                <c:pt idx="53">
                  <c:v>44.385977375879044</c:v>
                </c:pt>
                <c:pt idx="54">
                  <c:v>43.58636070751583</c:v>
                </c:pt>
                <c:pt idx="55">
                  <c:v>42.785912259228773</c:v>
                </c:pt>
                <c:pt idx="56">
                  <c:v>41.985744625022249</c:v>
                </c:pt>
                <c:pt idx="57">
                  <c:v>41.185308364886325</c:v>
                </c:pt>
                <c:pt idx="58">
                  <c:v>40.385166214116985</c:v>
                </c:pt>
                <c:pt idx="59">
                  <c:v>39.5846922958346</c:v>
                </c:pt>
                <c:pt idx="60">
                  <c:v>38.784326784394622</c:v>
                </c:pt>
                <c:pt idx="61">
                  <c:v>37.983935001589593</c:v>
                </c:pt>
                <c:pt idx="62">
                  <c:v>37.183071405727397</c:v>
                </c:pt>
                <c:pt idx="63">
                  <c:v>36.382481435370551</c:v>
                </c:pt>
                <c:pt idx="64">
                  <c:v>35.581499564780835</c:v>
                </c:pt>
                <c:pt idx="65">
                  <c:v>34.780404155540147</c:v>
                </c:pt>
                <c:pt idx="66">
                  <c:v>33.979097165718471</c:v>
                </c:pt>
                <c:pt idx="67">
                  <c:v>33.177654722470336</c:v>
                </c:pt>
                <c:pt idx="68">
                  <c:v>32.375801341838198</c:v>
                </c:pt>
                <c:pt idx="69">
                  <c:v>31.573704537103744</c:v>
                </c:pt>
                <c:pt idx="70">
                  <c:v>30.771151257541455</c:v>
                </c:pt>
                <c:pt idx="71">
                  <c:v>29.968247357119616</c:v>
                </c:pt>
                <c:pt idx="72">
                  <c:v>29.164759788793386</c:v>
                </c:pt>
                <c:pt idx="73">
                  <c:v>28.360823891816334</c:v>
                </c:pt>
                <c:pt idx="74">
                  <c:v>27.556172110562617</c:v>
                </c:pt>
                <c:pt idx="75">
                  <c:v>26.750869867955412</c:v>
                </c:pt>
                <c:pt idx="76">
                  <c:v>25.944678522738553</c:v>
                </c:pt>
                <c:pt idx="77">
                  <c:v>25.137817117063072</c:v>
                </c:pt>
                <c:pt idx="78">
                  <c:v>24.330235881882061</c:v>
                </c:pt>
                <c:pt idx="79">
                  <c:v>23.522443167926887</c:v>
                </c:pt>
                <c:pt idx="80">
                  <c:v>22.713107542496388</c:v>
                </c:pt>
                <c:pt idx="81">
                  <c:v>21.903425986822498</c:v>
                </c:pt>
                <c:pt idx="82">
                  <c:v>21.092948063608418</c:v>
                </c:pt>
                <c:pt idx="83">
                  <c:v>20.282378608877117</c:v>
                </c:pt>
                <c:pt idx="84">
                  <c:v>19.471241538801802</c:v>
                </c:pt>
                <c:pt idx="85">
                  <c:v>18.660153918910588</c:v>
                </c:pt>
                <c:pt idx="86">
                  <c:v>17.849151884280733</c:v>
                </c:pt>
                <c:pt idx="87">
                  <c:v>17.037946232620442</c:v>
                </c:pt>
                <c:pt idx="88">
                  <c:v>16.227432662216636</c:v>
                </c:pt>
                <c:pt idx="89">
                  <c:v>15.417048061129226</c:v>
                </c:pt>
                <c:pt idx="90">
                  <c:v>14.607149834367355</c:v>
                </c:pt>
                <c:pt idx="91">
                  <c:v>13.797677175524214</c:v>
                </c:pt>
                <c:pt idx="92">
                  <c:v>12.988708658445578</c:v>
                </c:pt>
                <c:pt idx="93">
                  <c:v>12.179933842241866</c:v>
                </c:pt>
                <c:pt idx="94">
                  <c:v>11.977861442306725</c:v>
                </c:pt>
                <c:pt idx="95">
                  <c:v>11.876204180511882</c:v>
                </c:pt>
                <c:pt idx="96">
                  <c:v>11.775713236027379</c:v>
                </c:pt>
                <c:pt idx="97">
                  <c:v>11.674072109995269</c:v>
                </c:pt>
                <c:pt idx="98">
                  <c:v>11.573596431103276</c:v>
                </c:pt>
                <c:pt idx="99">
                  <c:v>11.471944753720928</c:v>
                </c:pt>
                <c:pt idx="100">
                  <c:v>11.371458217749025</c:v>
                </c:pt>
                <c:pt idx="101">
                  <c:v>11.269848115946433</c:v>
                </c:pt>
                <c:pt idx="102">
                  <c:v>11.169401617915337</c:v>
                </c:pt>
                <c:pt idx="103">
                  <c:v>11.067734186077807</c:v>
                </c:pt>
                <c:pt idx="104">
                  <c:v>10.967231028232685</c:v>
                </c:pt>
                <c:pt idx="105">
                  <c:v>10.865561256586831</c:v>
                </c:pt>
                <c:pt idx="106">
                  <c:v>10.765055131102169</c:v>
                </c:pt>
                <c:pt idx="107">
                  <c:v>10.663434192288276</c:v>
                </c:pt>
                <c:pt idx="108">
                  <c:v>10.562975062491278</c:v>
                </c:pt>
                <c:pt idx="109">
                  <c:v>10.461381730031478</c:v>
                </c:pt>
                <c:pt idx="110">
                  <c:v>10.360948807536754</c:v>
                </c:pt>
                <c:pt idx="111">
                  <c:v>10.259297434984472</c:v>
                </c:pt>
                <c:pt idx="112">
                  <c:v>10.15880697167389</c:v>
                </c:pt>
                <c:pt idx="113">
                  <c:v>10.05715193628375</c:v>
                </c:pt>
                <c:pt idx="114">
                  <c:v>9.9566570258714489</c:v>
                </c:pt>
                <c:pt idx="115">
                  <c:v>9.854984734885706</c:v>
                </c:pt>
                <c:pt idx="116">
                  <c:v>9.7544720440398009</c:v>
                </c:pt>
                <c:pt idx="117">
                  <c:v>9.6527711128215721</c:v>
                </c:pt>
                <c:pt idx="118">
                  <c:v>9.5522294645191543</c:v>
                </c:pt>
                <c:pt idx="119">
                  <c:v>9.4505518512294877</c:v>
                </c:pt>
                <c:pt idx="120">
                  <c:v>9.3500319750654413</c:v>
                </c:pt>
                <c:pt idx="121">
                  <c:v>9.2483660419464275</c:v>
                </c:pt>
                <c:pt idx="122">
                  <c:v>9.1478565126160447</c:v>
                </c:pt>
                <c:pt idx="123">
                  <c:v>9.046133972819522</c:v>
                </c:pt>
                <c:pt idx="124">
                  <c:v>8.9455679938809425</c:v>
                </c:pt>
                <c:pt idx="125">
                  <c:v>8.843842095945222</c:v>
                </c:pt>
                <c:pt idx="126">
                  <c:v>8.7432716557283801</c:v>
                </c:pt>
                <c:pt idx="127">
                  <c:v>8.6415359608874915</c:v>
                </c:pt>
                <c:pt idx="128">
                  <c:v>8.5409547091165177</c:v>
                </c:pt>
                <c:pt idx="129">
                  <c:v>8.4392042603363411</c:v>
                </c:pt>
                <c:pt idx="130">
                  <c:v>8.3386072927771995</c:v>
                </c:pt>
                <c:pt idx="131">
                  <c:v>8.236838484665526</c:v>
                </c:pt>
                <c:pt idx="132">
                  <c:v>8.1863879602722829</c:v>
                </c:pt>
                <c:pt idx="133">
                  <c:v>8.1362222159480062</c:v>
                </c:pt>
                <c:pt idx="134">
                  <c:v>8.0851555296929529</c:v>
                </c:pt>
                <c:pt idx="135">
                  <c:v>8.0343804214032986</c:v>
                </c:pt>
                <c:pt idx="136">
                  <c:v>7.9838934892135178</c:v>
                </c:pt>
                <c:pt idx="137">
                  <c:v>7.9336913899155013</c:v>
                </c:pt>
                <c:pt idx="138">
                  <c:v>7.882640693738999</c:v>
                </c:pt>
                <c:pt idx="139">
                  <c:v>7.8318810200683604</c:v>
                </c:pt>
                <c:pt idx="140">
                  <c:v>7.7814089745385644</c:v>
                </c:pt>
                <c:pt idx="141">
                  <c:v>7.7312212212773037</c:v>
                </c:pt>
                <c:pt idx="142">
                  <c:v>7.6801344064602128</c:v>
                </c:pt>
                <c:pt idx="143">
                  <c:v>7.6293386341249301</c:v>
                </c:pt>
                <c:pt idx="144">
                  <c:v>7.5788305072931061</c:v>
                </c:pt>
                <c:pt idx="145">
                  <c:v>7.5286066875452571</c:v>
                </c:pt>
                <c:pt idx="146">
                  <c:v>7.4775103171723494</c:v>
                </c:pt>
                <c:pt idx="147">
                  <c:v>7.4267046891805091</c:v>
                </c:pt>
                <c:pt idx="148">
                  <c:v>7.3761864094815248</c:v>
                </c:pt>
                <c:pt idx="149">
                  <c:v>7.3259521424850425</c:v>
                </c:pt>
                <c:pt idx="150">
                  <c:v>7.2748469094977661</c:v>
                </c:pt>
                <c:pt idx="151">
                  <c:v>7.224032092398768</c:v>
                </c:pt>
                <c:pt idx="152">
                  <c:v>7.1735043003622732</c:v>
                </c:pt>
                <c:pt idx="153">
                  <c:v>7.1232602009899351</c:v>
                </c:pt>
                <c:pt idx="154">
                  <c:v>7.0721237014452587</c:v>
                </c:pt>
                <c:pt idx="155">
                  <c:v>7.0212775256309445</c:v>
                </c:pt>
                <c:pt idx="156">
                  <c:v>6.9707182817933937</c:v>
                </c:pt>
                <c:pt idx="157">
                  <c:v>6.9204426366311669</c:v>
                </c:pt>
                <c:pt idx="158">
                  <c:v>6.8692778096058742</c:v>
                </c:pt>
                <c:pt idx="159">
                  <c:v>6.8184031601013082</c:v>
                </c:pt>
                <c:pt idx="160">
                  <c:v>6.7678152962724178</c:v>
                </c:pt>
                <c:pt idx="161">
                  <c:v>6.7175108847310288</c:v>
                </c:pt>
                <c:pt idx="162">
                  <c:v>6.6663432853264908</c:v>
                </c:pt>
                <c:pt idx="163">
                  <c:v>6.6154654070561225</c:v>
                </c:pt>
                <c:pt idx="164">
                  <c:v>6.5648738632920871</c:v>
                </c:pt>
                <c:pt idx="165">
                  <c:v>6.5145653257457878</c:v>
                </c:pt>
                <c:pt idx="166">
                  <c:v>6.463352918783297</c:v>
                </c:pt>
                <c:pt idx="167">
                  <c:v>6.4124302291229371</c:v>
                </c:pt>
                <c:pt idx="168">
                  <c:v>6.361793867318112</c:v>
                </c:pt>
                <c:pt idx="169">
                  <c:v>6.3114405023272493</c:v>
                </c:pt>
                <c:pt idx="170">
                  <c:v>6.2602953603611073</c:v>
                </c:pt>
                <c:pt idx="171">
                  <c:v>6.2094386463024618</c:v>
                </c:pt>
                <c:pt idx="172">
                  <c:v>6.1588669902395416</c:v>
                </c:pt>
                <c:pt idx="173">
                  <c:v>6.1085770802189749</c:v>
                </c:pt>
                <c:pt idx="174">
                  <c:v>6.0573084396937746</c:v>
                </c:pt>
                <c:pt idx="175">
                  <c:v>6.0063290612899412</c:v>
                </c:pt>
                <c:pt idx="176">
                  <c:v>5.9556355573486766</c:v>
                </c:pt>
                <c:pt idx="177">
                  <c:v>5.9052245985756047</c:v>
                </c:pt>
                <c:pt idx="178">
                  <c:v>5.8538636569925231</c:v>
                </c:pt>
                <c:pt idx="179">
                  <c:v>5.802792433185358</c:v>
                </c:pt>
                <c:pt idx="180">
                  <c:v>5.7520075281826069</c:v>
                </c:pt>
                <c:pt idx="181">
                  <c:v>5.7015056016357253</c:v>
                </c:pt>
                <c:pt idx="182">
                  <c:v>5.6502817564917827</c:v>
                </c:pt>
                <c:pt idx="183">
                  <c:v>5.5993454825976716</c:v>
                </c:pt>
                <c:pt idx="184">
                  <c:v>5.5486934151211189</c:v>
                </c:pt>
                <c:pt idx="185">
                  <c:v>5.4983222470700257</c:v>
                </c:pt>
                <c:pt idx="186">
                  <c:v>5.44685749666505</c:v>
                </c:pt>
                <c:pt idx="187">
                  <c:v>5.3956823833293219</c:v>
                </c:pt>
                <c:pt idx="188">
                  <c:v>5.3447935023461923</c:v>
                </c:pt>
                <c:pt idx="189">
                  <c:v>5.2941875077506637</c:v>
                </c:pt>
                <c:pt idx="190">
                  <c:v>5.2429033811544565</c:v>
                </c:pt>
                <c:pt idx="191">
                  <c:v>5.191906205554714</c:v>
                </c:pt>
                <c:pt idx="192">
                  <c:v>5.1411926195421369</c:v>
                </c:pt>
                <c:pt idx="193">
                  <c:v>5.0907593194653113</c:v>
                </c:pt>
                <c:pt idx="194">
                  <c:v>5.0392917976332949</c:v>
                </c:pt>
                <c:pt idx="195">
                  <c:v>4.9881125825968677</c:v>
                </c:pt>
                <c:pt idx="196">
                  <c:v>4.9372182851376722</c:v>
                </c:pt>
                <c:pt idx="197">
                  <c:v>4.886605574428601</c:v>
                </c:pt>
                <c:pt idx="198">
                  <c:v>4.835172053192669</c:v>
                </c:pt>
                <c:pt idx="199">
                  <c:v>4.7840257340575585</c:v>
                </c:pt>
                <c:pt idx="200">
                  <c:v>4.7331632429886348</c:v>
                </c:pt>
                <c:pt idx="201">
                  <c:v>4.6825812639917714</c:v>
                </c:pt>
                <c:pt idx="202">
                  <c:v>4.6312015898667722</c:v>
                </c:pt>
                <c:pt idx="203">
                  <c:v>4.5801077646796653</c:v>
                </c:pt>
                <c:pt idx="204">
                  <c:v>4.5292964337383257</c:v>
                </c:pt>
                <c:pt idx="205">
                  <c:v>4.4787642999455581</c:v>
                </c:pt>
                <c:pt idx="206">
                  <c:v>4.4272815088644162</c:v>
                </c:pt>
                <c:pt idx="207">
                  <c:v>4.3760849232266121</c:v>
                </c:pt>
                <c:pt idx="208">
                  <c:v>4.3251711774360713</c:v>
                </c:pt>
                <c:pt idx="209">
                  <c:v>4.274536963736578</c:v>
                </c:pt>
                <c:pt idx="210">
                  <c:v>4.2228079145892394</c:v>
                </c:pt>
                <c:pt idx="211">
                  <c:v>4.1713669753440392</c:v>
                </c:pt>
                <c:pt idx="212">
                  <c:v>4.1202107419032696</c:v>
                </c:pt>
                <c:pt idx="213">
                  <c:v>4.069335868885851</c:v>
                </c:pt>
                <c:pt idx="214">
                  <c:v>4.0177332987027388</c:v>
                </c:pt>
                <c:pt idx="215">
                  <c:v>3.9664165690526616</c:v>
                </c:pt>
                <c:pt idx="216">
                  <c:v>3.9153823106967329</c:v>
                </c:pt>
                <c:pt idx="217">
                  <c:v>3.8646272123097454</c:v>
                </c:pt>
                <c:pt idx="218">
                  <c:v>3.8130002197454704</c:v>
                </c:pt>
                <c:pt idx="219">
                  <c:v>3.7616584354352396</c:v>
                </c:pt>
                <c:pt idx="220">
                  <c:v>3.7105984958669103</c:v>
                </c:pt>
                <c:pt idx="221">
                  <c:v>3.6598170953058111</c:v>
                </c:pt>
                <c:pt idx="222">
                  <c:v>3.608188164356068</c:v>
                </c:pt>
                <c:pt idx="223">
                  <c:v>3.5568435223661483</c:v>
                </c:pt>
                <c:pt idx="224">
                  <c:v>3.5057798163490332</c:v>
                </c:pt>
                <c:pt idx="225">
                  <c:v>3.4549937508492112</c:v>
                </c:pt>
                <c:pt idx="226">
                  <c:v>3.4032267059408672</c:v>
                </c:pt>
                <c:pt idx="227">
                  <c:v>3.3517444826890523</c:v>
                </c:pt>
                <c:pt idx="228">
                  <c:v>3.3005437127036554</c:v>
                </c:pt>
                <c:pt idx="229">
                  <c:v>3.2496210854715168</c:v>
                </c:pt>
                <c:pt idx="230">
                  <c:v>3.1461542724661014</c:v>
                </c:pt>
                <c:pt idx="231">
                  <c:v>3.094844962854606</c:v>
                </c:pt>
                <c:pt idx="232">
                  <c:v>3.0438139391321113</c:v>
                </c:pt>
                <c:pt idx="233">
                  <c:v>2.9918563637855393</c:v>
                </c:pt>
                <c:pt idx="234">
                  <c:v>2.9401835837952515</c:v>
                </c:pt>
                <c:pt idx="235">
                  <c:v>2.8887922182038568</c:v>
                </c:pt>
                <c:pt idx="236">
                  <c:v>2.837678944204312</c:v>
                </c:pt>
                <c:pt idx="237">
                  <c:v>2.7858118132459699</c:v>
                </c:pt>
                <c:pt idx="238">
                  <c:v>2.7342273642979547</c:v>
                </c:pt>
                <c:pt idx="239">
                  <c:v>2.6829222468755964</c:v>
                </c:pt>
                <c:pt idx="240">
                  <c:v>2.6318931679413078</c:v>
                </c:pt>
                <c:pt idx="241">
                  <c:v>2.5798426932739096</c:v>
                </c:pt>
                <c:pt idx="242">
                  <c:v>2.5280757172054793</c:v>
                </c:pt>
                <c:pt idx="243">
                  <c:v>2.4765888673744358</c:v>
                </c:pt>
                <c:pt idx="244">
                  <c:v>2.4253788293574314</c:v>
                </c:pt>
                <c:pt idx="245">
                  <c:v>2.3733166326879069</c:v>
                </c:pt>
                <c:pt idx="246">
                  <c:v>2.3215368293651868</c:v>
                </c:pt>
                <c:pt idx="247">
                  <c:v>2.2700360589053741</c:v>
                </c:pt>
                <c:pt idx="248">
                  <c:v>2.218811018483053</c:v>
                </c:pt>
                <c:pt idx="249">
                  <c:v>2.1666190933313505</c:v>
                </c:pt>
                <c:pt idx="250">
                  <c:v>2.1147096759842983</c:v>
                </c:pt>
                <c:pt idx="251">
                  <c:v>2.0630793957168847</c:v>
                </c:pt>
                <c:pt idx="252">
                  <c:v>2.0117249396871508</c:v>
                </c:pt>
                <c:pt idx="253">
                  <c:v>1.959564875415523</c:v>
                </c:pt>
                <c:pt idx="254">
                  <c:v>1.9076856307037973</c:v>
                </c:pt>
                <c:pt idx="255">
                  <c:v>1.8560838563194679</c:v>
                </c:pt>
                <c:pt idx="256">
                  <c:v>1.8047562604131928</c:v>
                </c:pt>
                <c:pt idx="257">
                  <c:v>1.7523804678691883</c:v>
                </c:pt>
                <c:pt idx="258">
                  <c:v>1.7002864047112776</c:v>
                </c:pt>
                <c:pt idx="259">
                  <c:v>1.6484706963513063</c:v>
                </c:pt>
                <c:pt idx="260">
                  <c:v>1.5969300261521546</c:v>
                </c:pt>
                <c:pt idx="261">
                  <c:v>1.5444990653763044</c:v>
                </c:pt>
                <c:pt idx="262">
                  <c:v>1.4923489493990143</c:v>
                </c:pt>
                <c:pt idx="263">
                  <c:v>1.4404763098646658</c:v>
                </c:pt>
                <c:pt idx="264">
                  <c:v>1.3888778362152761</c:v>
                </c:pt>
                <c:pt idx="265">
                  <c:v>1.3364127143175186</c:v>
                </c:pt>
                <c:pt idx="266">
                  <c:v>1.2842272624803128</c:v>
                </c:pt>
                <c:pt idx="267">
                  <c:v>1.2323181233171554</c:v>
                </c:pt>
                <c:pt idx="268">
                  <c:v>1.1806819969773239</c:v>
                </c:pt>
                <c:pt idx="269">
                  <c:v>1.1280782166293681</c:v>
                </c:pt>
                <c:pt idx="270">
                  <c:v>1.0757539707726189</c:v>
                </c:pt>
                <c:pt idx="271">
                  <c:v>1.0237058938056813</c:v>
                </c:pt>
                <c:pt idx="272">
                  <c:v>0.97193067783754938</c:v>
                </c:pt>
                <c:pt idx="273">
                  <c:v>0.91921354471242001</c:v>
                </c:pt>
                <c:pt idx="274">
                  <c:v>0.86677546148706475</c:v>
                </c:pt>
                <c:pt idx="275">
                  <c:v>0.81461306003882228</c:v>
                </c:pt>
                <c:pt idx="276">
                  <c:v>0.76272302999942698</c:v>
                </c:pt>
                <c:pt idx="277">
                  <c:v>0.7100344630400206</c:v>
                </c:pt>
                <c:pt idx="278">
                  <c:v>0.65762288971050575</c:v>
                </c:pt>
                <c:pt idx="279">
                  <c:v>0.60548496717857747</c:v>
                </c:pt>
                <c:pt idx="280">
                  <c:v>0.55361740977626561</c:v>
                </c:pt>
                <c:pt idx="281">
                  <c:v>0.50062291972733797</c:v>
                </c:pt>
                <c:pt idx="282">
                  <c:v>0.44790679412345052</c:v>
                </c:pt>
                <c:pt idx="283">
                  <c:v>0.3954656528242102</c:v>
                </c:pt>
                <c:pt idx="284">
                  <c:v>0.3432961736877807</c:v>
                </c:pt>
                <c:pt idx="285">
                  <c:v>0.29037116152067938</c:v>
                </c:pt>
                <c:pt idx="286">
                  <c:v>0.23772186535495773</c:v>
                </c:pt>
                <c:pt idx="287">
                  <c:v>0.18534493992687415</c:v>
                </c:pt>
                <c:pt idx="288">
                  <c:v>0.13323709716073526</c:v>
                </c:pt>
                <c:pt idx="289">
                  <c:v>8.0057861734748895E-2</c:v>
                </c:pt>
                <c:pt idx="290">
                  <c:v>2.7154975949025564E-2</c:v>
                </c:pt>
                <c:pt idx="291">
                  <c:v>-2.547493087728548E-2</c:v>
                </c:pt>
                <c:pt idx="292">
                  <c:v>-7.7835171676134088E-2</c:v>
                </c:pt>
                <c:pt idx="293">
                  <c:v>-0.13112972821859881</c:v>
                </c:pt>
                <c:pt idx="294">
                  <c:v>-0.18414884747887147</c:v>
                </c:pt>
                <c:pt idx="295">
                  <c:v>-0.2368958982068527</c:v>
                </c:pt>
                <c:pt idx="296">
                  <c:v>-0.28937419146630788</c:v>
                </c:pt>
                <c:pt idx="297">
                  <c:v>-0.34276328508953763</c:v>
                </c:pt>
                <c:pt idx="298">
                  <c:v>-0.3958781669880056</c:v>
                </c:pt>
                <c:pt idx="299">
                  <c:v>-0.44872219899706478</c:v>
                </c:pt>
                <c:pt idx="300">
                  <c:v>-0.50129868544327083</c:v>
                </c:pt>
                <c:pt idx="301">
                  <c:v>-0.55476340554644143</c:v>
                </c:pt>
                <c:pt idx="302">
                  <c:v>-0.60795543213335201</c:v>
                </c:pt>
                <c:pt idx="303">
                  <c:v>-0.66087811551198716</c:v>
                </c:pt>
                <c:pt idx="304">
                  <c:v>-0.71353474876479961</c:v>
                </c:pt>
                <c:pt idx="305">
                  <c:v>-0.76726330801292675</c:v>
                </c:pt>
                <c:pt idx="306">
                  <c:v>-0.82071888986961894</c:v>
                </c:pt>
                <c:pt idx="307">
                  <c:v>-0.87390486715605076</c:v>
                </c:pt>
                <c:pt idx="308">
                  <c:v>-0.92682455497890459</c:v>
                </c:pt>
                <c:pt idx="309">
                  <c:v>-0.98058802860475136</c:v>
                </c:pt>
                <c:pt idx="310">
                  <c:v>-1.0340806786857664</c:v>
                </c:pt>
                <c:pt idx="311">
                  <c:v>-1.0873058564879252</c:v>
                </c:pt>
                <c:pt idx="312">
                  <c:v>-1.1402668560767391</c:v>
                </c:pt>
                <c:pt idx="313">
                  <c:v>-1.1942490500611849</c:v>
                </c:pt>
                <c:pt idx="314">
                  <c:v>-1.2479608412484473</c:v>
                </c:pt>
                <c:pt idx="315">
                  <c:v>-1.3014055923568348</c:v>
                </c:pt>
                <c:pt idx="316">
                  <c:v>-1.3545866086699911</c:v>
                </c:pt>
                <c:pt idx="317">
                  <c:v>-1.4087640034985358</c:v>
                </c:pt>
                <c:pt idx="318">
                  <c:v>-1.462671787965071</c:v>
                </c:pt>
                <c:pt idx="319">
                  <c:v>-1.5163133304394585</c:v>
                </c:pt>
                <c:pt idx="320">
                  <c:v>-1.569691941756082</c:v>
                </c:pt>
                <c:pt idx="321">
                  <c:v>-1.6240431366542047</c:v>
                </c:pt>
                <c:pt idx="322">
                  <c:v>-1.6781258638077285</c:v>
                </c:pt>
                <c:pt idx="323">
                  <c:v>-1.7319434918084231</c:v>
                </c:pt>
                <c:pt idx="324">
                  <c:v>-1.7854993317367915</c:v>
                </c:pt>
                <c:pt idx="325">
                  <c:v>-1.8400049614282761</c:v>
                </c:pt>
                <c:pt idx="326">
                  <c:v>-1.8942435951272816</c:v>
                </c:pt>
                <c:pt idx="327">
                  <c:v>-1.94821859659012</c:v>
                </c:pt>
                <c:pt idx="328">
                  <c:v>-2.0019332722024501</c:v>
                </c:pt>
                <c:pt idx="329">
                  <c:v>-2.056667076254536</c:v>
                </c:pt>
                <c:pt idx="330">
                  <c:v>-2.1111347826325773</c:v>
                </c:pt>
                <c:pt idx="331">
                  <c:v>-2.1653397622797264</c:v>
                </c:pt>
                <c:pt idx="332">
                  <c:v>-2.2192853286381435</c:v>
                </c:pt>
                <c:pt idx="333">
                  <c:v>-2.2741371355776971</c:v>
                </c:pt>
                <c:pt idx="334">
                  <c:v>-2.3287249617543471</c:v>
                </c:pt>
                <c:pt idx="335">
                  <c:v>-2.3830521634617945</c:v>
                </c:pt>
                <c:pt idx="336">
                  <c:v>-2.4371220398589748</c:v>
                </c:pt>
                <c:pt idx="337">
                  <c:v>-2.4922536858984357</c:v>
                </c:pt>
                <c:pt idx="338">
                  <c:v>-2.5471220703833826</c:v>
                </c:pt>
                <c:pt idx="339">
                  <c:v>-2.6017305628755425</c:v>
                </c:pt>
                <c:pt idx="340">
                  <c:v>-2.6560824755374384</c:v>
                </c:pt>
                <c:pt idx="341">
                  <c:v>-2.7114722129322075</c:v>
                </c:pt>
                <c:pt idx="342">
                  <c:v>-2.7665997964443125</c:v>
                </c:pt>
                <c:pt idx="343">
                  <c:v>-2.8214686030472795</c:v>
                </c:pt>
                <c:pt idx="344">
                  <c:v>-2.8760819521853138</c:v>
                </c:pt>
                <c:pt idx="345">
                  <c:v>-2.9316257672706629</c:v>
                </c:pt>
                <c:pt idx="346">
                  <c:v>-2.9869096909977455</c:v>
                </c:pt>
                <c:pt idx="347">
                  <c:v>-3.0419370869893041</c:v>
                </c:pt>
                <c:pt idx="348">
                  <c:v>-3.0967112616800003</c:v>
                </c:pt>
                <c:pt idx="349">
                  <c:v>-3.1525622285243045</c:v>
                </c:pt>
                <c:pt idx="350">
                  <c:v>-3.2081543167943005</c:v>
                </c:pt>
                <c:pt idx="351">
                  <c:v>-3.263490902533924</c:v>
                </c:pt>
                <c:pt idx="352">
                  <c:v>-3.3185753043585602</c:v>
                </c:pt>
                <c:pt idx="353">
                  <c:v>-3.3747133840126331</c:v>
                </c:pt>
                <c:pt idx="354">
                  <c:v>-3.430593989067332</c:v>
                </c:pt>
                <c:pt idx="355">
                  <c:v>-3.4862205022067627</c:v>
                </c:pt>
                <c:pt idx="356">
                  <c:v>-3.5415962485778096</c:v>
                </c:pt>
                <c:pt idx="357">
                  <c:v>-3.597923688509757</c:v>
                </c:pt>
                <c:pt idx="358">
                  <c:v>-3.6539961488425812</c:v>
                </c:pt>
                <c:pt idx="359">
                  <c:v>-3.7098169992063839</c:v>
                </c:pt>
                <c:pt idx="360">
                  <c:v>-3.765389552031031</c:v>
                </c:pt>
                <c:pt idx="361">
                  <c:v>-3.8220519904004084</c:v>
                </c:pt>
                <c:pt idx="362">
                  <c:v>-3.8784608321687264</c:v>
                </c:pt>
                <c:pt idx="363">
                  <c:v>-3.9346194577331524</c:v>
                </c:pt>
                <c:pt idx="364">
                  <c:v>-3.9905311900897495</c:v>
                </c:pt>
                <c:pt idx="365">
                  <c:v>-4.0474336227388648</c:v>
                </c:pt>
                <c:pt idx="366">
                  <c:v>-4.1040849110778375</c:v>
                </c:pt>
                <c:pt idx="367">
                  <c:v>-4.1604884269668521</c:v>
                </c:pt>
                <c:pt idx="368">
                  <c:v>-4.2166474850992399</c:v>
                </c:pt>
                <c:pt idx="369">
                  <c:v>-4.2739299062572931</c:v>
                </c:pt>
                <c:pt idx="370">
                  <c:v>-4.330962630597389</c:v>
                </c:pt>
                <c:pt idx="371">
                  <c:v>-4.3877490437370525</c:v>
                </c:pt>
                <c:pt idx="372">
                  <c:v>-4.4442924738571961</c:v>
                </c:pt>
                <c:pt idx="373">
                  <c:v>-4.5018629021179581</c:v>
                </c:pt>
                <c:pt idx="374">
                  <c:v>-4.5591861271631622</c:v>
                </c:pt>
                <c:pt idx="375">
                  <c:v>-4.6162655294560704</c:v>
                </c:pt>
                <c:pt idx="376">
                  <c:v>-4.6731044321777349</c:v>
                </c:pt>
                <c:pt idx="377">
                  <c:v>-4.7310979879709132</c:v>
                </c:pt>
                <c:pt idx="378">
                  <c:v>-4.7888459298487467</c:v>
                </c:pt>
                <c:pt idx="379">
                  <c:v>-4.8463516540240654</c:v>
                </c:pt>
                <c:pt idx="380">
                  <c:v>-4.903618499107397</c:v>
                </c:pt>
                <c:pt idx="381">
                  <c:v>-4.9618744366700964</c:v>
                </c:pt>
                <c:pt idx="382">
                  <c:v>-5.0198879680590727</c:v>
                </c:pt>
                <c:pt idx="383">
                  <c:v>-5.0776624742372221</c:v>
                </c:pt>
                <c:pt idx="384">
                  <c:v>-5.1352012789386903</c:v>
                </c:pt>
                <c:pt idx="385">
                  <c:v>-5.193924958254275</c:v>
                </c:pt>
                <c:pt idx="386">
                  <c:v>-5.2524079972728233</c:v>
                </c:pt>
                <c:pt idx="387">
                  <c:v>-5.3106537943226524</c:v>
                </c:pt>
                <c:pt idx="388">
                  <c:v>-5.3686656901356038</c:v>
                </c:pt>
                <c:pt idx="389">
                  <c:v>-5.4277717869902702</c:v>
                </c:pt>
                <c:pt idx="390">
                  <c:v>-5.4866400049030624</c:v>
                </c:pt>
                <c:pt idx="391">
                  <c:v>-5.5452737414476507</c:v>
                </c:pt>
                <c:pt idx="392">
                  <c:v>-5.6036763366328657</c:v>
                </c:pt>
                <c:pt idx="393">
                  <c:v>-5.6631550079811452</c:v>
                </c:pt>
                <c:pt idx="394">
                  <c:v>-5.7223989223652572</c:v>
                </c:pt>
                <c:pt idx="395">
                  <c:v>-5.7814114715702516</c:v>
                </c:pt>
                <c:pt idx="396">
                  <c:v>-5.8401959899498941</c:v>
                </c:pt>
                <c:pt idx="397">
                  <c:v>-5.9001746705975231</c:v>
                </c:pt>
                <c:pt idx="398">
                  <c:v>-5.9599210162090168</c:v>
                </c:pt>
                <c:pt idx="399">
                  <c:v>-6.0194384308607907</c:v>
                </c:pt>
                <c:pt idx="400">
                  <c:v>-6.0787302609099694</c:v>
                </c:pt>
                <c:pt idx="401">
                  <c:v>-6.1391306540450108</c:v>
                </c:pt>
                <c:pt idx="402">
                  <c:v>-6.1993020612873142</c:v>
                </c:pt>
                <c:pt idx="403">
                  <c:v>-6.259247881822974</c:v>
                </c:pt>
                <c:pt idx="404">
                  <c:v>-6.3189714571999875</c:v>
                </c:pt>
                <c:pt idx="405">
                  <c:v>-6.3798527481692426</c:v>
                </c:pt>
                <c:pt idx="406">
                  <c:v>-6.4405082701285892</c:v>
                </c:pt>
                <c:pt idx="407">
                  <c:v>-6.5009414233228284</c:v>
                </c:pt>
                <c:pt idx="408">
                  <c:v>-6.5611555502837238</c:v>
                </c:pt>
                <c:pt idx="409">
                  <c:v>-6.6225752528543138</c:v>
                </c:pt>
                <c:pt idx="410">
                  <c:v>-6.6837723192218288</c:v>
                </c:pt>
                <c:pt idx="411">
                  <c:v>-6.7447501558974023</c:v>
                </c:pt>
                <c:pt idx="412">
                  <c:v>-6.8055121114594339</c:v>
                </c:pt>
                <c:pt idx="413">
                  <c:v>-6.8674626559554763</c:v>
                </c:pt>
                <c:pt idx="414">
                  <c:v>-6.9291941063776985</c:v>
                </c:pt>
                <c:pt idx="415">
                  <c:v>-6.9907098695573815</c:v>
                </c:pt>
                <c:pt idx="416">
                  <c:v>-7.052013294274758</c:v>
                </c:pt>
                <c:pt idx="417">
                  <c:v>-7.1145523023311341</c:v>
                </c:pt>
                <c:pt idx="418">
                  <c:v>-7.1768757143418664</c:v>
                </c:pt>
                <c:pt idx="419">
                  <c:v>-7.2389869419448409</c:v>
                </c:pt>
                <c:pt idx="420">
                  <c:v>-7.300889338467206</c:v>
                </c:pt>
                <c:pt idx="421">
                  <c:v>-7.3639494242436543</c:v>
                </c:pt>
                <c:pt idx="422">
                  <c:v>-7.4267982360319333</c:v>
                </c:pt>
                <c:pt idx="423">
                  <c:v>-7.4894391740962654</c:v>
                </c:pt>
                <c:pt idx="424">
                  <c:v>-7.5518755804514122</c:v>
                </c:pt>
                <c:pt idx="425">
                  <c:v>-7.6156396077843933</c:v>
                </c:pt>
                <c:pt idx="426">
                  <c:v>-7.6791958353303347</c:v>
                </c:pt>
                <c:pt idx="427">
                  <c:v>-7.7425476758455378</c:v>
                </c:pt>
                <c:pt idx="428">
                  <c:v>-7.8056984832980545</c:v>
                </c:pt>
                <c:pt idx="429">
                  <c:v>-7.8701006157068942</c:v>
                </c:pt>
                <c:pt idx="430">
                  <c:v>-7.9342992574331461</c:v>
                </c:pt>
                <c:pt idx="431">
                  <c:v>-7.9982978169610242</c:v>
                </c:pt>
                <c:pt idx="432">
                  <c:v>-8.0620996437641974</c:v>
                </c:pt>
                <c:pt idx="433">
                  <c:v>-8.1271392544839021</c:v>
                </c:pt>
                <c:pt idx="434">
                  <c:v>-8.1919800655076944</c:v>
                </c:pt>
                <c:pt idx="435">
                  <c:v>-8.2566254746102103</c:v>
                </c:pt>
                <c:pt idx="436">
                  <c:v>-8.3210788204054627</c:v>
                </c:pt>
                <c:pt idx="437">
                  <c:v>-8.3868754267140275</c:v>
                </c:pt>
                <c:pt idx="438">
                  <c:v>-8.4524775879538634</c:v>
                </c:pt>
                <c:pt idx="439">
                  <c:v>-8.5178887029510832</c:v>
                </c:pt>
                <c:pt idx="440">
                  <c:v>-8.583112110858913</c:v>
                </c:pt>
                <c:pt idx="441">
                  <c:v>-8.6496655221131586</c:v>
                </c:pt>
                <c:pt idx="442">
                  <c:v>-8.7160292590824131</c:v>
                </c:pt>
                <c:pt idx="443">
                  <c:v>-8.7822067140032303</c:v>
                </c:pt>
                <c:pt idx="444">
                  <c:v>-8.8482012189996144</c:v>
                </c:pt>
                <c:pt idx="445">
                  <c:v>-8.9155137033071572</c:v>
                </c:pt>
                <c:pt idx="446">
                  <c:v>-8.982641668619781</c:v>
                </c:pt>
                <c:pt idx="447">
                  <c:v>-9.0495884929591135</c:v>
                </c:pt>
                <c:pt idx="448">
                  <c:v>-9.1163574938551015</c:v>
                </c:pt>
                <c:pt idx="449">
                  <c:v>-9.1845476217367796</c:v>
                </c:pt>
                <c:pt idx="450">
                  <c:v>-9.2525581424045011</c:v>
                </c:pt>
                <c:pt idx="451">
                  <c:v>-9.3203924287770619</c:v>
                </c:pt>
                <c:pt idx="452">
                  <c:v>-9.3880537925466374</c:v>
                </c:pt>
                <c:pt idx="453">
                  <c:v>-9.4570684672153575</c:v>
                </c:pt>
                <c:pt idx="454">
                  <c:v>-9.5259091305774994</c:v>
                </c:pt>
                <c:pt idx="455">
                  <c:v>-9.5945791332391046</c:v>
                </c:pt>
                <c:pt idx="456">
                  <c:v>-9.6630817641024507</c:v>
                </c:pt>
                <c:pt idx="457">
                  <c:v>-9.733040064569785</c:v>
                </c:pt>
                <c:pt idx="458">
                  <c:v>-9.8028297376461797</c:v>
                </c:pt>
                <c:pt idx="459">
                  <c:v>-9.8724541189629349</c:v>
                </c:pt>
                <c:pt idx="460">
                  <c:v>-9.9419164816130188</c:v>
                </c:pt>
                <c:pt idx="461">
                  <c:v>-10.012824736593767</c:v>
                </c:pt>
                <c:pt idx="462">
                  <c:v>-10.083570111593509</c:v>
                </c:pt>
                <c:pt idx="463">
                  <c:v>-10.154155917260857</c:v>
                </c:pt>
                <c:pt idx="464">
                  <c:v>-10.224585400917457</c:v>
                </c:pt>
                <c:pt idx="465">
                  <c:v>-10.296507038422595</c:v>
                </c:pt>
                <c:pt idx="466">
                  <c:v>-10.368271624899032</c:v>
                </c:pt>
                <c:pt idx="467">
                  <c:v>-10.439882443238231</c:v>
                </c:pt>
                <c:pt idx="468">
                  <c:v>-10.511342712059664</c:v>
                </c:pt>
                <c:pt idx="469">
                  <c:v>-10.584287004390244</c:v>
                </c:pt>
                <c:pt idx="470">
                  <c:v>-10.657080384770888</c:v>
                </c:pt>
                <c:pt idx="471">
                  <c:v>-10.729726097183342</c:v>
                </c:pt>
                <c:pt idx="472">
                  <c:v>-10.802227320431273</c:v>
                </c:pt>
                <c:pt idx="473">
                  <c:v>-10.876313462686189</c:v>
                </c:pt>
                <c:pt idx="474">
                  <c:v>-10.950254672728724</c:v>
                </c:pt>
                <c:pt idx="475">
                  <c:v>-11.024054158068701</c:v>
                </c:pt>
                <c:pt idx="476">
                  <c:v>-11.097715059783679</c:v>
                </c:pt>
                <c:pt idx="477">
                  <c:v>-11.172953738979412</c:v>
                </c:pt>
                <c:pt idx="478">
                  <c:v>-11.248053742141886</c:v>
                </c:pt>
                <c:pt idx="479">
                  <c:v>-11.323018227129907</c:v>
                </c:pt>
                <c:pt idx="480">
                  <c:v>-11.397850284161983</c:v>
                </c:pt>
                <c:pt idx="481">
                  <c:v>-11.474254076685238</c:v>
                </c:pt>
                <c:pt idx="482">
                  <c:v>-11.550525663562416</c:v>
                </c:pt>
                <c:pt idx="483">
                  <c:v>-11.626668139479024</c:v>
                </c:pt>
                <c:pt idx="484">
                  <c:v>-11.702684530320724</c:v>
                </c:pt>
                <c:pt idx="485">
                  <c:v>-11.78032043544793</c:v>
                </c:pt>
                <c:pt idx="486">
                  <c:v>-11.857830584641615</c:v>
                </c:pt>
                <c:pt idx="487">
                  <c:v>-11.935218001676407</c:v>
                </c:pt>
                <c:pt idx="488">
                  <c:v>-12.012485640233599</c:v>
                </c:pt>
                <c:pt idx="489">
                  <c:v>-12.091473155698058</c:v>
                </c:pt>
                <c:pt idx="490">
                  <c:v>-12.170341163267214</c:v>
                </c:pt>
                <c:pt idx="491">
                  <c:v>-12.24909261249798</c:v>
                </c:pt>
                <c:pt idx="492">
                  <c:v>-12.327730381254939</c:v>
                </c:pt>
                <c:pt idx="493">
                  <c:v>-12.408083400107181</c:v>
                </c:pt>
                <c:pt idx="494">
                  <c:v>-12.488323258325968</c:v>
                </c:pt>
                <c:pt idx="495">
                  <c:v>-12.568452814444681</c:v>
                </c:pt>
                <c:pt idx="496">
                  <c:v>-12.648474853803489</c:v>
                </c:pt>
                <c:pt idx="497">
                  <c:v>-12.730260265897801</c:v>
                </c:pt>
                <c:pt idx="498">
                  <c:v>-12.811938745700413</c:v>
                </c:pt>
                <c:pt idx="499">
                  <c:v>-12.893513048850805</c:v>
                </c:pt>
                <c:pt idx="500">
                  <c:v>-12.974985856227949</c:v>
                </c:pt>
                <c:pt idx="501">
                  <c:v>-13.058270248410459</c:v>
                </c:pt>
                <c:pt idx="502">
                  <c:v>-13.141453768510116</c:v>
                </c:pt>
                <c:pt idx="503">
                  <c:v>-13.224539056084295</c:v>
                </c:pt>
                <c:pt idx="504">
                  <c:v>-13.307528674331429</c:v>
                </c:pt>
                <c:pt idx="505">
                  <c:v>-13.392326746561823</c:v>
                </c:pt>
                <c:pt idx="506">
                  <c:v>-13.477029894490823</c:v>
                </c:pt>
                <c:pt idx="507">
                  <c:v>-13.561640622681431</c:v>
                </c:pt>
                <c:pt idx="508">
                  <c:v>-13.646161357938391</c:v>
                </c:pt>
                <c:pt idx="509">
                  <c:v>-13.732539134774777</c:v>
                </c:pt>
                <c:pt idx="510">
                  <c:v>-13.818827618522416</c:v>
                </c:pt>
                <c:pt idx="511">
                  <c:v>-13.905029164135092</c:v>
                </c:pt>
                <c:pt idx="512">
                  <c:v>-13.991146047467195</c:v>
                </c:pt>
                <c:pt idx="513">
                  <c:v>-14.079219422253185</c:v>
                </c:pt>
                <c:pt idx="514">
                  <c:v>-14.167208651375535</c:v>
                </c:pt>
                <c:pt idx="515">
                  <c:v>-14.255115928395998</c:v>
                </c:pt>
                <c:pt idx="516">
                  <c:v>-14.342943366368592</c:v>
                </c:pt>
                <c:pt idx="517">
                  <c:v>-14.432724510929765</c:v>
                </c:pt>
                <c:pt idx="518">
                  <c:v>-14.52242629914654</c:v>
                </c:pt>
                <c:pt idx="519">
                  <c:v>-14.612050742661038</c:v>
                </c:pt>
                <c:pt idx="520">
                  <c:v>-14.701599771574191</c:v>
                </c:pt>
                <c:pt idx="521">
                  <c:v>-14.7931504914862</c:v>
                </c:pt>
                <c:pt idx="522">
                  <c:v>-14.884626090350903</c:v>
                </c:pt>
                <c:pt idx="523">
                  <c:v>-14.976028381255313</c:v>
                </c:pt>
                <c:pt idx="524">
                  <c:v>-15.067359094973</c:v>
                </c:pt>
                <c:pt idx="525">
                  <c:v>-15.160739059513224</c:v>
                </c:pt>
                <c:pt idx="526">
                  <c:v>-15.254047492571974</c:v>
                </c:pt>
                <c:pt idx="527">
                  <c:v>-15.347285991952075</c:v>
                </c:pt>
                <c:pt idx="528">
                  <c:v>-15.440456072714277</c:v>
                </c:pt>
                <c:pt idx="529">
                  <c:v>-15.535722401380848</c:v>
                </c:pt>
                <c:pt idx="530">
                  <c:v>-15.630920045980684</c:v>
                </c:pt>
                <c:pt idx="531">
                  <c:v>-15.726050372584627</c:v>
                </c:pt>
                <c:pt idx="532">
                  <c:v>-15.821114664524483</c:v>
                </c:pt>
                <c:pt idx="533">
                  <c:v>-15.918371652103438</c:v>
                </c:pt>
                <c:pt idx="534">
                  <c:v>-16.015561893000154</c:v>
                </c:pt>
                <c:pt idx="535">
                  <c:v>-16.112686507478873</c:v>
                </c:pt>
                <c:pt idx="536">
                  <c:v>-16.209746533423083</c:v>
                </c:pt>
                <c:pt idx="537">
                  <c:v>-16.308944385253426</c:v>
                </c:pt>
                <c:pt idx="538">
                  <c:v>-16.408076623384595</c:v>
                </c:pt>
                <c:pt idx="539">
                  <c:v>-16.507144104194428</c:v>
                </c:pt>
                <c:pt idx="540">
                  <c:v>-16.60614760299292</c:v>
                </c:pt>
                <c:pt idx="541">
                  <c:v>-16.707433264221159</c:v>
                </c:pt>
                <c:pt idx="542">
                  <c:v>-16.808653266546912</c:v>
                </c:pt>
                <c:pt idx="543">
                  <c:v>-16.909808192190944</c:v>
                </c:pt>
                <c:pt idx="544">
                  <c:v>-17.010898543996461</c:v>
                </c:pt>
                <c:pt idx="545">
                  <c:v>-17.114264173698004</c:v>
                </c:pt>
                <c:pt idx="546">
                  <c:v>-17.217563024014751</c:v>
                </c:pt>
                <c:pt idx="547">
                  <c:v>-17.3207953908889</c:v>
                </c:pt>
                <c:pt idx="548">
                  <c:v>-17.423961493528182</c:v>
                </c:pt>
                <c:pt idx="549">
                  <c:v>-17.529444510215896</c:v>
                </c:pt>
                <c:pt idx="550">
                  <c:v>-17.63485839201498</c:v>
                </c:pt>
                <c:pt idx="551">
                  <c:v>-17.740203140559348</c:v>
                </c:pt>
                <c:pt idx="552">
                  <c:v>-17.84547868424902</c:v>
                </c:pt>
                <c:pt idx="553">
                  <c:v>-17.953160649248293</c:v>
                </c:pt>
                <c:pt idx="554">
                  <c:v>-18.060769737341658</c:v>
                </c:pt>
                <c:pt idx="555">
                  <c:v>-18.168305650547822</c:v>
                </c:pt>
                <c:pt idx="556">
                  <c:v>-18.275768021940394</c:v>
                </c:pt>
                <c:pt idx="557">
                  <c:v>-18.495503473286988</c:v>
                </c:pt>
                <c:pt idx="558">
                  <c:v>-18.714924383127716</c:v>
                </c:pt>
                <c:pt idx="559">
                  <c:v>-18.93904349120233</c:v>
                </c:pt>
                <c:pt idx="560">
                  <c:v>-19.162820729539355</c:v>
                </c:pt>
                <c:pt idx="561">
                  <c:v>-19.391544929838716</c:v>
                </c:pt>
                <c:pt idx="562">
                  <c:v>-19.619893287965503</c:v>
                </c:pt>
                <c:pt idx="563">
                  <c:v>-19.852743266871371</c:v>
                </c:pt>
                <c:pt idx="564">
                  <c:v>-20.085178981429447</c:v>
                </c:pt>
                <c:pt idx="565">
                  <c:v>-20.323031561551176</c:v>
                </c:pt>
                <c:pt idx="566">
                  <c:v>-20.560422088440543</c:v>
                </c:pt>
                <c:pt idx="567">
                  <c:v>-20.80315587307016</c:v>
                </c:pt>
                <c:pt idx="568">
                  <c:v>-21.045373691058543</c:v>
                </c:pt>
                <c:pt idx="569">
                  <c:v>-21.291887463539684</c:v>
                </c:pt>
                <c:pt idx="570">
                  <c:v>-21.537829975137214</c:v>
                </c:pt>
                <c:pt idx="571">
                  <c:v>-21.789910196063023</c:v>
                </c:pt>
                <c:pt idx="572">
                  <c:v>-22.041349252272205</c:v>
                </c:pt>
                <c:pt idx="573">
                  <c:v>-22.296907036095774</c:v>
                </c:pt>
                <c:pt idx="574">
                  <c:v>-22.551758316812528</c:v>
                </c:pt>
                <c:pt idx="575">
                  <c:v>-22.812535240025554</c:v>
                </c:pt>
                <c:pt idx="576">
                  <c:v>-23.072524993007452</c:v>
                </c:pt>
                <c:pt idx="577">
                  <c:v>-24.164006524297715</c:v>
                </c:pt>
                <c:pt idx="578">
                  <c:v>-25.239481144306453</c:v>
                </c:pt>
                <c:pt idx="579">
                  <c:v>-27.534114205755124</c:v>
                </c:pt>
                <c:pt idx="580">
                  <c:v>-29.945325896131813</c:v>
                </c:pt>
                <c:pt idx="581">
                  <c:v>-32.452233715524507</c:v>
                </c:pt>
                <c:pt idx="582">
                  <c:v>-35.038065738698322</c:v>
                </c:pt>
                <c:pt idx="583">
                  <c:v>-37.68304652390983</c:v>
                </c:pt>
                <c:pt idx="584">
                  <c:v>-40.372683111752998</c:v>
                </c:pt>
                <c:pt idx="585">
                  <c:v>-43.090792758747369</c:v>
                </c:pt>
                <c:pt idx="586">
                  <c:v>-45.825100926464287</c:v>
                </c:pt>
                <c:pt idx="587">
                  <c:v>-48.566384141603109</c:v>
                </c:pt>
                <c:pt idx="588">
                  <c:v>-51.303214810952923</c:v>
                </c:pt>
                <c:pt idx="589">
                  <c:v>-54.030735054803259</c:v>
                </c:pt>
                <c:pt idx="590">
                  <c:v>-56.742464958918468</c:v>
                </c:pt>
                <c:pt idx="591">
                  <c:v>-59.434669886525668</c:v>
                </c:pt>
                <c:pt idx="592">
                  <c:v>-62.104337649259477</c:v>
                </c:pt>
                <c:pt idx="593">
                  <c:v>-64.750766687893616</c:v>
                </c:pt>
                <c:pt idx="594">
                  <c:v>-67.372750971456753</c:v>
                </c:pt>
                <c:pt idx="595">
                  <c:v>-69.971121704217609</c:v>
                </c:pt>
                <c:pt idx="596">
                  <c:v>-72.546276942862335</c:v>
                </c:pt>
                <c:pt idx="597">
                  <c:v>-75.100142038072903</c:v>
                </c:pt>
                <c:pt idx="598">
                  <c:v>-77.633753527539142</c:v>
                </c:pt>
                <c:pt idx="599">
                  <c:v>-80.149584667919044</c:v>
                </c:pt>
                <c:pt idx="600">
                  <c:v>-82.64912481580626</c:v>
                </c:pt>
              </c:numCache>
            </c:numRef>
          </c:yVal>
          <c:smooth val="1"/>
          <c:extLst>
            <c:ext xmlns:c16="http://schemas.microsoft.com/office/drawing/2014/chart" uri="{C3380CC4-5D6E-409C-BE32-E72D297353CC}">
              <c16:uniqueId val="{00000002-4B49-4ADE-B8CD-DD5F374AD671}"/>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2368.3771320499459</c:v>
                </c:pt>
              </c:numCache>
            </c:numRef>
          </c:xVal>
          <c:yVal>
            <c:numRef>
              <c:f>'Stability Calculations'!$D$635</c:f>
              <c:numCache>
                <c:formatCode>0.00</c:formatCode>
                <c:ptCount val="1"/>
                <c:pt idx="0">
                  <c:v>19.178322513629983</c:v>
                </c:pt>
              </c:numCache>
            </c:numRef>
          </c:yVal>
          <c:smooth val="1"/>
          <c:extLst>
            <c:ext xmlns:c16="http://schemas.microsoft.com/office/drawing/2014/chart" uri="{C3380CC4-5D6E-409C-BE32-E72D297353CC}">
              <c16:uniqueId val="{00000004-4B49-4ADE-B8CD-DD5F374AD671}"/>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0.000</c:formatCode>
                <c:ptCount val="1"/>
                <c:pt idx="0">
                  <c:v>0.44398746460975064</c:v>
                </c:pt>
              </c:numCache>
            </c:numRef>
          </c:xVal>
          <c:yVal>
            <c:numRef>
              <c:f>'Stability Calculations'!$Q$624</c:f>
              <c:numCache>
                <c:formatCode>0.00</c:formatCode>
                <c:ptCount val="1"/>
                <c:pt idx="0">
                  <c:v>90.829337437394514</c:v>
                </c:pt>
              </c:numCache>
            </c:numRef>
          </c:yVal>
          <c:smooth val="1"/>
          <c:extLst>
            <c:ext xmlns:c16="http://schemas.microsoft.com/office/drawing/2014/chart" uri="{C3380CC4-5D6E-409C-BE32-E72D297353CC}">
              <c16:uniqueId val="{00000006-4B49-4ADE-B8CD-DD5F374AD671}"/>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49-4ADE-B8CD-DD5F374AD671}"/>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2306.4040504988106</c:v>
                </c:pt>
              </c:numCache>
            </c:numRef>
          </c:xVal>
          <c:yVal>
            <c:numRef>
              <c:f>'Stability Calculations'!$D$632</c:f>
              <c:numCache>
                <c:formatCode>0.00</c:formatCode>
                <c:ptCount val="1"/>
                <c:pt idx="0">
                  <c:v>19.411841391193679</c:v>
                </c:pt>
              </c:numCache>
            </c:numRef>
          </c:yVal>
          <c:smooth val="1"/>
          <c:extLst>
            <c:ext xmlns:c16="http://schemas.microsoft.com/office/drawing/2014/chart" uri="{C3380CC4-5D6E-409C-BE32-E72D297353CC}">
              <c16:uniqueId val="{00000008-4B49-4ADE-B8CD-DD5F374AD671}"/>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49-4ADE-B8CD-DD5F374AD671}"/>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390085.64527881466</c:v>
                </c:pt>
              </c:numCache>
            </c:numRef>
          </c:xVal>
          <c:yVal>
            <c:numRef>
              <c:f>'Stability Calculations'!$Q$623</c:f>
              <c:numCache>
                <c:formatCode>0.00</c:formatCode>
                <c:ptCount val="1"/>
                <c:pt idx="0">
                  <c:v>-56.144538357719497</c:v>
                </c:pt>
              </c:numCache>
            </c:numRef>
          </c:yVal>
          <c:smooth val="1"/>
          <c:extLst>
            <c:ext xmlns:c16="http://schemas.microsoft.com/office/drawing/2014/chart" uri="{C3380CC4-5D6E-409C-BE32-E72D297353CC}">
              <c16:uniqueId val="{0000000A-4B49-4ADE-B8CD-DD5F374AD671}"/>
            </c:ext>
          </c:extLst>
        </c:ser>
        <c:dLbls>
          <c:showLegendKey val="0"/>
          <c:showVal val="0"/>
          <c:showCatName val="0"/>
          <c:showSerName val="0"/>
          <c:showPercent val="0"/>
          <c:showBubbleSize val="0"/>
        </c:dLbls>
        <c:axId val="165647872"/>
        <c:axId val="165649792"/>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Calculations'!$R$13:$R$613</c:f>
              <c:numCache>
                <c:formatCode>0.00</c:formatCode>
                <c:ptCount val="601"/>
                <c:pt idx="0">
                  <c:v>-66.061249339782549</c:v>
                </c:pt>
                <c:pt idx="1">
                  <c:v>-67.958369755150116</c:v>
                </c:pt>
                <c:pt idx="2">
                  <c:v>-69.733980155516448</c:v>
                </c:pt>
                <c:pt idx="3">
                  <c:v>-71.389564011514437</c:v>
                </c:pt>
                <c:pt idx="4">
                  <c:v>-72.92717342315062</c:v>
                </c:pt>
                <c:pt idx="5">
                  <c:v>-74.353495234145811</c:v>
                </c:pt>
                <c:pt idx="6">
                  <c:v>-75.671435457558573</c:v>
                </c:pt>
                <c:pt idx="7">
                  <c:v>-76.887485451052513</c:v>
                </c:pt>
                <c:pt idx="8">
                  <c:v>-78.006714275016691</c:v>
                </c:pt>
                <c:pt idx="9">
                  <c:v>-79.036060878431613</c:v>
                </c:pt>
                <c:pt idx="10">
                  <c:v>-79.980991421985323</c:v>
                </c:pt>
                <c:pt idx="11">
                  <c:v>-80.847636987620319</c:v>
                </c:pt>
                <c:pt idx="12">
                  <c:v>-81.642180031692561</c:v>
                </c:pt>
                <c:pt idx="13">
                  <c:v>-82.369378479478414</c:v>
                </c:pt>
                <c:pt idx="14">
                  <c:v>-83.035066722200767</c:v>
                </c:pt>
                <c:pt idx="15">
                  <c:v>-83.643897615217583</c:v>
                </c:pt>
                <c:pt idx="16">
                  <c:v>-84.200543629170213</c:v>
                </c:pt>
                <c:pt idx="17">
                  <c:v>-84.709238971976944</c:v>
                </c:pt>
                <c:pt idx="18">
                  <c:v>-85.174127158543726</c:v>
                </c:pt>
                <c:pt idx="19">
                  <c:v>-85.598781087136729</c:v>
                </c:pt>
                <c:pt idx="20">
                  <c:v>-85.986705322763655</c:v>
                </c:pt>
                <c:pt idx="21">
                  <c:v>-86.340972595603745</c:v>
                </c:pt>
                <c:pt idx="22">
                  <c:v>-86.664558704167121</c:v>
                </c:pt>
                <c:pt idx="23">
                  <c:v>-86.960049612174302</c:v>
                </c:pt>
                <c:pt idx="24">
                  <c:v>-87.229967835653994</c:v>
                </c:pt>
                <c:pt idx="25">
                  <c:v>-87.476512379952226</c:v>
                </c:pt>
                <c:pt idx="26">
                  <c:v>-87.701792660724308</c:v>
                </c:pt>
                <c:pt idx="27">
                  <c:v>-87.90761961284116</c:v>
                </c:pt>
                <c:pt idx="28">
                  <c:v>-88.095733486547147</c:v>
                </c:pt>
                <c:pt idx="29">
                  <c:v>-88.267617097176711</c:v>
                </c:pt>
                <c:pt idx="30">
                  <c:v>-88.425001928672984</c:v>
                </c:pt>
                <c:pt idx="31">
                  <c:v>-88.568981239497887</c:v>
                </c:pt>
                <c:pt idx="32">
                  <c:v>-88.700870970084566</c:v>
                </c:pt>
                <c:pt idx="33">
                  <c:v>-88.821693677608664</c:v>
                </c:pt>
                <c:pt idx="34">
                  <c:v>-88.932565989748426</c:v>
                </c:pt>
                <c:pt idx="35">
                  <c:v>-89.034361567568681</c:v>
                </c:pt>
                <c:pt idx="36">
                  <c:v>-89.127961505512502</c:v>
                </c:pt>
                <c:pt idx="37">
                  <c:v>-89.214204467167718</c:v>
                </c:pt>
                <c:pt idx="38">
                  <c:v>-89.293738878432364</c:v>
                </c:pt>
                <c:pt idx="39">
                  <c:v>-89.367304792626413</c:v>
                </c:pt>
                <c:pt idx="40">
                  <c:v>-89.435495720991184</c:v>
                </c:pt>
                <c:pt idx="41">
                  <c:v>-89.498896125720321</c:v>
                </c:pt>
                <c:pt idx="42">
                  <c:v>-89.55803554910311</c:v>
                </c:pt>
                <c:pt idx="43">
                  <c:v>-89.613432674171662</c:v>
                </c:pt>
                <c:pt idx="44">
                  <c:v>-89.66554210615439</c:v>
                </c:pt>
                <c:pt idx="45">
                  <c:v>-89.714816257698203</c:v>
                </c:pt>
                <c:pt idx="46">
                  <c:v>-89.761662846878991</c:v>
                </c:pt>
                <c:pt idx="47">
                  <c:v>-89.806488959765971</c:v>
                </c:pt>
                <c:pt idx="48">
                  <c:v>-89.84966322001668</c:v>
                </c:pt>
                <c:pt idx="49">
                  <c:v>-89.891562111500178</c:v>
                </c:pt>
                <c:pt idx="50">
                  <c:v>-89.932533216096189</c:v>
                </c:pt>
                <c:pt idx="51">
                  <c:v>-89.972931884381481</c:v>
                </c:pt>
                <c:pt idx="52">
                  <c:v>-90.013085657848393</c:v>
                </c:pt>
                <c:pt idx="53">
                  <c:v>-90.05333374047936</c:v>
                </c:pt>
                <c:pt idx="54">
                  <c:v>-90.093987890182632</c:v>
                </c:pt>
                <c:pt idx="55">
                  <c:v>-90.135456618761296</c:v>
                </c:pt>
                <c:pt idx="56">
                  <c:v>-90.178026926072476</c:v>
                </c:pt>
                <c:pt idx="57">
                  <c:v>-90.22207899968717</c:v>
                </c:pt>
                <c:pt idx="58">
                  <c:v>-90.267941698436303</c:v>
                </c:pt>
                <c:pt idx="59">
                  <c:v>-90.316022263226785</c:v>
                </c:pt>
                <c:pt idx="60">
                  <c:v>-90.366679366169777</c:v>
                </c:pt>
                <c:pt idx="61">
                  <c:v>-90.420319875820638</c:v>
                </c:pt>
                <c:pt idx="62">
                  <c:v>-90.477391336169816</c:v>
                </c:pt>
                <c:pt idx="63">
                  <c:v>-90.538273199134409</c:v>
                </c:pt>
                <c:pt idx="64">
                  <c:v>-90.603465190969757</c:v>
                </c:pt>
                <c:pt idx="65">
                  <c:v>-90.673413207327073</c:v>
                </c:pt>
                <c:pt idx="66">
                  <c:v>-90.748607980667344</c:v>
                </c:pt>
                <c:pt idx="67">
                  <c:v>-90.829537068097693</c:v>
                </c:pt>
                <c:pt idx="68">
                  <c:v>-90.916733796719583</c:v>
                </c:pt>
                <c:pt idx="69">
                  <c:v>-91.010690147503368</c:v>
                </c:pt>
                <c:pt idx="70">
                  <c:v>-91.111938798531568</c:v>
                </c:pt>
                <c:pt idx="71">
                  <c:v>-91.220964453576116</c:v>
                </c:pt>
                <c:pt idx="72">
                  <c:v>-91.338279008581225</c:v>
                </c:pt>
                <c:pt idx="73">
                  <c:v>-91.464316028639331</c:v>
                </c:pt>
                <c:pt idx="74">
                  <c:v>-91.599537408331372</c:v>
                </c:pt>
                <c:pt idx="75">
                  <c:v>-91.744316117289614</c:v>
                </c:pt>
                <c:pt idx="76">
                  <c:v>-91.899044988849255</c:v>
                </c:pt>
                <c:pt idx="77">
                  <c:v>-92.064006201038083</c:v>
                </c:pt>
                <c:pt idx="78">
                  <c:v>-92.239528037028066</c:v>
                </c:pt>
                <c:pt idx="79">
                  <c:v>-92.425843548112155</c:v>
                </c:pt>
                <c:pt idx="80">
                  <c:v>-92.623708000224255</c:v>
                </c:pt>
                <c:pt idx="81">
                  <c:v>-92.83343563620042</c:v>
                </c:pt>
                <c:pt idx="82">
                  <c:v>-93.055968055587542</c:v>
                </c:pt>
                <c:pt idx="83">
                  <c:v>-93.292243844585144</c:v>
                </c:pt>
                <c:pt idx="84">
                  <c:v>-93.543916239625574</c:v>
                </c:pt>
                <c:pt idx="85">
                  <c:v>-93.812749868417697</c:v>
                </c:pt>
                <c:pt idx="86">
                  <c:v>-94.101149260243062</c:v>
                </c:pt>
                <c:pt idx="87">
                  <c:v>-94.412133875041349</c:v>
                </c:pt>
                <c:pt idx="88">
                  <c:v>-94.748725512332172</c:v>
                </c:pt>
                <c:pt idx="89">
                  <c:v>-95.114946856993313</c:v>
                </c:pt>
                <c:pt idx="90">
                  <c:v>-95.514829031928443</c:v>
                </c:pt>
                <c:pt idx="91">
                  <c:v>-95.952926475374369</c:v>
                </c:pt>
                <c:pt idx="92">
                  <c:v>-96.434029975174752</c:v>
                </c:pt>
                <c:pt idx="93">
                  <c:v>-96.963465007859924</c:v>
                </c:pt>
                <c:pt idx="94">
                  <c:v>-97.103944092942967</c:v>
                </c:pt>
                <c:pt idx="95">
                  <c:v>-97.175915544993771</c:v>
                </c:pt>
                <c:pt idx="96">
                  <c:v>-97.247931456853394</c:v>
                </c:pt>
                <c:pt idx="97">
                  <c:v>-97.321663057405814</c:v>
                </c:pt>
                <c:pt idx="98">
                  <c:v>-97.395441604301297</c:v>
                </c:pt>
                <c:pt idx="99">
                  <c:v>-97.470998036986956</c:v>
                </c:pt>
                <c:pt idx="100">
                  <c:v>-97.546603754762543</c:v>
                </c:pt>
                <c:pt idx="101">
                  <c:v>-97.623991842462161</c:v>
                </c:pt>
                <c:pt idx="102">
                  <c:v>-97.701431331583876</c:v>
                </c:pt>
                <c:pt idx="103">
                  <c:v>-97.780773193401231</c:v>
                </c:pt>
                <c:pt idx="104">
                  <c:v>-97.860168504692538</c:v>
                </c:pt>
                <c:pt idx="105">
                  <c:v>-97.941470618735508</c:v>
                </c:pt>
                <c:pt idx="106">
                  <c:v>-98.022828009535573</c:v>
                </c:pt>
                <c:pt idx="107">
                  <c:v>-98.106096438799028</c:v>
                </c:pt>
                <c:pt idx="108">
                  <c:v>-98.189421751693331</c:v>
                </c:pt>
                <c:pt idx="109">
                  <c:v>-98.274720220491631</c:v>
                </c:pt>
                <c:pt idx="110">
                  <c:v>-98.360077040907882</c:v>
                </c:pt>
                <c:pt idx="111">
                  <c:v>-98.447527328294314</c:v>
                </c:pt>
                <c:pt idx="112">
                  <c:v>-98.535037378394776</c:v>
                </c:pt>
                <c:pt idx="113">
                  <c:v>-98.624644980118106</c:v>
                </c:pt>
                <c:pt idx="114">
                  <c:v>-98.714313542256974</c:v>
                </c:pt>
                <c:pt idx="115">
                  <c:v>-98.806141844026385</c:v>
                </c:pt>
                <c:pt idx="116">
                  <c:v>-98.898032173094649</c:v>
                </c:pt>
                <c:pt idx="117">
                  <c:v>-98.992144441845198</c:v>
                </c:pt>
                <c:pt idx="118">
                  <c:v>-99.086319676527538</c:v>
                </c:pt>
                <c:pt idx="119">
                  <c:v>-99.182720577379442</c:v>
                </c:pt>
                <c:pt idx="120">
                  <c:v>-99.279185180445054</c:v>
                </c:pt>
                <c:pt idx="121">
                  <c:v>-99.377937501836996</c:v>
                </c:pt>
                <c:pt idx="122">
                  <c:v>-99.476754141930769</c:v>
                </c:pt>
                <c:pt idx="123">
                  <c:v>-99.577979181545416</c:v>
                </c:pt>
                <c:pt idx="124">
                  <c:v>-99.679269114025701</c:v>
                </c:pt>
                <c:pt idx="125">
                  <c:v>-99.782970929248108</c:v>
                </c:pt>
                <c:pt idx="126">
                  <c:v>-99.886738020587813</c:v>
                </c:pt>
                <c:pt idx="127">
                  <c:v>-99.992979020222748</c:v>
                </c:pt>
                <c:pt idx="128">
                  <c:v>-100.0992855682983</c:v>
                </c:pt>
                <c:pt idx="129">
                  <c:v>-100.20812803084979</c:v>
                </c:pt>
                <c:pt idx="130">
                  <c:v>-100.31703620621661</c:v>
                </c:pt>
                <c:pt idx="131">
                  <c:v>-100.42854227766753</c:v>
                </c:pt>
                <c:pt idx="132">
                  <c:v>-100.48432007198237</c:v>
                </c:pt>
                <c:pt idx="133">
                  <c:v>-100.54011412132932</c:v>
                </c:pt>
                <c:pt idx="134">
                  <c:v>-100.59725114025245</c:v>
                </c:pt>
                <c:pt idx="135">
                  <c:v>-100.65440480366516</c:v>
                </c:pt>
                <c:pt idx="136">
                  <c:v>-100.7115749157725</c:v>
                </c:pt>
                <c:pt idx="137">
                  <c:v>-100.76876128267823</c:v>
                </c:pt>
                <c:pt idx="138">
                  <c:v>-100.82726261096654</c:v>
                </c:pt>
                <c:pt idx="139">
                  <c:v>-100.88578053645837</c:v>
                </c:pt>
                <c:pt idx="140">
                  <c:v>-100.94431485799758</c:v>
                </c:pt>
                <c:pt idx="141">
                  <c:v>-101.00286537655444</c:v>
                </c:pt>
                <c:pt idx="142">
                  <c:v>-101.06282090034166</c:v>
                </c:pt>
                <c:pt idx="143">
                  <c:v>-101.12279298317043</c:v>
                </c:pt>
                <c:pt idx="144">
                  <c:v>-101.18278141846825</c:v>
                </c:pt>
                <c:pt idx="145">
                  <c:v>-101.24278600201021</c:v>
                </c:pt>
                <c:pt idx="146">
                  <c:v>-101.3041970420594</c:v>
                </c:pt>
                <c:pt idx="147">
                  <c:v>-101.3656245621046</c:v>
                </c:pt>
                <c:pt idx="148">
                  <c:v>-101.42706835100256</c:v>
                </c:pt>
                <c:pt idx="149">
                  <c:v>-101.48852820015887</c:v>
                </c:pt>
                <c:pt idx="150">
                  <c:v>-101.55142549295813</c:v>
                </c:pt>
                <c:pt idx="151">
                  <c:v>-101.61433916364162</c:v>
                </c:pt>
                <c:pt idx="152">
                  <c:v>-101.67726899701523</c:v>
                </c:pt>
                <c:pt idx="153">
                  <c:v>-101.74021478062002</c:v>
                </c:pt>
                <c:pt idx="154">
                  <c:v>-101.8046586377622</c:v>
                </c:pt>
                <c:pt idx="155">
                  <c:v>-101.86911876322415</c:v>
                </c:pt>
                <c:pt idx="156">
                  <c:v>-101.93359493796162</c:v>
                </c:pt>
                <c:pt idx="157">
                  <c:v>-101.99808694584223</c:v>
                </c:pt>
                <c:pt idx="158">
                  <c:v>-102.06410804783842</c:v>
                </c:pt>
                <c:pt idx="159">
                  <c:v>-102.13014528568688</c:v>
                </c:pt>
                <c:pt idx="160">
                  <c:v>-102.19619843698503</c:v>
                </c:pt>
                <c:pt idx="161">
                  <c:v>-102.26226728240427</c:v>
                </c:pt>
                <c:pt idx="162">
                  <c:v>-102.32986652720915</c:v>
                </c:pt>
                <c:pt idx="163">
                  <c:v>-102.39748173928929</c:v>
                </c:pt>
                <c:pt idx="164">
                  <c:v>-102.46511269365166</c:v>
                </c:pt>
                <c:pt idx="165">
                  <c:v>-102.53275916851958</c:v>
                </c:pt>
                <c:pt idx="166">
                  <c:v>-102.60202646149175</c:v>
                </c:pt>
                <c:pt idx="167">
                  <c:v>-102.67130955997177</c:v>
                </c:pt>
                <c:pt idx="168">
                  <c:v>-102.74060823623495</c:v>
                </c:pt>
                <c:pt idx="169">
                  <c:v>-102.80992226591242</c:v>
                </c:pt>
                <c:pt idx="170">
                  <c:v>-102.88073934243828</c:v>
                </c:pt>
                <c:pt idx="171">
                  <c:v>-102.95157197567724</c:v>
                </c:pt>
                <c:pt idx="172">
                  <c:v>-103.02241993705209</c:v>
                </c:pt>
                <c:pt idx="173">
                  <c:v>-103.09328300143834</c:v>
                </c:pt>
                <c:pt idx="174">
                  <c:v>-103.16594797647626</c:v>
                </c:pt>
                <c:pt idx="175">
                  <c:v>-103.23862835733181</c:v>
                </c:pt>
                <c:pt idx="176">
                  <c:v>-103.31132391238927</c:v>
                </c:pt>
                <c:pt idx="177">
                  <c:v>-103.38403441362146</c:v>
                </c:pt>
                <c:pt idx="178">
                  <c:v>-103.45854814525607</c:v>
                </c:pt>
                <c:pt idx="179">
                  <c:v>-103.53307709382203</c:v>
                </c:pt>
                <c:pt idx="180">
                  <c:v>-103.60762102540438</c:v>
                </c:pt>
                <c:pt idx="181">
                  <c:v>-103.68217970979406</c:v>
                </c:pt>
                <c:pt idx="182">
                  <c:v>-103.75824453126802</c:v>
                </c:pt>
                <c:pt idx="183">
                  <c:v>-103.83432422926187</c:v>
                </c:pt>
                <c:pt idx="184">
                  <c:v>-103.91041857099187</c:v>
                </c:pt>
                <c:pt idx="185">
                  <c:v>-103.98652732741894</c:v>
                </c:pt>
                <c:pt idx="186">
                  <c:v>-104.0647401206549</c:v>
                </c:pt>
                <c:pt idx="187">
                  <c:v>-104.14296765250067</c:v>
                </c:pt>
                <c:pt idx="188">
                  <c:v>-104.22120968645143</c:v>
                </c:pt>
                <c:pt idx="189">
                  <c:v>-104.29946598988546</c:v>
                </c:pt>
                <c:pt idx="190">
                  <c:v>-104.37923017790358</c:v>
                </c:pt>
                <c:pt idx="191">
                  <c:v>-104.45900870946095</c:v>
                </c:pt>
                <c:pt idx="192">
                  <c:v>-104.53880135035389</c:v>
                </c:pt>
                <c:pt idx="193">
                  <c:v>-104.61860787026417</c:v>
                </c:pt>
                <c:pt idx="194">
                  <c:v>-104.70052088800766</c:v>
                </c:pt>
                <c:pt idx="195">
                  <c:v>-104.78244804282734</c:v>
                </c:pt>
                <c:pt idx="196">
                  <c:v>-104.86438909809149</c:v>
                </c:pt>
                <c:pt idx="197">
                  <c:v>-104.94634382115596</c:v>
                </c:pt>
                <c:pt idx="198">
                  <c:v>-105.03010705520637</c:v>
                </c:pt>
                <c:pt idx="199">
                  <c:v>-105.11388408339465</c:v>
                </c:pt>
                <c:pt idx="200">
                  <c:v>-105.19767466985759</c:v>
                </c:pt>
                <c:pt idx="201">
                  <c:v>-105.28147858274568</c:v>
                </c:pt>
                <c:pt idx="202">
                  <c:v>-105.36709181464664</c:v>
                </c:pt>
                <c:pt idx="203">
                  <c:v>-105.45271847371387</c:v>
                </c:pt>
                <c:pt idx="204">
                  <c:v>-105.53835832531988</c:v>
                </c:pt>
                <c:pt idx="205">
                  <c:v>-105.62401113886071</c:v>
                </c:pt>
                <c:pt idx="206">
                  <c:v>-105.71177355468237</c:v>
                </c:pt>
                <c:pt idx="207">
                  <c:v>-105.79954909730813</c:v>
                </c:pt>
                <c:pt idx="208">
                  <c:v>-105.88733753138139</c:v>
                </c:pt>
                <c:pt idx="209">
                  <c:v>-105.97513862561892</c:v>
                </c:pt>
                <c:pt idx="210">
                  <c:v>-106.06534996393049</c:v>
                </c:pt>
                <c:pt idx="211">
                  <c:v>-106.15557418118738</c:v>
                </c:pt>
                <c:pt idx="212">
                  <c:v>-106.24581103950369</c:v>
                </c:pt>
                <c:pt idx="213">
                  <c:v>-106.33606030515431</c:v>
                </c:pt>
                <c:pt idx="214">
                  <c:v>-106.42812110215341</c:v>
                </c:pt>
                <c:pt idx="215">
                  <c:v>-106.52019432777638</c:v>
                </c:pt>
                <c:pt idx="216">
                  <c:v>-106.61227974684033</c:v>
                </c:pt>
                <c:pt idx="217">
                  <c:v>-106.70437712828398</c:v>
                </c:pt>
                <c:pt idx="218">
                  <c:v>-106.79858658803118</c:v>
                </c:pt>
                <c:pt idx="219">
                  <c:v>-106.89280808575465</c:v>
                </c:pt>
                <c:pt idx="220">
                  <c:v>-106.98704138701925</c:v>
                </c:pt>
                <c:pt idx="221">
                  <c:v>-107.08128626151208</c:v>
                </c:pt>
                <c:pt idx="222">
                  <c:v>-107.17764386387773</c:v>
                </c:pt>
                <c:pt idx="223">
                  <c:v>-107.27401308725716</c:v>
                </c:pt>
                <c:pt idx="224">
                  <c:v>-107.37039369835392</c:v>
                </c:pt>
                <c:pt idx="225">
                  <c:v>-107.46678546798044</c:v>
                </c:pt>
                <c:pt idx="226">
                  <c:v>-107.56559086826142</c:v>
                </c:pt>
                <c:pt idx="227">
                  <c:v>-107.66440751551815</c:v>
                </c:pt>
                <c:pt idx="228">
                  <c:v>-107.76323517582509</c:v>
                </c:pt>
                <c:pt idx="229">
                  <c:v>-107.86207361938798</c:v>
                </c:pt>
                <c:pt idx="230">
                  <c:v>-108.06458996582181</c:v>
                </c:pt>
                <c:pt idx="231">
                  <c:v>-108.16586416320065</c:v>
                </c:pt>
                <c:pt idx="232">
                  <c:v>-108.2671487353479</c:v>
                </c:pt>
                <c:pt idx="233">
                  <c:v>-108.37084820028288</c:v>
                </c:pt>
                <c:pt idx="234">
                  <c:v>-108.47455806351125</c:v>
                </c:pt>
                <c:pt idx="235">
                  <c:v>-108.57827809113789</c:v>
                </c:pt>
                <c:pt idx="236">
                  <c:v>-108.68200805339546</c:v>
                </c:pt>
                <c:pt idx="237">
                  <c:v>-108.78785268638045</c:v>
                </c:pt>
                <c:pt idx="238">
                  <c:v>-108.89370719071246</c:v>
                </c:pt>
                <c:pt idx="239">
                  <c:v>-108.99957133500972</c:v>
                </c:pt>
                <c:pt idx="240">
                  <c:v>-109.10544489194872</c:v>
                </c:pt>
                <c:pt idx="241">
                  <c:v>-109.21403498600169</c:v>
                </c:pt>
                <c:pt idx="242">
                  <c:v>-109.32263450854717</c:v>
                </c:pt>
                <c:pt idx="243">
                  <c:v>-109.43124322703848</c:v>
                </c:pt>
                <c:pt idx="244">
                  <c:v>-109.53986091299664</c:v>
                </c:pt>
                <c:pt idx="245">
                  <c:v>-109.65089467312301</c:v>
                </c:pt>
                <c:pt idx="246">
                  <c:v>-109.76193733242292</c:v>
                </c:pt>
                <c:pt idx="247">
                  <c:v>-109.87298865942623</c:v>
                </c:pt>
                <c:pt idx="248">
                  <c:v>-109.984048426681</c:v>
                </c:pt>
                <c:pt idx="249">
                  <c:v>-110.0978254866607</c:v>
                </c:pt>
                <c:pt idx="250">
                  <c:v>-110.21161093294403</c:v>
                </c:pt>
                <c:pt idx="251">
                  <c:v>-110.32540453349866</c:v>
                </c:pt>
                <c:pt idx="252">
                  <c:v>-110.43920606029099</c:v>
                </c:pt>
                <c:pt idx="253">
                  <c:v>-110.55542403173297</c:v>
                </c:pt>
                <c:pt idx="254">
                  <c:v>-110.67164980017621</c:v>
                </c:pt>
                <c:pt idx="255">
                  <c:v>-110.78788313506784</c:v>
                </c:pt>
                <c:pt idx="256">
                  <c:v>-110.9041238097797</c:v>
                </c:pt>
                <c:pt idx="257">
                  <c:v>-111.0233832949347</c:v>
                </c:pt>
                <c:pt idx="258">
                  <c:v>-111.14265003416344</c:v>
                </c:pt>
                <c:pt idx="259">
                  <c:v>-111.26192379499402</c:v>
                </c:pt>
                <c:pt idx="260">
                  <c:v>-111.38120434887378</c:v>
                </c:pt>
                <c:pt idx="261">
                  <c:v>-111.50320261662476</c:v>
                </c:pt>
                <c:pt idx="262">
                  <c:v>-111.62520751827367</c:v>
                </c:pt>
                <c:pt idx="263">
                  <c:v>-111.74721882139953</c:v>
                </c:pt>
                <c:pt idx="264">
                  <c:v>-111.86923629744123</c:v>
                </c:pt>
                <c:pt idx="265">
                  <c:v>-111.99397141910377</c:v>
                </c:pt>
                <c:pt idx="266">
                  <c:v>-112.1187125200218</c:v>
                </c:pt>
                <c:pt idx="267">
                  <c:v>-112.24345936791646</c:v>
                </c:pt>
                <c:pt idx="268">
                  <c:v>-112.36821173429789</c:v>
                </c:pt>
                <c:pt idx="269">
                  <c:v>-112.49598292803994</c:v>
                </c:pt>
                <c:pt idx="270">
                  <c:v>-112.62375943672264</c:v>
                </c:pt>
                <c:pt idx="271">
                  <c:v>-112.75154102660858</c:v>
                </c:pt>
                <c:pt idx="272">
                  <c:v>-112.87932746770282</c:v>
                </c:pt>
                <c:pt idx="273">
                  <c:v>-113.01013252789146</c:v>
                </c:pt>
                <c:pt idx="274">
                  <c:v>-113.14094219477407</c:v>
                </c:pt>
                <c:pt idx="275">
                  <c:v>-113.27175623323339</c:v>
                </c:pt>
                <c:pt idx="276">
                  <c:v>-113.40257441183502</c:v>
                </c:pt>
                <c:pt idx="277">
                  <c:v>-113.53610944303051</c:v>
                </c:pt>
                <c:pt idx="278">
                  <c:v>-113.66964831189441</c:v>
                </c:pt>
                <c:pt idx="279">
                  <c:v>-113.80319078352821</c:v>
                </c:pt>
                <c:pt idx="280">
                  <c:v>-113.93673662661195</c:v>
                </c:pt>
                <c:pt idx="281">
                  <c:v>-114.07390323469373</c:v>
                </c:pt>
                <c:pt idx="282">
                  <c:v>-114.21107291587147</c:v>
                </c:pt>
                <c:pt idx="283">
                  <c:v>-114.34824543066048</c:v>
                </c:pt>
                <c:pt idx="284">
                  <c:v>-114.48542054313413</c:v>
                </c:pt>
                <c:pt idx="285">
                  <c:v>-114.6253114437756</c:v>
                </c:pt>
                <c:pt idx="286">
                  <c:v>-114.76520456120146</c:v>
                </c:pt>
                <c:pt idx="287">
                  <c:v>-114.90509965600573</c:v>
                </c:pt>
                <c:pt idx="288">
                  <c:v>-115.04499649221424</c:v>
                </c:pt>
                <c:pt idx="289">
                  <c:v>-115.18851291578545</c:v>
                </c:pt>
                <c:pt idx="290">
                  <c:v>-115.33203067956585</c:v>
                </c:pt>
                <c:pt idx="291">
                  <c:v>-115.47554953942044</c:v>
                </c:pt>
                <c:pt idx="292">
                  <c:v>-115.61906925459719</c:v>
                </c:pt>
                <c:pt idx="293">
                  <c:v>-115.7659062394102</c:v>
                </c:pt>
                <c:pt idx="294">
                  <c:v>-115.91274362011701</c:v>
                </c:pt>
                <c:pt idx="295">
                  <c:v>-116.05958114924852</c:v>
                </c:pt>
                <c:pt idx="296">
                  <c:v>-116.20641858262641</c:v>
                </c:pt>
                <c:pt idx="297">
                  <c:v>-116.35657232251866</c:v>
                </c:pt>
                <c:pt idx="298">
                  <c:v>-116.50672545596387</c:v>
                </c:pt>
                <c:pt idx="299">
                  <c:v>-116.65687773191118</c:v>
                </c:pt>
                <c:pt idx="300">
                  <c:v>-116.80702890249593</c:v>
                </c:pt>
                <c:pt idx="301">
                  <c:v>-116.96049526815655</c:v>
                </c:pt>
                <c:pt idx="302">
                  <c:v>-117.11395996526565</c:v>
                </c:pt>
                <c:pt idx="303">
                  <c:v>-117.26742273886923</c:v>
                </c:pt>
                <c:pt idx="304">
                  <c:v>-117.42088333708385</c:v>
                </c:pt>
                <c:pt idx="305">
                  <c:v>-117.5782608410405</c:v>
                </c:pt>
                <c:pt idx="306">
                  <c:v>-117.73563552997322</c:v>
                </c:pt>
                <c:pt idx="307">
                  <c:v>-117.89300714164506</c:v>
                </c:pt>
                <c:pt idx="308">
                  <c:v>-118.05037541680731</c:v>
                </c:pt>
                <c:pt idx="309">
                  <c:v>-118.2110561726023</c:v>
                </c:pt>
                <c:pt idx="310">
                  <c:v>-118.37173291262712</c:v>
                </c:pt>
                <c:pt idx="311">
                  <c:v>-118.53240536992915</c:v>
                </c:pt>
                <c:pt idx="312">
                  <c:v>-118.69307328040217</c:v>
                </c:pt>
                <c:pt idx="313">
                  <c:v>-118.85765493269049</c:v>
                </c:pt>
                <c:pt idx="314">
                  <c:v>-119.022231261348</c:v>
                </c:pt>
                <c:pt idx="315">
                  <c:v>-119.18680199115181</c:v>
                </c:pt>
                <c:pt idx="316">
                  <c:v>-119.35136684961256</c:v>
                </c:pt>
                <c:pt idx="317">
                  <c:v>-119.5198435545247</c:v>
                </c:pt>
                <c:pt idx="318">
                  <c:v>-119.68831353551516</c:v>
                </c:pt>
                <c:pt idx="319">
                  <c:v>-119.85677650846409</c:v>
                </c:pt>
                <c:pt idx="320">
                  <c:v>-120.02523219185582</c:v>
                </c:pt>
                <c:pt idx="321">
                  <c:v>-120.19759761242746</c:v>
                </c:pt>
                <c:pt idx="322">
                  <c:v>-120.36995481202271</c:v>
                </c:pt>
                <c:pt idx="323">
                  <c:v>-120.54230349689099</c:v>
                </c:pt>
                <c:pt idx="324">
                  <c:v>-120.71464337574031</c:v>
                </c:pt>
                <c:pt idx="325">
                  <c:v>-120.89089066041819</c:v>
                </c:pt>
                <c:pt idx="326">
                  <c:v>-121.06712812543871</c:v>
                </c:pt>
                <c:pt idx="327">
                  <c:v>-121.24335546657662</c:v>
                </c:pt>
                <c:pt idx="328">
                  <c:v>-121.41957238190304</c:v>
                </c:pt>
                <c:pt idx="329">
                  <c:v>-121.59999533808677</c:v>
                </c:pt>
                <c:pt idx="330">
                  <c:v>-121.78040672977575</c:v>
                </c:pt>
                <c:pt idx="331">
                  <c:v>-121.96080623973106</c:v>
                </c:pt>
                <c:pt idx="332">
                  <c:v>-122.14119355284599</c:v>
                </c:pt>
                <c:pt idx="333">
                  <c:v>-122.32548286017442</c:v>
                </c:pt>
                <c:pt idx="334">
                  <c:v>-122.50975877691715</c:v>
                </c:pt>
                <c:pt idx="335">
                  <c:v>-122.6940209733109</c:v>
                </c:pt>
                <c:pt idx="336">
                  <c:v>-122.87826912152836</c:v>
                </c:pt>
                <c:pt idx="337">
                  <c:v>-123.06701824604346</c:v>
                </c:pt>
                <c:pt idx="338">
                  <c:v>-123.25575193452518</c:v>
                </c:pt>
                <c:pt idx="339">
                  <c:v>-123.4444698401807</c:v>
                </c:pt>
                <c:pt idx="340">
                  <c:v>-123.63317161796279</c:v>
                </c:pt>
                <c:pt idx="341">
                  <c:v>-123.82637072246122</c:v>
                </c:pt>
                <c:pt idx="342">
                  <c:v>-124.01955219124245</c:v>
                </c:pt>
                <c:pt idx="343">
                  <c:v>-124.21271565899973</c:v>
                </c:pt>
                <c:pt idx="344">
                  <c:v>-124.40586076195797</c:v>
                </c:pt>
                <c:pt idx="345">
                  <c:v>-124.60319840502798</c:v>
                </c:pt>
                <c:pt idx="346">
                  <c:v>-124.80051611020308</c:v>
                </c:pt>
                <c:pt idx="347">
                  <c:v>-124.99781349376069</c:v>
                </c:pt>
                <c:pt idx="348">
                  <c:v>-125.1950901732645</c:v>
                </c:pt>
                <c:pt idx="349">
                  <c:v>-125.39715661291251</c:v>
                </c:pt>
                <c:pt idx="350">
                  <c:v>-125.59920051756147</c:v>
                </c:pt>
                <c:pt idx="351">
                  <c:v>-125.80122147972115</c:v>
                </c:pt>
                <c:pt idx="352">
                  <c:v>-126.00321909293369</c:v>
                </c:pt>
                <c:pt idx="353">
                  <c:v>-126.21000156022966</c:v>
                </c:pt>
                <c:pt idx="354">
                  <c:v>-126.41675869418731</c:v>
                </c:pt>
                <c:pt idx="355">
                  <c:v>-126.62349006140163</c:v>
                </c:pt>
                <c:pt idx="356">
                  <c:v>-126.83019522921821</c:v>
                </c:pt>
                <c:pt idx="357">
                  <c:v>-127.04137953850262</c:v>
                </c:pt>
                <c:pt idx="358">
                  <c:v>-127.25253558223248</c:v>
                </c:pt>
                <c:pt idx="359">
                  <c:v>-127.46366290068389</c:v>
                </c:pt>
                <c:pt idx="360">
                  <c:v>-127.67476103457044</c:v>
                </c:pt>
                <c:pt idx="361">
                  <c:v>-127.89093322847981</c:v>
                </c:pt>
                <c:pt idx="362">
                  <c:v>-128.10707383510731</c:v>
                </c:pt>
                <c:pt idx="363">
                  <c:v>-128.32318236188328</c:v>
                </c:pt>
                <c:pt idx="364">
                  <c:v>-128.53925831633794</c:v>
                </c:pt>
                <c:pt idx="365">
                  <c:v>-128.76010177979379</c:v>
                </c:pt>
                <c:pt idx="366">
                  <c:v>-128.98091016648411</c:v>
                </c:pt>
                <c:pt idx="367">
                  <c:v>-129.20168295012036</c:v>
                </c:pt>
                <c:pt idx="368">
                  <c:v>-129.42241960414353</c:v>
                </c:pt>
                <c:pt idx="369">
                  <c:v>-129.64851669225627</c:v>
                </c:pt>
                <c:pt idx="370">
                  <c:v>-129.87457474190958</c:v>
                </c:pt>
                <c:pt idx="371">
                  <c:v>-130.10059318549889</c:v>
                </c:pt>
                <c:pt idx="372">
                  <c:v>-130.32657145474138</c:v>
                </c:pt>
                <c:pt idx="373">
                  <c:v>-130.55760258864177</c:v>
                </c:pt>
                <c:pt idx="374">
                  <c:v>-130.78859051185339</c:v>
                </c:pt>
                <c:pt idx="375">
                  <c:v>-131.01953461400669</c:v>
                </c:pt>
                <c:pt idx="376">
                  <c:v>-131.25043428361181</c:v>
                </c:pt>
                <c:pt idx="377">
                  <c:v>-131.48697735849618</c:v>
                </c:pt>
                <c:pt idx="378">
                  <c:v>-131.72347248010959</c:v>
                </c:pt>
                <c:pt idx="379">
                  <c:v>-131.95991898639585</c:v>
                </c:pt>
                <c:pt idx="380">
                  <c:v>-132.19631621368444</c:v>
                </c:pt>
                <c:pt idx="381">
                  <c:v>-132.43774889691284</c:v>
                </c:pt>
                <c:pt idx="382">
                  <c:v>-132.67912875194133</c:v>
                </c:pt>
                <c:pt idx="383">
                  <c:v>-132.92045506553842</c:v>
                </c:pt>
                <c:pt idx="384">
                  <c:v>-133.16172712234004</c:v>
                </c:pt>
                <c:pt idx="385">
                  <c:v>-133.40892161901806</c:v>
                </c:pt>
                <c:pt idx="386">
                  <c:v>-133.65605760788142</c:v>
                </c:pt>
                <c:pt idx="387">
                  <c:v>-133.90313431151168</c:v>
                </c:pt>
                <c:pt idx="388">
                  <c:v>-134.15015094976471</c:v>
                </c:pt>
                <c:pt idx="389">
                  <c:v>-134.40277973064229</c:v>
                </c:pt>
                <c:pt idx="390">
                  <c:v>-134.65534399381283</c:v>
                </c:pt>
                <c:pt idx="391">
                  <c:v>-134.90784289470125</c:v>
                </c:pt>
                <c:pt idx="392">
                  <c:v>-135.16027558537886</c:v>
                </c:pt>
                <c:pt idx="393">
                  <c:v>-135.41830822389497</c:v>
                </c:pt>
                <c:pt idx="394">
                  <c:v>-135.6762698409342</c:v>
                </c:pt>
                <c:pt idx="395">
                  <c:v>-135.93415951872078</c:v>
                </c:pt>
                <c:pt idx="396">
                  <c:v>-136.19197633545335</c:v>
                </c:pt>
                <c:pt idx="397">
                  <c:v>-136.45597578523353</c:v>
                </c:pt>
                <c:pt idx="398">
                  <c:v>-136.71989682226683</c:v>
                </c:pt>
                <c:pt idx="399">
                  <c:v>-136.98373844229937</c:v>
                </c:pt>
                <c:pt idx="400">
                  <c:v>-137.24749963629429</c:v>
                </c:pt>
                <c:pt idx="401">
                  <c:v>-137.51713058141436</c:v>
                </c:pt>
                <c:pt idx="402">
                  <c:v>-137.78667527886307</c:v>
                </c:pt>
                <c:pt idx="403">
                  <c:v>-138.05613263368508</c:v>
                </c:pt>
                <c:pt idx="404">
                  <c:v>-138.32550154535838</c:v>
                </c:pt>
                <c:pt idx="405">
                  <c:v>-138.60102141158202</c:v>
                </c:pt>
                <c:pt idx="406">
                  <c:v>-138.87644633798686</c:v>
                </c:pt>
                <c:pt idx="407">
                  <c:v>-139.15177512715107</c:v>
                </c:pt>
                <c:pt idx="408">
                  <c:v>-139.42700657523324</c:v>
                </c:pt>
                <c:pt idx="409">
                  <c:v>-139.70866784806253</c:v>
                </c:pt>
                <c:pt idx="410">
                  <c:v>-139.99022453051799</c:v>
                </c:pt>
                <c:pt idx="411">
                  <c:v>-140.27167530963513</c:v>
                </c:pt>
                <c:pt idx="412">
                  <c:v>-140.55301886510443</c:v>
                </c:pt>
                <c:pt idx="413">
                  <c:v>-140.84077224457391</c:v>
                </c:pt>
                <c:pt idx="414">
                  <c:v>-141.12841055105719</c:v>
                </c:pt>
                <c:pt idx="415">
                  <c:v>-141.41593234599176</c:v>
                </c:pt>
                <c:pt idx="416">
                  <c:v>-141.70333618250345</c:v>
                </c:pt>
                <c:pt idx="417">
                  <c:v>-141.9974240289697</c:v>
                </c:pt>
                <c:pt idx="418">
                  <c:v>-142.29138516739508</c:v>
                </c:pt>
                <c:pt idx="419">
                  <c:v>-142.58521801822315</c:v>
                </c:pt>
                <c:pt idx="420">
                  <c:v>-142.87892099255171</c:v>
                </c:pt>
                <c:pt idx="421">
                  <c:v>-143.17898855103323</c:v>
                </c:pt>
                <c:pt idx="422">
                  <c:v>-143.47891703350817</c:v>
                </c:pt>
                <c:pt idx="423">
                  <c:v>-143.77870471268167</c:v>
                </c:pt>
                <c:pt idx="424">
                  <c:v>-144.07834985089445</c:v>
                </c:pt>
                <c:pt idx="425">
                  <c:v>-144.38521847377464</c:v>
                </c:pt>
                <c:pt idx="426">
                  <c:v>-144.6919337277595</c:v>
                </c:pt>
                <c:pt idx="427">
                  <c:v>-144.99849370971046</c:v>
                </c:pt>
                <c:pt idx="428">
                  <c:v>-145.30489650497162</c:v>
                </c:pt>
                <c:pt idx="429">
                  <c:v>-145.61819866861285</c:v>
                </c:pt>
                <c:pt idx="430">
                  <c:v>-145.9313322231537</c:v>
                </c:pt>
                <c:pt idx="431">
                  <c:v>-146.24429508097128</c:v>
                </c:pt>
                <c:pt idx="432">
                  <c:v>-146.55708514181887</c:v>
                </c:pt>
                <c:pt idx="433">
                  <c:v>-146.87674310960011</c:v>
                </c:pt>
                <c:pt idx="434">
                  <c:v>-147.19621592286671</c:v>
                </c:pt>
                <c:pt idx="435">
                  <c:v>-147.51550129533098</c:v>
                </c:pt>
                <c:pt idx="436">
                  <c:v>-147.83459692700649</c:v>
                </c:pt>
                <c:pt idx="437">
                  <c:v>-148.16111199720214</c:v>
                </c:pt>
                <c:pt idx="438">
                  <c:v>-148.48742323466732</c:v>
                </c:pt>
                <c:pt idx="439">
                  <c:v>-148.81352812638897</c:v>
                </c:pt>
                <c:pt idx="440">
                  <c:v>-149.13942414453592</c:v>
                </c:pt>
                <c:pt idx="441">
                  <c:v>-149.47270064271873</c:v>
                </c:pt>
                <c:pt idx="442">
                  <c:v>-149.80575300947285</c:v>
                </c:pt>
                <c:pt idx="443">
                  <c:v>-150.13857848833609</c:v>
                </c:pt>
                <c:pt idx="444">
                  <c:v>-150.47117430699811</c:v>
                </c:pt>
                <c:pt idx="445">
                  <c:v>-150.81110852040698</c:v>
                </c:pt>
                <c:pt idx="446">
                  <c:v>-151.15079657133012</c:v>
                </c:pt>
                <c:pt idx="447">
                  <c:v>-151.49023544298069</c:v>
                </c:pt>
                <c:pt idx="448">
                  <c:v>-151.82942210182873</c:v>
                </c:pt>
                <c:pt idx="449">
                  <c:v>-152.17648236670672</c:v>
                </c:pt>
                <c:pt idx="450">
                  <c:v>-152.5232716797963</c:v>
                </c:pt>
                <c:pt idx="451">
                  <c:v>-152.86978673055103</c:v>
                </c:pt>
                <c:pt idx="452">
                  <c:v>-153.21602419085784</c:v>
                </c:pt>
                <c:pt idx="453">
                  <c:v>-153.56979403458729</c:v>
                </c:pt>
                <c:pt idx="454">
                  <c:v>-153.92326650810477</c:v>
                </c:pt>
                <c:pt idx="455">
                  <c:v>-154.27643799719792</c:v>
                </c:pt>
                <c:pt idx="456">
                  <c:v>-154.62930486957265</c:v>
                </c:pt>
                <c:pt idx="457">
                  <c:v>-154.99022647593191</c:v>
                </c:pt>
                <c:pt idx="458">
                  <c:v>-155.35082107542959</c:v>
                </c:pt>
                <c:pt idx="459">
                  <c:v>-155.71108471420899</c:v>
                </c:pt>
                <c:pt idx="460">
                  <c:v>-156.07101342002261</c:v>
                </c:pt>
                <c:pt idx="461">
                  <c:v>-156.43893496548839</c:v>
                </c:pt>
                <c:pt idx="462">
                  <c:v>-156.80649739883287</c:v>
                </c:pt>
                <c:pt idx="463">
                  <c:v>-157.17369640802386</c:v>
                </c:pt>
                <c:pt idx="464">
                  <c:v>-157.5405276627416</c:v>
                </c:pt>
                <c:pt idx="465">
                  <c:v>-157.91557120320678</c:v>
                </c:pt>
                <c:pt idx="466">
                  <c:v>-158.29022031455534</c:v>
                </c:pt>
                <c:pt idx="467">
                  <c:v>-158.66447029868667</c:v>
                </c:pt>
                <c:pt idx="468">
                  <c:v>-159.03831643977358</c:v>
                </c:pt>
                <c:pt idx="469">
                  <c:v>-159.42030118722991</c:v>
                </c:pt>
                <c:pt idx="470">
                  <c:v>-159.80185334756743</c:v>
                </c:pt>
                <c:pt idx="471">
                  <c:v>-160.18296782009827</c:v>
                </c:pt>
                <c:pt idx="472">
                  <c:v>-160.56363948759716</c:v>
                </c:pt>
                <c:pt idx="473">
                  <c:v>-160.9529376680552</c:v>
                </c:pt>
                <c:pt idx="474">
                  <c:v>-161.34176073504636</c:v>
                </c:pt>
                <c:pt idx="475">
                  <c:v>-161.73010314711567</c:v>
                </c:pt>
                <c:pt idx="476">
                  <c:v>-162.11795934812605</c:v>
                </c:pt>
                <c:pt idx="477">
                  <c:v>-162.51435259311481</c:v>
                </c:pt>
                <c:pt idx="478">
                  <c:v>-162.91022486667504</c:v>
                </c:pt>
                <c:pt idx="479">
                  <c:v>-163.30557017313751</c:v>
                </c:pt>
                <c:pt idx="480">
                  <c:v>-163.70038250492334</c:v>
                </c:pt>
                <c:pt idx="481">
                  <c:v>-164.10363580083998</c:v>
                </c:pt>
                <c:pt idx="482">
                  <c:v>-164.50631880433991</c:v>
                </c:pt>
                <c:pt idx="483">
                  <c:v>-164.90842505624005</c:v>
                </c:pt>
                <c:pt idx="484">
                  <c:v>-165.30994808928446</c:v>
                </c:pt>
                <c:pt idx="485">
                  <c:v>-165.72008809583943</c:v>
                </c:pt>
                <c:pt idx="486">
                  <c:v>-166.12960405856671</c:v>
                </c:pt>
                <c:pt idx="487">
                  <c:v>-166.53848903632891</c:v>
                </c:pt>
                <c:pt idx="488">
                  <c:v>-166.94673608495768</c:v>
                </c:pt>
                <c:pt idx="489">
                  <c:v>-167.36404175633223</c:v>
                </c:pt>
                <c:pt idx="490">
                  <c:v>-167.78066400350335</c:v>
                </c:pt>
                <c:pt idx="491">
                  <c:v>-168.19659537410178</c:v>
                </c:pt>
                <c:pt idx="492">
                  <c:v>-168.61182841918884</c:v>
                </c:pt>
                <c:pt idx="493">
                  <c:v>-169.03599381097021</c:v>
                </c:pt>
                <c:pt idx="494">
                  <c:v>-169.45941223486369</c:v>
                </c:pt>
                <c:pt idx="495">
                  <c:v>-169.88207573230125</c:v>
                </c:pt>
                <c:pt idx="496">
                  <c:v>-170.30397635624229</c:v>
                </c:pt>
                <c:pt idx="497">
                  <c:v>-170.7349478728998</c:v>
                </c:pt>
                <c:pt idx="498">
                  <c:v>-171.1651036131158</c:v>
                </c:pt>
                <c:pt idx="499">
                  <c:v>-171.59443510956203</c:v>
                </c:pt>
                <c:pt idx="500">
                  <c:v>-172.02293391638324</c:v>
                </c:pt>
                <c:pt idx="501">
                  <c:v>-172.46062799320288</c:v>
                </c:pt>
                <c:pt idx="502">
                  <c:v>-172.89743197368773</c:v>
                </c:pt>
                <c:pt idx="503">
                  <c:v>-173.33333688724173</c:v>
                </c:pt>
                <c:pt idx="504">
                  <c:v>-173.76833379675955</c:v>
                </c:pt>
                <c:pt idx="505">
                  <c:v>-174.21236634135508</c:v>
                </c:pt>
                <c:pt idx="506">
                  <c:v>-174.65542992020383</c:v>
                </c:pt>
                <c:pt idx="507">
                  <c:v>-175.09751509170511</c:v>
                </c:pt>
                <c:pt idx="508">
                  <c:v>-175.53861246193654</c:v>
                </c:pt>
                <c:pt idx="509">
                  <c:v>-175.988842647544</c:v>
                </c:pt>
                <c:pt idx="510">
                  <c:v>-176.43801925530158</c:v>
                </c:pt>
                <c:pt idx="511">
                  <c:v>-176.88613239963911</c:v>
                </c:pt>
                <c:pt idx="512">
                  <c:v>-177.33317225925916</c:v>
                </c:pt>
                <c:pt idx="513">
                  <c:v>-177.78968981780542</c:v>
                </c:pt>
                <c:pt idx="514">
                  <c:v>-178.24506198152415</c:v>
                </c:pt>
                <c:pt idx="515">
                  <c:v>-178.69927844260019</c:v>
                </c:pt>
                <c:pt idx="516">
                  <c:v>-179.15232897684515</c:v>
                </c:pt>
                <c:pt idx="517">
                  <c:v>-179.61465554519478</c:v>
                </c:pt>
                <c:pt idx="518">
                  <c:v>-180.07574017919933</c:v>
                </c:pt>
                <c:pt idx="519">
                  <c:v>-180.53557222028101</c:v>
                </c:pt>
                <c:pt idx="520">
                  <c:v>-180.99414111537297</c:v>
                </c:pt>
                <c:pt idx="521">
                  <c:v>-181.46203191917854</c:v>
                </c:pt>
                <c:pt idx="522">
                  <c:v>-181.92857827831253</c:v>
                </c:pt>
                <c:pt idx="523">
                  <c:v>-182.39376925274777</c:v>
                </c:pt>
                <c:pt idx="524">
                  <c:v>-182.85759403258646</c:v>
                </c:pt>
                <c:pt idx="525">
                  <c:v>-183.33076819870911</c:v>
                </c:pt>
                <c:pt idx="526">
                  <c:v>-183.80248949256961</c:v>
                </c:pt>
                <c:pt idx="527">
                  <c:v>-184.2727467787789</c:v>
                </c:pt>
                <c:pt idx="528">
                  <c:v>-184.7415290794101</c:v>
                </c:pt>
                <c:pt idx="529">
                  <c:v>-185.21966930912129</c:v>
                </c:pt>
                <c:pt idx="530">
                  <c:v>-185.69624245378347</c:v>
                </c:pt>
                <c:pt idx="531">
                  <c:v>-186.1712372865108</c:v>
                </c:pt>
                <c:pt idx="532">
                  <c:v>-186.64464276782022</c:v>
                </c:pt>
                <c:pt idx="533">
                  <c:v>-187.12764414570512</c:v>
                </c:pt>
                <c:pt idx="534">
                  <c:v>-187.60895691076351</c:v>
                </c:pt>
                <c:pt idx="535">
                  <c:v>-188.08856984973951</c:v>
                </c:pt>
                <c:pt idx="536">
                  <c:v>-188.56647196957505</c:v>
                </c:pt>
                <c:pt idx="537">
                  <c:v>-189.05344354694833</c:v>
                </c:pt>
                <c:pt idx="538">
                  <c:v>-189.5386032009327</c:v>
                </c:pt>
                <c:pt idx="539">
                  <c:v>-190.02193990775723</c:v>
                </c:pt>
                <c:pt idx="540">
                  <c:v>-190.50344289780747</c:v>
                </c:pt>
                <c:pt idx="541">
                  <c:v>-190.99445353905986</c:v>
                </c:pt>
                <c:pt idx="542">
                  <c:v>-191.48352045276991</c:v>
                </c:pt>
                <c:pt idx="543">
                  <c:v>-191.97063293080984</c:v>
                </c:pt>
                <c:pt idx="544">
                  <c:v>-192.45578055581851</c:v>
                </c:pt>
                <c:pt idx="545">
                  <c:v>-192.95012198963525</c:v>
                </c:pt>
                <c:pt idx="546">
                  <c:v>-193.44238536641325</c:v>
                </c:pt>
                <c:pt idx="547">
                  <c:v>-193.93256048799842</c:v>
                </c:pt>
                <c:pt idx="548">
                  <c:v>-194.42063748414967</c:v>
                </c:pt>
                <c:pt idx="549">
                  <c:v>-194.9178180958028</c:v>
                </c:pt>
                <c:pt idx="550">
                  <c:v>-195.41278259269203</c:v>
                </c:pt>
                <c:pt idx="551">
                  <c:v>-195.90552148006972</c:v>
                </c:pt>
                <c:pt idx="552">
                  <c:v>-196.39602562859315</c:v>
                </c:pt>
                <c:pt idx="553">
                  <c:v>-196.8957530727462</c:v>
                </c:pt>
                <c:pt idx="554">
                  <c:v>-197.39312114843776</c:v>
                </c:pt>
                <c:pt idx="555">
                  <c:v>-197.88812126017888</c:v>
                </c:pt>
                <c:pt idx="556">
                  <c:v>-198.38074521564681</c:v>
                </c:pt>
                <c:pt idx="557">
                  <c:v>-199.38166399817078</c:v>
                </c:pt>
                <c:pt idx="558">
                  <c:v>-200.37253324727411</c:v>
                </c:pt>
                <c:pt idx="559">
                  <c:v>-201.37566006212617</c:v>
                </c:pt>
                <c:pt idx="560">
                  <c:v>-202.36816354946183</c:v>
                </c:pt>
                <c:pt idx="561">
                  <c:v>-203.37316553004595</c:v>
                </c:pt>
                <c:pt idx="562">
                  <c:v>-204.36695055071482</c:v>
                </c:pt>
                <c:pt idx="563">
                  <c:v>-205.37044945857653</c:v>
                </c:pt>
                <c:pt idx="564">
                  <c:v>-206.36218966797543</c:v>
                </c:pt>
                <c:pt idx="565">
                  <c:v>-207.366708745935</c:v>
                </c:pt>
                <c:pt idx="566">
                  <c:v>-208.35884535962944</c:v>
                </c:pt>
                <c:pt idx="567">
                  <c:v>-209.36253735141207</c:v>
                </c:pt>
                <c:pt idx="568">
                  <c:v>-210.35324274518572</c:v>
                </c:pt>
                <c:pt idx="569">
                  <c:v>-211.35040418524798</c:v>
                </c:pt>
                <c:pt idx="570">
                  <c:v>-212.33410573230395</c:v>
                </c:pt>
                <c:pt idx="571">
                  <c:v>-213.33083345542846</c:v>
                </c:pt>
                <c:pt idx="572">
                  <c:v>-214.31344679285678</c:v>
                </c:pt>
                <c:pt idx="573">
                  <c:v>-215.30035546966218</c:v>
                </c:pt>
                <c:pt idx="574">
                  <c:v>-216.27274521000473</c:v>
                </c:pt>
                <c:pt idx="575">
                  <c:v>-217.25562150457532</c:v>
                </c:pt>
                <c:pt idx="576">
                  <c:v>-218.22339599292462</c:v>
                </c:pt>
                <c:pt idx="577">
                  <c:v>-222.15589187921702</c:v>
                </c:pt>
                <c:pt idx="578">
                  <c:v>-225.82957591798024</c:v>
                </c:pt>
                <c:pt idx="579">
                  <c:v>-233.03343432982354</c:v>
                </c:pt>
                <c:pt idx="580">
                  <c:v>-239.73928830445652</c:v>
                </c:pt>
                <c:pt idx="581">
                  <c:v>-245.86150161874525</c:v>
                </c:pt>
                <c:pt idx="582">
                  <c:v>-251.360314544142</c:v>
                </c:pt>
                <c:pt idx="583">
                  <c:v>-256.21597071280308</c:v>
                </c:pt>
                <c:pt idx="584">
                  <c:v>-260.43881782445834</c:v>
                </c:pt>
                <c:pt idx="585">
                  <c:v>-264.04975097130068</c:v>
                </c:pt>
                <c:pt idx="586">
                  <c:v>-267.08494980181439</c:v>
                </c:pt>
                <c:pt idx="587">
                  <c:v>-269.58918079806563</c:v>
                </c:pt>
                <c:pt idx="588">
                  <c:v>-271.60861423876372</c:v>
                </c:pt>
                <c:pt idx="589">
                  <c:v>-273.19632624589622</c:v>
                </c:pt>
                <c:pt idx="590">
                  <c:v>-274.40379595310537</c:v>
                </c:pt>
                <c:pt idx="591">
                  <c:v>-275.28278531353789</c:v>
                </c:pt>
                <c:pt idx="592">
                  <c:v>-275.88293682384966</c:v>
                </c:pt>
                <c:pt idx="593">
                  <c:v>-276.25115301258995</c:v>
                </c:pt>
                <c:pt idx="594">
                  <c:v>-276.43024215698478</c:v>
                </c:pt>
                <c:pt idx="595">
                  <c:v>-276.45878508149508</c:v>
                </c:pt>
                <c:pt idx="596">
                  <c:v>-276.37060585442367</c:v>
                </c:pt>
                <c:pt idx="597">
                  <c:v>-276.19473604107282</c:v>
                </c:pt>
                <c:pt idx="598">
                  <c:v>-275.95562958169711</c:v>
                </c:pt>
                <c:pt idx="599">
                  <c:v>-275.67330643458752</c:v>
                </c:pt>
                <c:pt idx="600">
                  <c:v>-275.36397298877313</c:v>
                </c:pt>
              </c:numCache>
            </c:numRef>
          </c:yVal>
          <c:smooth val="0"/>
          <c:extLst>
            <c:ext xmlns:c16="http://schemas.microsoft.com/office/drawing/2014/chart" uri="{C3380CC4-5D6E-409C-BE32-E72D297353CC}">
              <c16:uniqueId val="{0000000B-4B49-4ADE-B8CD-DD5F374AD671}"/>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49-4ADE-B8CD-DD5F374AD671}"/>
              </c:ext>
            </c:extLst>
          </c:dPt>
          <c:xVal>
            <c:numRef>
              <c:f>'Stability Calculations'!$A$617:$A$618</c:f>
              <c:numCache>
                <c:formatCode>General</c:formatCode>
                <c:ptCount val="2"/>
                <c:pt idx="0">
                  <c:v>20655</c:v>
                </c:pt>
                <c:pt idx="1">
                  <c:v>20655</c:v>
                </c:pt>
              </c:numCache>
            </c:numRef>
          </c:xVal>
          <c:yVal>
            <c:numRef>
              <c:f>'Stability Calculations'!$R$617:$R$618</c:f>
              <c:numCache>
                <c:formatCode>0.00</c:formatCode>
                <c:ptCount val="2"/>
                <c:pt idx="0">
                  <c:v>-115.33203067956585</c:v>
                </c:pt>
                <c:pt idx="1">
                  <c:v>-135</c:v>
                </c:pt>
              </c:numCache>
            </c:numRef>
          </c:yVal>
          <c:smooth val="0"/>
          <c:extLst>
            <c:ext xmlns:c16="http://schemas.microsoft.com/office/drawing/2014/chart" uri="{C3380CC4-5D6E-409C-BE32-E72D297353CC}">
              <c16:uniqueId val="{0000000D-4B49-4ADE-B8CD-DD5F374AD671}"/>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20655</c:v>
                </c:pt>
                <c:pt idx="1">
                  <c:v>1000000</c:v>
                </c:pt>
              </c:numCache>
            </c:numRef>
          </c:xVal>
          <c:yVal>
            <c:numRef>
              <c:f>'Stability Calculations'!$R$619:$R$620</c:f>
              <c:numCache>
                <c:formatCode>0.00</c:formatCode>
                <c:ptCount val="2"/>
                <c:pt idx="1">
                  <c:v>-115.33203067956585</c:v>
                </c:pt>
              </c:numCache>
            </c:numRef>
          </c:yVal>
          <c:smooth val="0"/>
          <c:extLst>
            <c:ext xmlns:c16="http://schemas.microsoft.com/office/drawing/2014/chart" uri="{C3380CC4-5D6E-409C-BE32-E72D297353CC}">
              <c16:uniqueId val="{0000000E-4B49-4ADE-B8CD-DD5F374AD671}"/>
            </c:ext>
          </c:extLst>
        </c:ser>
        <c:dLbls>
          <c:showLegendKey val="0"/>
          <c:showVal val="0"/>
          <c:showCatName val="0"/>
          <c:showSerName val="0"/>
          <c:showPercent val="0"/>
          <c:showBubbleSize val="0"/>
        </c:dLbls>
        <c:axId val="165660160"/>
        <c:axId val="165661696"/>
      </c:scatterChart>
      <c:valAx>
        <c:axId val="165647872"/>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65649792"/>
        <c:crossesAt val="-80"/>
        <c:crossBetween val="midCat"/>
      </c:valAx>
      <c:valAx>
        <c:axId val="16564979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65647872"/>
        <c:crossesAt val="1.0000000000000005E-2"/>
        <c:crossBetween val="midCat"/>
        <c:majorUnit val="20"/>
      </c:valAx>
      <c:valAx>
        <c:axId val="165660160"/>
        <c:scaling>
          <c:logBase val="10"/>
          <c:orientation val="minMax"/>
        </c:scaling>
        <c:delete val="1"/>
        <c:axPos val="b"/>
        <c:numFmt formatCode="General" sourceLinked="1"/>
        <c:majorTickMark val="out"/>
        <c:minorTickMark val="none"/>
        <c:tickLblPos val="none"/>
        <c:crossAx val="165661696"/>
        <c:crosses val="autoZero"/>
        <c:crossBetween val="midCat"/>
      </c:valAx>
      <c:valAx>
        <c:axId val="165661696"/>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65660160"/>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(Ch2),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0BD-4998-8A98-65686C23F2C0}"/>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Calculations'!$A$627</c:f>
              <c:numCache>
                <c:formatCode>0</c:formatCode>
                <c:ptCount val="1"/>
                <c:pt idx="0">
                  <c:v>104956.16848200282</c:v>
                </c:pt>
              </c:numCache>
            </c:numRef>
          </c:xVal>
          <c:yVal>
            <c:numRef>
              <c:f>'Ch2 Stability Calculations'!$Q$627</c:f>
              <c:numCache>
                <c:formatCode>0.00</c:formatCode>
                <c:ptCount val="1"/>
                <c:pt idx="0">
                  <c:v>-9.4546189045835192</c:v>
                </c:pt>
              </c:numCache>
            </c:numRef>
          </c:yVal>
          <c:smooth val="0"/>
          <c:extLst>
            <c:ext xmlns:c16="http://schemas.microsoft.com/office/drawing/2014/chart" uri="{C3380CC4-5D6E-409C-BE32-E72D297353CC}">
              <c16:uniqueId val="{00000001-10BD-4998-8A98-65686C23F2C0}"/>
            </c:ext>
          </c:extLst>
        </c:ser>
        <c:dLbls>
          <c:showLegendKey val="0"/>
          <c:showVal val="0"/>
          <c:showCatName val="0"/>
          <c:showSerName val="0"/>
          <c:showPercent val="0"/>
          <c:showBubbleSize val="0"/>
        </c:dLbls>
        <c:axId val="185161600"/>
        <c:axId val="185188352"/>
      </c:scatterChart>
      <c:scatterChart>
        <c:scatterStyle val="smoothMarker"/>
        <c:varyColors val="0"/>
        <c:ser>
          <c:idx val="2"/>
          <c:order val="0"/>
          <c:tx>
            <c:v>Loop Gain</c:v>
          </c:tx>
          <c:spPr>
            <a:ln w="31750">
              <a:solidFill>
                <a:srgbClr val="FF0000"/>
              </a:solidFill>
              <a:prstDash val="solid"/>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Calculations'!$Q$13:$Q$613</c:f>
              <c:numCache>
                <c:formatCode>0.00</c:formatCode>
                <c:ptCount val="601"/>
                <c:pt idx="0">
                  <c:v>93.860807560386817</c:v>
                </c:pt>
                <c:pt idx="1">
                  <c:v>93.632435465671705</c:v>
                </c:pt>
                <c:pt idx="2">
                  <c:v>93.372899397295242</c:v>
                </c:pt>
                <c:pt idx="3">
                  <c:v>93.080120721953563</c:v>
                </c:pt>
                <c:pt idx="4">
                  <c:v>92.752643908208668</c:v>
                </c:pt>
                <c:pt idx="5">
                  <c:v>92.388720681953643</c:v>
                </c:pt>
                <c:pt idx="6">
                  <c:v>91.988222386731508</c:v>
                </c:pt>
                <c:pt idx="7">
                  <c:v>91.550892599331036</c:v>
                </c:pt>
                <c:pt idx="8">
                  <c:v>91.077672910604093</c:v>
                </c:pt>
                <c:pt idx="9">
                  <c:v>90.569397625175569</c:v>
                </c:pt>
                <c:pt idx="10">
                  <c:v>90.028037524584178</c:v>
                </c:pt>
                <c:pt idx="11">
                  <c:v>89.455611316866865</c:v>
                </c:pt>
                <c:pt idx="12">
                  <c:v>88.854164151617198</c:v>
                </c:pt>
                <c:pt idx="13">
                  <c:v>88.226809023868384</c:v>
                </c:pt>
                <c:pt idx="14">
                  <c:v>87.575650150708725</c:v>
                </c:pt>
                <c:pt idx="15">
                  <c:v>86.903499838893822</c:v>
                </c:pt>
                <c:pt idx="16">
                  <c:v>86.212777276942575</c:v>
                </c:pt>
                <c:pt idx="17">
                  <c:v>85.505904074720988</c:v>
                </c:pt>
                <c:pt idx="18">
                  <c:v>84.784810512225462</c:v>
                </c:pt>
                <c:pt idx="19">
                  <c:v>84.051623425866651</c:v>
                </c:pt>
                <c:pt idx="20">
                  <c:v>83.307924357742309</c:v>
                </c:pt>
                <c:pt idx="21">
                  <c:v>82.555389763604964</c:v>
                </c:pt>
                <c:pt idx="22">
                  <c:v>81.795191668120779</c:v>
                </c:pt>
                <c:pt idx="23">
                  <c:v>81.02867375685085</c:v>
                </c:pt>
                <c:pt idx="24">
                  <c:v>80.256636005111886</c:v>
                </c:pt>
                <c:pt idx="25">
                  <c:v>79.480048964950612</c:v>
                </c:pt>
                <c:pt idx="26">
                  <c:v>78.699456555003991</c:v>
                </c:pt>
                <c:pt idx="27">
                  <c:v>77.91572287984755</c:v>
                </c:pt>
                <c:pt idx="28">
                  <c:v>77.129339443319225</c:v>
                </c:pt>
                <c:pt idx="29">
                  <c:v>76.341236869080134</c:v>
                </c:pt>
                <c:pt idx="30">
                  <c:v>75.550451573228074</c:v>
                </c:pt>
                <c:pt idx="31">
                  <c:v>74.758397938311575</c:v>
                </c:pt>
                <c:pt idx="32">
                  <c:v>73.964800285815329</c:v>
                </c:pt>
                <c:pt idx="33">
                  <c:v>73.170443466394971</c:v>
                </c:pt>
                <c:pt idx="34">
                  <c:v>72.37489880624085</c:v>
                </c:pt>
                <c:pt idx="35">
                  <c:v>71.578767898232257</c:v>
                </c:pt>
                <c:pt idx="36">
                  <c:v>70.782058275899473</c:v>
                </c:pt>
                <c:pt idx="37">
                  <c:v>69.984448776276636</c:v>
                </c:pt>
                <c:pt idx="38">
                  <c:v>69.186789612358353</c:v>
                </c:pt>
                <c:pt idx="39">
                  <c:v>68.388514098833483</c:v>
                </c:pt>
                <c:pt idx="40">
                  <c:v>67.589987238175425</c:v>
                </c:pt>
                <c:pt idx="41">
                  <c:v>66.79119278098355</c:v>
                </c:pt>
                <c:pt idx="42">
                  <c:v>65.99228393975126</c:v>
                </c:pt>
                <c:pt idx="43">
                  <c:v>65.193060993019415</c:v>
                </c:pt>
                <c:pt idx="44">
                  <c:v>64.393764648185169</c:v>
                </c:pt>
                <c:pt idx="45">
                  <c:v>63.594256025562224</c:v>
                </c:pt>
                <c:pt idx="46">
                  <c:v>62.794713961487716</c:v>
                </c:pt>
                <c:pt idx="47">
                  <c:v>61.994979380369912</c:v>
                </c:pt>
                <c:pt idx="48">
                  <c:v>61.195258388334452</c:v>
                </c:pt>
                <c:pt idx="49">
                  <c:v>60.395352604971883</c:v>
                </c:pt>
                <c:pt idx="50">
                  <c:v>59.595388198518634</c:v>
                </c:pt>
                <c:pt idx="51">
                  <c:v>58.795178528496422</c:v>
                </c:pt>
                <c:pt idx="52">
                  <c:v>57.994975577274708</c:v>
                </c:pt>
                <c:pt idx="53">
                  <c:v>57.194742971519439</c:v>
                </c:pt>
                <c:pt idx="54">
                  <c:v>56.394970036206509</c:v>
                </c:pt>
                <c:pt idx="55">
                  <c:v>55.594293704290926</c:v>
                </c:pt>
                <c:pt idx="56">
                  <c:v>54.793819006295486</c:v>
                </c:pt>
                <c:pt idx="57">
                  <c:v>53.992985760593051</c:v>
                </c:pt>
                <c:pt idx="58">
                  <c:v>53.192343371067238</c:v>
                </c:pt>
                <c:pt idx="59">
                  <c:v>52.391248373550035</c:v>
                </c:pt>
                <c:pt idx="60">
                  <c:v>51.590119875404653</c:v>
                </c:pt>
                <c:pt idx="61">
                  <c:v>50.788796809387058</c:v>
                </c:pt>
                <c:pt idx="62">
                  <c:v>49.986800787745892</c:v>
                </c:pt>
                <c:pt idx="63">
                  <c:v>49.18483905906573</c:v>
                </c:pt>
                <c:pt idx="64">
                  <c:v>48.382197292755393</c:v>
                </c:pt>
                <c:pt idx="65">
                  <c:v>47.579096391789768</c:v>
                </c:pt>
                <c:pt idx="66">
                  <c:v>46.775367835216372</c:v>
                </c:pt>
                <c:pt idx="67">
                  <c:v>45.971002893476992</c:v>
                </c:pt>
                <c:pt idx="68">
                  <c:v>45.165621815310843</c:v>
                </c:pt>
                <c:pt idx="69">
                  <c:v>44.359267706394476</c:v>
                </c:pt>
                <c:pt idx="70">
                  <c:v>43.551574836510213</c:v>
                </c:pt>
                <c:pt idx="71">
                  <c:v>42.742466309811313</c:v>
                </c:pt>
                <c:pt idx="72">
                  <c:v>41.9314854644783</c:v>
                </c:pt>
                <c:pt idx="73">
                  <c:v>41.118501420501936</c:v>
                </c:pt>
                <c:pt idx="74">
                  <c:v>40.302921930242675</c:v>
                </c:pt>
                <c:pt idx="75">
                  <c:v>39.484428122569881</c:v>
                </c:pt>
                <c:pt idx="76">
                  <c:v>38.662319259655547</c:v>
                </c:pt>
                <c:pt idx="77">
                  <c:v>37.836279610361146</c:v>
                </c:pt>
                <c:pt idx="78">
                  <c:v>37.005632727068914</c:v>
                </c:pt>
                <c:pt idx="79">
                  <c:v>36.170190024284501</c:v>
                </c:pt>
                <c:pt idx="80">
                  <c:v>35.327768748384386</c:v>
                </c:pt>
                <c:pt idx="81">
                  <c:v>34.478732326862726</c:v>
                </c:pt>
                <c:pt idx="82">
                  <c:v>33.621682154085981</c:v>
                </c:pt>
                <c:pt idx="83">
                  <c:v>32.756428638276063</c:v>
                </c:pt>
                <c:pt idx="84">
                  <c:v>31.881573363694876</c:v>
                </c:pt>
                <c:pt idx="85">
                  <c:v>30.997005376471588</c:v>
                </c:pt>
                <c:pt idx="86">
                  <c:v>30.102192267100794</c:v>
                </c:pt>
                <c:pt idx="87">
                  <c:v>29.1965190513022</c:v>
                </c:pt>
                <c:pt idx="88">
                  <c:v>28.281066787726587</c:v>
                </c:pt>
                <c:pt idx="89">
                  <c:v>27.355720995513849</c:v>
                </c:pt>
                <c:pt idx="90">
                  <c:v>26.421881810911216</c:v>
                </c:pt>
                <c:pt idx="91">
                  <c:v>25.480951998872978</c:v>
                </c:pt>
                <c:pt idx="92">
                  <c:v>24.534925536656203</c:v>
                </c:pt>
                <c:pt idx="93">
                  <c:v>23.585677982448161</c:v>
                </c:pt>
                <c:pt idx="94">
                  <c:v>23.348253866752341</c:v>
                </c:pt>
                <c:pt idx="95">
                  <c:v>23.228800689646153</c:v>
                </c:pt>
                <c:pt idx="96">
                  <c:v>23.110717025859508</c:v>
                </c:pt>
                <c:pt idx="97">
                  <c:v>22.991285793750759</c:v>
                </c:pt>
                <c:pt idx="98">
                  <c:v>22.873232801510049</c:v>
                </c:pt>
                <c:pt idx="99">
                  <c:v>22.753811934679469</c:v>
                </c:pt>
                <c:pt idx="100">
                  <c:v>22.635778431576693</c:v>
                </c:pt>
                <c:pt idx="101">
                  <c:v>22.516448824028007</c:v>
                </c:pt>
                <c:pt idx="102">
                  <c:v>22.398513924077839</c:v>
                </c:pt>
                <c:pt idx="103">
                  <c:v>22.279178905891829</c:v>
                </c:pt>
                <c:pt idx="104">
                  <c:v>22.161248247201875</c:v>
                </c:pt>
                <c:pt idx="105">
                  <c:v>22.041991659093071</c:v>
                </c:pt>
                <c:pt idx="106">
                  <c:v>21.924147154022059</c:v>
                </c:pt>
                <c:pt idx="107">
                  <c:v>21.805047861106139</c:v>
                </c:pt>
                <c:pt idx="108">
                  <c:v>21.687366491431245</c:v>
                </c:pt>
                <c:pt idx="109">
                  <c:v>21.568417958322847</c:v>
                </c:pt>
                <c:pt idx="110">
                  <c:v>21.450893274093236</c:v>
                </c:pt>
                <c:pt idx="111">
                  <c:v>21.332013240389145</c:v>
                </c:pt>
                <c:pt idx="112">
                  <c:v>21.214564855904889</c:v>
                </c:pt>
                <c:pt idx="113">
                  <c:v>21.095834516456762</c:v>
                </c:pt>
                <c:pt idx="114">
                  <c:v>20.978541571376887</c:v>
                </c:pt>
                <c:pt idx="115">
                  <c:v>20.859961960973301</c:v>
                </c:pt>
                <c:pt idx="116">
                  <c:v>20.742825311982472</c:v>
                </c:pt>
                <c:pt idx="117">
                  <c:v>20.624399487990303</c:v>
                </c:pt>
                <c:pt idx="118">
                  <c:v>20.507421938102741</c:v>
                </c:pt>
                <c:pt idx="119">
                  <c:v>20.38922596407798</c:v>
                </c:pt>
                <c:pt idx="120">
                  <c:v>20.272481510359146</c:v>
                </c:pt>
                <c:pt idx="121">
                  <c:v>20.154516519395678</c:v>
                </c:pt>
                <c:pt idx="122">
                  <c:v>20.038006015195194</c:v>
                </c:pt>
                <c:pt idx="123">
                  <c:v>19.920206876882261</c:v>
                </c:pt>
                <c:pt idx="124">
                  <c:v>19.803866522909189</c:v>
                </c:pt>
                <c:pt idx="125">
                  <c:v>19.686308325665646</c:v>
                </c:pt>
                <c:pt idx="126">
                  <c:v>19.570211075142552</c:v>
                </c:pt>
                <c:pt idx="127">
                  <c:v>19.452898775779467</c:v>
                </c:pt>
                <c:pt idx="128">
                  <c:v>19.337049147061002</c:v>
                </c:pt>
                <c:pt idx="129">
                  <c:v>19.219988616638325</c:v>
                </c:pt>
                <c:pt idx="130">
                  <c:v>19.104392001355169</c:v>
                </c:pt>
                <c:pt idx="131">
                  <c:v>18.987589848257976</c:v>
                </c:pt>
                <c:pt idx="132">
                  <c:v>18.929740094834596</c:v>
                </c:pt>
                <c:pt idx="133">
                  <c:v>18.872252340380186</c:v>
                </c:pt>
                <c:pt idx="134">
                  <c:v>18.81376874386731</c:v>
                </c:pt>
                <c:pt idx="135">
                  <c:v>18.755655964126781</c:v>
                </c:pt>
                <c:pt idx="136">
                  <c:v>18.697909750096038</c:v>
                </c:pt>
                <c:pt idx="137">
                  <c:v>18.640525915149528</c:v>
                </c:pt>
                <c:pt idx="138">
                  <c:v>18.582209764835085</c:v>
                </c:pt>
                <c:pt idx="139">
                  <c:v>18.524263979213973</c:v>
                </c:pt>
                <c:pt idx="140">
                  <c:v>18.466684281472222</c:v>
                </c:pt>
                <c:pt idx="141">
                  <c:v>18.409466460225985</c:v>
                </c:pt>
                <c:pt idx="142">
                  <c:v>18.351262329535412</c:v>
                </c:pt>
                <c:pt idx="143">
                  <c:v>18.293428714747012</c:v>
                </c:pt>
                <c:pt idx="144">
                  <c:v>18.23596130296724</c:v>
                </c:pt>
                <c:pt idx="145">
                  <c:v>18.178855847965696</c:v>
                </c:pt>
                <c:pt idx="146">
                  <c:v>18.120797865618165</c:v>
                </c:pt>
                <c:pt idx="147">
                  <c:v>18.06311001803298</c:v>
                </c:pt>
                <c:pt idx="148">
                  <c:v>18.005787965668375</c:v>
                </c:pt>
                <c:pt idx="149">
                  <c:v>17.948827436711817</c:v>
                </c:pt>
                <c:pt idx="150">
                  <c:v>17.890919674251371</c:v>
                </c:pt>
                <c:pt idx="151">
                  <c:v>17.833381511283722</c:v>
                </c:pt>
                <c:pt idx="152">
                  <c:v>17.776208584672972</c:v>
                </c:pt>
                <c:pt idx="153">
                  <c:v>17.719396600036539</c:v>
                </c:pt>
                <c:pt idx="154">
                  <c:v>17.661616609271427</c:v>
                </c:pt>
                <c:pt idx="155">
                  <c:v>17.604205865236409</c:v>
                </c:pt>
                <c:pt idx="156">
                  <c:v>17.547159978402696</c:v>
                </c:pt>
                <c:pt idx="157">
                  <c:v>17.490474629096209</c:v>
                </c:pt>
                <c:pt idx="158">
                  <c:v>17.432828382298766</c:v>
                </c:pt>
                <c:pt idx="159">
                  <c:v>17.375550849968551</c:v>
                </c:pt>
                <c:pt idx="160">
                  <c:v>17.318637619863534</c:v>
                </c:pt>
                <c:pt idx="161">
                  <c:v>17.262084350635792</c:v>
                </c:pt>
                <c:pt idx="162">
                  <c:v>17.204602782661055</c:v>
                </c:pt>
                <c:pt idx="163">
                  <c:v>17.147488898064843</c:v>
                </c:pt>
                <c:pt idx="164">
                  <c:v>17.090738271456722</c:v>
                </c:pt>
                <c:pt idx="165">
                  <c:v>17.03434654918572</c:v>
                </c:pt>
                <c:pt idx="166">
                  <c:v>16.976984192918383</c:v>
                </c:pt>
                <c:pt idx="167">
                  <c:v>16.91998896430913</c:v>
                </c:pt>
                <c:pt idx="168">
                  <c:v>16.863356416960229</c:v>
                </c:pt>
                <c:pt idx="169">
                  <c:v>16.807082177235873</c:v>
                </c:pt>
                <c:pt idx="170">
                  <c:v>16.749965786260365</c:v>
                </c:pt>
                <c:pt idx="171">
                  <c:v>16.693214247261658</c:v>
                </c:pt>
                <c:pt idx="172">
                  <c:v>16.636823124845101</c:v>
                </c:pt>
                <c:pt idx="173">
                  <c:v>16.580788056704641</c:v>
                </c:pt>
                <c:pt idx="174">
                  <c:v>16.523705480186781</c:v>
                </c:pt>
                <c:pt idx="175">
                  <c:v>16.466988080274529</c:v>
                </c:pt>
                <c:pt idx="176">
                  <c:v>16.410631386094806</c:v>
                </c:pt>
                <c:pt idx="177">
                  <c:v>16.354631001210372</c:v>
                </c:pt>
                <c:pt idx="178">
                  <c:v>16.297618596675786</c:v>
                </c:pt>
                <c:pt idx="179">
                  <c:v>16.240971129282517</c:v>
                </c:pt>
                <c:pt idx="180">
                  <c:v>16.184684103589884</c:v>
                </c:pt>
                <c:pt idx="181">
                  <c:v>16.128753099706</c:v>
                </c:pt>
                <c:pt idx="182">
                  <c:v>16.072065742806981</c:v>
                </c:pt>
                <c:pt idx="183">
                  <c:v>16.015739735581114</c:v>
                </c:pt>
                <c:pt idx="184">
                  <c:v>15.95977062066294</c:v>
                </c:pt>
                <c:pt idx="185">
                  <c:v>15.904154015940859</c:v>
                </c:pt>
                <c:pt idx="186">
                  <c:v>15.847373311057355</c:v>
                </c:pt>
                <c:pt idx="187">
                  <c:v>15.790955593968373</c:v>
                </c:pt>
                <c:pt idx="188">
                  <c:v>15.734896349732921</c:v>
                </c:pt>
                <c:pt idx="189">
                  <c:v>15.679191140514526</c:v>
                </c:pt>
                <c:pt idx="190">
                  <c:v>15.622782572663693</c:v>
                </c:pt>
                <c:pt idx="191">
                  <c:v>15.566732613439475</c:v>
                </c:pt>
                <c:pt idx="192">
                  <c:v>15.51103680295267</c:v>
                </c:pt>
                <c:pt idx="193">
                  <c:v>15.455690757707398</c:v>
                </c:pt>
                <c:pt idx="194">
                  <c:v>15.399252814532563</c:v>
                </c:pt>
                <c:pt idx="195">
                  <c:v>15.343174103092959</c:v>
                </c:pt>
                <c:pt idx="196">
                  <c:v>15.287450126442581</c:v>
                </c:pt>
                <c:pt idx="197">
                  <c:v>15.232076465403956</c:v>
                </c:pt>
                <c:pt idx="198">
                  <c:v>15.175847629679268</c:v>
                </c:pt>
                <c:pt idx="199">
                  <c:v>15.119975530453187</c:v>
                </c:pt>
                <c:pt idx="200">
                  <c:v>15.064455692894985</c:v>
                </c:pt>
                <c:pt idx="201">
                  <c:v>15.009283719948591</c:v>
                </c:pt>
                <c:pt idx="202">
                  <c:v>14.953284124003684</c:v>
                </c:pt>
                <c:pt idx="203">
                  <c:v>14.897638428530877</c:v>
                </c:pt>
                <c:pt idx="204">
                  <c:v>14.842342188316964</c:v>
                </c:pt>
                <c:pt idx="205">
                  <c:v>14.787391035734746</c:v>
                </c:pt>
                <c:pt idx="206">
                  <c:v>14.731448298768504</c:v>
                </c:pt>
                <c:pt idx="207">
                  <c:v>14.675858710707777</c:v>
                </c:pt>
                <c:pt idx="208">
                  <c:v>14.620617817769846</c:v>
                </c:pt>
                <c:pt idx="209">
                  <c:v>14.565721244438182</c:v>
                </c:pt>
                <c:pt idx="210">
                  <c:v>14.5096798215046</c:v>
                </c:pt>
                <c:pt idx="211">
                  <c:v>14.453992662234141</c:v>
                </c:pt>
                <c:pt idx="212">
                  <c:v>14.398655269671142</c:v>
                </c:pt>
                <c:pt idx="213">
                  <c:v>14.343663226609081</c:v>
                </c:pt>
                <c:pt idx="214">
                  <c:v>14.28792624169024</c:v>
                </c:pt>
                <c:pt idx="215">
                  <c:v>14.232539475710592</c:v>
                </c:pt>
                <c:pt idx="216">
                  <c:v>14.177498487158847</c:v>
                </c:pt>
                <c:pt idx="217">
                  <c:v>14.122798913417133</c:v>
                </c:pt>
                <c:pt idx="218">
                  <c:v>14.067200832333924</c:v>
                </c:pt>
                <c:pt idx="219">
                  <c:v>14.011950926399619</c:v>
                </c:pt>
                <c:pt idx="220">
                  <c:v>13.957044772572431</c:v>
                </c:pt>
                <c:pt idx="221">
                  <c:v>13.902478026696656</c:v>
                </c:pt>
                <c:pt idx="222">
                  <c:v>13.847041223504579</c:v>
                </c:pt>
                <c:pt idx="223">
                  <c:v>13.791950193296378</c:v>
                </c:pt>
                <c:pt idx="224">
                  <c:v>13.737200539186517</c:v>
                </c:pt>
                <c:pt idx="225">
                  <c:v>13.682787942963552</c:v>
                </c:pt>
                <c:pt idx="226">
                  <c:v>13.627364595185828</c:v>
                </c:pt>
                <c:pt idx="227">
                  <c:v>13.572286375572711</c:v>
                </c:pt>
                <c:pt idx="228">
                  <c:v>13.517548880737106</c:v>
                </c:pt>
                <c:pt idx="229">
                  <c:v>13.463147786511371</c:v>
                </c:pt>
                <c:pt idx="230">
                  <c:v>13.352732638053389</c:v>
                </c:pt>
                <c:pt idx="231">
                  <c:v>13.298036696570348</c:v>
                </c:pt>
                <c:pt idx="232">
                  <c:v>13.243676055844285</c:v>
                </c:pt>
                <c:pt idx="233">
                  <c:v>13.188367859712901</c:v>
                </c:pt>
                <c:pt idx="234">
                  <c:v>13.133402155646948</c:v>
                </c:pt>
                <c:pt idx="235">
                  <c:v>13.078774554903678</c:v>
                </c:pt>
                <c:pt idx="236">
                  <c:v>13.024480748334494</c:v>
                </c:pt>
                <c:pt idx="237">
                  <c:v>12.969424960003895</c:v>
                </c:pt>
                <c:pt idx="238">
                  <c:v>12.914707831264447</c:v>
                </c:pt>
                <c:pt idx="239">
                  <c:v>12.86032502983768</c:v>
                </c:pt>
                <c:pt idx="240">
                  <c:v>12.806272302009498</c:v>
                </c:pt>
                <c:pt idx="241">
                  <c:v>12.75117600977574</c:v>
                </c:pt>
                <c:pt idx="242">
                  <c:v>12.69641806902564</c:v>
                </c:pt>
                <c:pt idx="243">
                  <c:v>12.641994137063454</c:v>
                </c:pt>
                <c:pt idx="244">
                  <c:v>12.587899950320187</c:v>
                </c:pt>
                <c:pt idx="245">
                  <c:v>12.532943429697001</c:v>
                </c:pt>
                <c:pt idx="246">
                  <c:v>12.478322668093188</c:v>
                </c:pt>
                <c:pt idx="247">
                  <c:v>12.424033356691025</c:v>
                </c:pt>
                <c:pt idx="248">
                  <c:v>12.370071265269793</c:v>
                </c:pt>
                <c:pt idx="249">
                  <c:v>12.315127972869451</c:v>
                </c:pt>
                <c:pt idx="250">
                  <c:v>12.260519315571639</c:v>
                </c:pt>
                <c:pt idx="251">
                  <c:v>12.2062409907178</c:v>
                </c:pt>
                <c:pt idx="252">
                  <c:v>12.15228877436795</c:v>
                </c:pt>
                <c:pt idx="253">
                  <c:v>12.097526936933608</c:v>
                </c:pt>
                <c:pt idx="254">
                  <c:v>12.043096498213639</c:v>
                </c:pt>
                <c:pt idx="255">
                  <c:v>11.988993202701344</c:v>
                </c:pt>
                <c:pt idx="256">
                  <c:v>11.935212872712807</c:v>
                </c:pt>
                <c:pt idx="257">
                  <c:v>11.880370595544052</c:v>
                </c:pt>
                <c:pt idx="258">
                  <c:v>11.8258595703478</c:v>
                </c:pt>
                <c:pt idx="259">
                  <c:v>11.771675529720509</c:v>
                </c:pt>
                <c:pt idx="260">
                  <c:v>11.717814284602547</c:v>
                </c:pt>
                <c:pt idx="261">
                  <c:v>11.663058517932596</c:v>
                </c:pt>
                <c:pt idx="262">
                  <c:v>11.608631766096009</c:v>
                </c:pt>
                <c:pt idx="263">
                  <c:v>11.554529790248928</c:v>
                </c:pt>
                <c:pt idx="264">
                  <c:v>11.500748429407333</c:v>
                </c:pt>
                <c:pt idx="265">
                  <c:v>11.446099055561572</c:v>
                </c:pt>
                <c:pt idx="266">
                  <c:v>11.391776153093549</c:v>
                </c:pt>
                <c:pt idx="267">
                  <c:v>11.337775517838429</c:v>
                </c:pt>
                <c:pt idx="268">
                  <c:v>11.284093022837837</c:v>
                </c:pt>
                <c:pt idx="269">
                  <c:v>11.22943937618615</c:v>
                </c:pt>
                <c:pt idx="270">
                  <c:v>11.175110902790104</c:v>
                </c:pt>
                <c:pt idx="271">
                  <c:v>11.121103409314978</c:v>
                </c:pt>
                <c:pt idx="272">
                  <c:v>11.067412779542479</c:v>
                </c:pt>
                <c:pt idx="273">
                  <c:v>11.012779805492823</c:v>
                </c:pt>
                <c:pt idx="274">
                  <c:v>10.958470330375111</c:v>
                </c:pt>
                <c:pt idx="275">
                  <c:v>10.904480178979256</c:v>
                </c:pt>
                <c:pt idx="276">
                  <c:v>10.850805252925117</c:v>
                </c:pt>
                <c:pt idx="277">
                  <c:v>10.796338173193643</c:v>
                </c:pt>
                <c:pt idx="278">
                  <c:v>10.742191136229922</c:v>
                </c:pt>
                <c:pt idx="279">
                  <c:v>10.688360019310588</c:v>
                </c:pt>
                <c:pt idx="280">
                  <c:v>10.634840775397969</c:v>
                </c:pt>
                <c:pt idx="281">
                  <c:v>10.580192286852606</c:v>
                </c:pt>
                <c:pt idx="282">
                  <c:v>10.525864379535959</c:v>
                </c:pt>
                <c:pt idx="283">
                  <c:v>10.471852906058675</c:v>
                </c:pt>
                <c:pt idx="284">
                  <c:v>10.418153795441093</c:v>
                </c:pt>
                <c:pt idx="285">
                  <c:v>10.363710053962215</c:v>
                </c:pt>
                <c:pt idx="286">
                  <c:v>10.309582838606136</c:v>
                </c:pt>
                <c:pt idx="287">
                  <c:v>10.25576806583719</c:v>
                </c:pt>
                <c:pt idx="288">
                  <c:v>10.202261727072511</c:v>
                </c:pt>
                <c:pt idx="289">
                  <c:v>10.147687981766811</c:v>
                </c:pt>
                <c:pt idx="290">
                  <c:v>10.093430518282441</c:v>
                </c:pt>
                <c:pt idx="291">
                  <c:v>10.039485243104584</c:v>
                </c:pt>
                <c:pt idx="292">
                  <c:v>9.9858481380019644</c:v>
                </c:pt>
                <c:pt idx="293">
                  <c:v>9.9312863411226466</c:v>
                </c:pt>
                <c:pt idx="294">
                  <c:v>9.8770388461919403</c:v>
                </c:pt>
                <c:pt idx="295">
                  <c:v>9.8231015829018844</c:v>
                </c:pt>
                <c:pt idx="296">
                  <c:v>9.7694705557320329</c:v>
                </c:pt>
                <c:pt idx="297">
                  <c:v>9.7149407533610361</c:v>
                </c:pt>
                <c:pt idx="298">
                  <c:v>9.6607229585841772</c:v>
                </c:pt>
                <c:pt idx="299">
                  <c:v>9.606813130001651</c:v>
                </c:pt>
                <c:pt idx="300">
                  <c:v>9.5532073003504827</c:v>
                </c:pt>
                <c:pt idx="301">
                  <c:v>9.4987274973908491</c:v>
                </c:pt>
                <c:pt idx="302">
                  <c:v>9.4445571201903888</c:v>
                </c:pt>
                <c:pt idx="303">
                  <c:v>9.3906921613666903</c:v>
                </c:pt>
                <c:pt idx="304">
                  <c:v>9.3371286868843626</c:v>
                </c:pt>
                <c:pt idx="305">
                  <c:v>9.2825062738155193</c:v>
                </c:pt>
                <c:pt idx="306">
                  <c:v>9.2281927900299809</c:v>
                </c:pt>
                <c:pt idx="307">
                  <c:v>9.1741842211605142</c:v>
                </c:pt>
                <c:pt idx="308">
                  <c:v>9.1204766263802046</c:v>
                </c:pt>
                <c:pt idx="309">
                  <c:v>9.0659437969417418</c:v>
                </c:pt>
                <c:pt idx="310">
                  <c:v>9.01171668284465</c:v>
                </c:pt>
                <c:pt idx="311">
                  <c:v>8.9577913148088797</c:v>
                </c:pt>
                <c:pt idx="312">
                  <c:v>8.9041637960066851</c:v>
                </c:pt>
                <c:pt idx="313">
                  <c:v>8.8495331246315825</c:v>
                </c:pt>
                <c:pt idx="314">
                  <c:v>8.795206956239932</c:v>
                </c:pt>
                <c:pt idx="315">
                  <c:v>8.7411813270304055</c:v>
                </c:pt>
                <c:pt idx="316">
                  <c:v>8.6874523455138135</c:v>
                </c:pt>
                <c:pt idx="317">
                  <c:v>8.6327474394090693</c:v>
                </c:pt>
                <c:pt idx="318">
                  <c:v>8.578345444842201</c:v>
                </c:pt>
                <c:pt idx="319">
                  <c:v>8.5242424099646534</c:v>
                </c:pt>
                <c:pt idx="320">
                  <c:v>8.47043445492789</c:v>
                </c:pt>
                <c:pt idx="321">
                  <c:v>8.4156766315476954</c:v>
                </c:pt>
                <c:pt idx="322">
                  <c:v>8.3612197763552683</c:v>
                </c:pt>
                <c:pt idx="323">
                  <c:v>8.3070599553484019</c:v>
                </c:pt>
                <c:pt idx="324">
                  <c:v>8.2531933060554952</c:v>
                </c:pt>
                <c:pt idx="325">
                  <c:v>8.1984017043877717</c:v>
                </c:pt>
                <c:pt idx="326">
                  <c:v>8.1439088015768668</c:v>
                </c:pt>
                <c:pt idx="327">
                  <c:v>8.0897106867947048</c:v>
                </c:pt>
                <c:pt idx="328">
                  <c:v>8.035803520131811</c:v>
                </c:pt>
                <c:pt idx="329">
                  <c:v>7.9809038052629901</c:v>
                </c:pt>
                <c:pt idx="330">
                  <c:v>7.9263012031892632</c:v>
                </c:pt>
                <c:pt idx="331">
                  <c:v>7.8719918117043921</c:v>
                </c:pt>
                <c:pt idx="332">
                  <c:v>7.817971799245214</c:v>
                </c:pt>
                <c:pt idx="333">
                  <c:v>7.7630743531582302</c:v>
                </c:pt>
                <c:pt idx="334">
                  <c:v>7.7084711151542411</c:v>
                </c:pt>
                <c:pt idx="335">
                  <c:v>7.6541582162694644</c:v>
                </c:pt>
                <c:pt idx="336">
                  <c:v>7.600131857301812</c:v>
                </c:pt>
                <c:pt idx="337">
                  <c:v>7.5450745827988444</c:v>
                </c:pt>
                <c:pt idx="338">
                  <c:v>7.4903102104743633</c:v>
                </c:pt>
                <c:pt idx="339">
                  <c:v>7.4358348717584013</c:v>
                </c:pt>
                <c:pt idx="340">
                  <c:v>7.3816447677348513</c:v>
                </c:pt>
                <c:pt idx="341">
                  <c:v>7.3264499054342789</c:v>
                </c:pt>
                <c:pt idx="342">
                  <c:v>7.2715462442012058</c:v>
                </c:pt>
                <c:pt idx="343">
                  <c:v>7.2169299220065044</c:v>
                </c:pt>
                <c:pt idx="344">
                  <c:v>7.1625971462038693</c:v>
                </c:pt>
                <c:pt idx="345">
                  <c:v>7.1073685569396066</c:v>
                </c:pt>
                <c:pt idx="346">
                  <c:v>7.0524282237398319</c:v>
                </c:pt>
                <c:pt idx="347">
                  <c:v>6.9977723141119199</c:v>
                </c:pt>
                <c:pt idx="348">
                  <c:v>6.9433970641118057</c:v>
                </c:pt>
                <c:pt idx="349">
                  <c:v>6.8879827354844707</c:v>
                </c:pt>
                <c:pt idx="350">
                  <c:v>6.8328551416281602</c:v>
                </c:pt>
                <c:pt idx="351">
                  <c:v>6.7780104494532054</c:v>
                </c:pt>
                <c:pt idx="352">
                  <c:v>6.7234448942859508</c:v>
                </c:pt>
                <c:pt idx="353">
                  <c:v>6.6678654835115827</c:v>
                </c:pt>
                <c:pt idx="354">
                  <c:v>6.612570886735468</c:v>
                </c:pt>
                <c:pt idx="355">
                  <c:v>6.557557276124836</c:v>
                </c:pt>
                <c:pt idx="356">
                  <c:v>6.5028208919743369</c:v>
                </c:pt>
                <c:pt idx="357">
                  <c:v>6.4471736437347316</c:v>
                </c:pt>
                <c:pt idx="358">
                  <c:v>6.3918081161735643</c:v>
                </c:pt>
                <c:pt idx="359">
                  <c:v>6.3367205081391278</c:v>
                </c:pt>
                <c:pt idx="360">
                  <c:v>6.2819070857965613</c:v>
                </c:pt>
                <c:pt idx="361">
                  <c:v>6.2260485399793719</c:v>
                </c:pt>
                <c:pt idx="362">
                  <c:v>6.170469882474233</c:v>
                </c:pt>
                <c:pt idx="363">
                  <c:v>6.1151673110455089</c:v>
                </c:pt>
                <c:pt idx="364">
                  <c:v>6.060137090601768</c:v>
                </c:pt>
                <c:pt idx="365">
                  <c:v>6.0041616524505725</c:v>
                </c:pt>
                <c:pt idx="366">
                  <c:v>5.9484631194047086</c:v>
                </c:pt>
                <c:pt idx="367">
                  <c:v>5.8930377089454407</c:v>
                </c:pt>
                <c:pt idx="368">
                  <c:v>5.8378817050206422</c:v>
                </c:pt>
                <c:pt idx="369">
                  <c:v>5.7816523306269989</c:v>
                </c:pt>
                <c:pt idx="370">
                  <c:v>5.7256980129088211</c:v>
                </c:pt>
                <c:pt idx="371">
                  <c:v>5.6700149630946903</c:v>
                </c:pt>
                <c:pt idx="372">
                  <c:v>5.614599458791445</c:v>
                </c:pt>
                <c:pt idx="373">
                  <c:v>5.5582073848088518</c:v>
                </c:pt>
                <c:pt idx="374">
                  <c:v>5.5020873902763148</c:v>
                </c:pt>
                <c:pt idx="375">
                  <c:v>5.4462357003351958</c:v>
                </c:pt>
                <c:pt idx="376">
                  <c:v>5.390648605929</c:v>
                </c:pt>
                <c:pt idx="377">
                  <c:v>5.3339623062668204</c:v>
                </c:pt>
                <c:pt idx="378">
                  <c:v>5.2775461246732736</c:v>
                </c:pt>
                <c:pt idx="379">
                  <c:v>5.2213962757973533</c:v>
                </c:pt>
                <c:pt idx="380">
                  <c:v>5.165509040061103</c:v>
                </c:pt>
                <c:pt idx="381">
                  <c:v>5.108686517356734</c:v>
                </c:pt>
                <c:pt idx="382">
                  <c:v>5.0521303885722784</c:v>
                </c:pt>
                <c:pt idx="383">
                  <c:v>4.9958368912717219</c:v>
                </c:pt>
                <c:pt idx="384">
                  <c:v>4.9398023279742436</c:v>
                </c:pt>
                <c:pt idx="385">
                  <c:v>4.8826438901121056</c:v>
                </c:pt>
                <c:pt idx="386">
                  <c:v>4.8257497198908359</c:v>
                </c:pt>
                <c:pt idx="387">
                  <c:v>4.7691160402746569</c:v>
                </c:pt>
                <c:pt idx="388">
                  <c:v>4.7127391392092175</c:v>
                </c:pt>
                <c:pt idx="389">
                  <c:v>4.6553288925206147</c:v>
                </c:pt>
                <c:pt idx="390">
                  <c:v>4.5981797018149724</c:v>
                </c:pt>
                <c:pt idx="391">
                  <c:v>4.541287794327606</c:v>
                </c:pt>
                <c:pt idx="392">
                  <c:v>4.4846494618508199</c:v>
                </c:pt>
                <c:pt idx="393">
                  <c:v>4.4269974946988979</c:v>
                </c:pt>
                <c:pt idx="394">
                  <c:v>4.3696029799430738</c:v>
                </c:pt>
                <c:pt idx="395">
                  <c:v>4.3124621532977176</c:v>
                </c:pt>
                <c:pt idx="396">
                  <c:v>4.2555713144990417</c:v>
                </c:pt>
                <c:pt idx="397">
                  <c:v>4.1975546745012275</c:v>
                </c:pt>
                <c:pt idx="398">
                  <c:v>4.1397926486794816</c:v>
                </c:pt>
                <c:pt idx="399">
                  <c:v>4.0822814596992556</c:v>
                </c:pt>
                <c:pt idx="400">
                  <c:v>4.0250173941839007</c:v>
                </c:pt>
                <c:pt idx="401">
                  <c:v>3.9667124366003117</c:v>
                </c:pt>
                <c:pt idx="402">
                  <c:v>3.9086582299130024</c:v>
                </c:pt>
                <c:pt idx="403">
                  <c:v>3.8508510012461845</c:v>
                </c:pt>
                <c:pt idx="404">
                  <c:v>3.7932870412098838</c:v>
                </c:pt>
                <c:pt idx="405">
                  <c:v>3.7346368051865104</c:v>
                </c:pt>
                <c:pt idx="406">
                  <c:v>3.6762335862233035</c:v>
                </c:pt>
                <c:pt idx="407">
                  <c:v>3.6180736076401936</c:v>
                </c:pt>
                <c:pt idx="408">
                  <c:v>3.5601531559458808</c:v>
                </c:pt>
                <c:pt idx="409">
                  <c:v>3.5011024176636152</c:v>
                </c:pt>
                <c:pt idx="410">
                  <c:v>3.4422950307388827</c:v>
                </c:pt>
                <c:pt idx="411">
                  <c:v>3.3837272071227535</c:v>
                </c:pt>
                <c:pt idx="412">
                  <c:v>3.3253952218180398</c:v>
                </c:pt>
                <c:pt idx="413">
                  <c:v>3.2659512489474785</c:v>
                </c:pt>
                <c:pt idx="414">
                  <c:v>3.2067464816362081</c:v>
                </c:pt>
                <c:pt idx="415">
                  <c:v>3.1477771251761641</c:v>
                </c:pt>
                <c:pt idx="416">
                  <c:v>3.0890394476659293</c:v>
                </c:pt>
                <c:pt idx="417">
                  <c:v>3.0291465993694819</c:v>
                </c:pt>
                <c:pt idx="418">
                  <c:v>2.9694888166434392</c:v>
                </c:pt>
                <c:pt idx="419">
                  <c:v>2.9100622910921627</c:v>
                </c:pt>
                <c:pt idx="420">
                  <c:v>2.8508632770382372</c:v>
                </c:pt>
                <c:pt idx="421">
                  <c:v>2.7905853082674326</c:v>
                </c:pt>
                <c:pt idx="422">
                  <c:v>2.7305373143593119</c:v>
                </c:pt>
                <c:pt idx="423">
                  <c:v>2.6707154891645728</c:v>
                </c:pt>
                <c:pt idx="424">
                  <c:v>2.6111160888256864</c:v>
                </c:pt>
                <c:pt idx="425">
                  <c:v>2.5502770185718129</c:v>
                </c:pt>
                <c:pt idx="426">
                  <c:v>2.4896636908156062</c:v>
                </c:pt>
                <c:pt idx="427">
                  <c:v>2.4292722726468061</c:v>
                </c:pt>
                <c:pt idx="428">
                  <c:v>2.3690989936705455</c:v>
                </c:pt>
                <c:pt idx="429">
                  <c:v>2.3077603076556787</c:v>
                </c:pt>
                <c:pt idx="430">
                  <c:v>2.2466421457976087</c:v>
                </c:pt>
                <c:pt idx="431">
                  <c:v>2.1857406647781525</c:v>
                </c:pt>
                <c:pt idx="432">
                  <c:v>2.1250520836918247</c:v>
                </c:pt>
                <c:pt idx="433">
                  <c:v>2.0632121480771022</c:v>
                </c:pt>
                <c:pt idx="434">
                  <c:v>2.0015870141205454</c:v>
                </c:pt>
                <c:pt idx="435">
                  <c:v>1.9401728328522514</c:v>
                </c:pt>
                <c:pt idx="436">
                  <c:v>1.8789658175537487</c:v>
                </c:pt>
                <c:pt idx="437">
                  <c:v>1.8165082312132077</c:v>
                </c:pt>
                <c:pt idx="438">
                  <c:v>1.7542599809701895</c:v>
                </c:pt>
                <c:pt idx="439">
                  <c:v>1.6922171962070756</c:v>
                </c:pt>
                <c:pt idx="440">
                  <c:v>1.6303760687996049</c:v>
                </c:pt>
                <c:pt idx="441">
                  <c:v>1.5672977629224145</c:v>
                </c:pt>
                <c:pt idx="442">
                  <c:v>1.504422754636594</c:v>
                </c:pt>
                <c:pt idx="443">
                  <c:v>1.4417471575258873</c:v>
                </c:pt>
                <c:pt idx="444">
                  <c:v>1.3792671478615706</c:v>
                </c:pt>
                <c:pt idx="445">
                  <c:v>1.3155618067355523</c:v>
                </c:pt>
                <c:pt idx="446">
                  <c:v>1.2520531721533037</c:v>
                </c:pt>
                <c:pt idx="447">
                  <c:v>1.1887373477622398</c:v>
                </c:pt>
                <c:pt idx="448">
                  <c:v>1.1256105000664098</c:v>
                </c:pt>
                <c:pt idx="449">
                  <c:v>1.0611609333818299</c:v>
                </c:pt>
                <c:pt idx="450">
                  <c:v>0.99690158095187775</c:v>
                </c:pt>
                <c:pt idx="451">
                  <c:v>0.93282852295969232</c:v>
                </c:pt>
                <c:pt idx="452">
                  <c:v>0.8689379030316019</c:v>
                </c:pt>
                <c:pt idx="453">
                  <c:v>0.8037884440242965</c:v>
                </c:pt>
                <c:pt idx="454">
                  <c:v>0.73882180137706654</c:v>
                </c:pt>
                <c:pt idx="455">
                  <c:v>0.67403404874577311</c:v>
                </c:pt>
                <c:pt idx="456">
                  <c:v>0.60942132360911827</c:v>
                </c:pt>
                <c:pt idx="457">
                  <c:v>0.54345257614462017</c:v>
                </c:pt>
                <c:pt idx="458">
                  <c:v>0.47765926939633119</c:v>
                </c:pt>
                <c:pt idx="459">
                  <c:v>0.41203745884043241</c:v>
                </c:pt>
                <c:pt idx="460">
                  <c:v>0.34658326460019645</c:v>
                </c:pt>
                <c:pt idx="461">
                  <c:v>0.27978125627341593</c:v>
                </c:pt>
                <c:pt idx="462">
                  <c:v>0.21314670950353543</c:v>
                </c:pt>
                <c:pt idx="463">
                  <c:v>0.14667567031161005</c:v>
                </c:pt>
                <c:pt idx="464">
                  <c:v>8.0364250233926501E-2</c:v>
                </c:pt>
                <c:pt idx="465">
                  <c:v>1.2659940583602902E-2</c:v>
                </c:pt>
                <c:pt idx="466">
                  <c:v>-5.4885216437709008E-2</c:v>
                </c:pt>
                <c:pt idx="467">
                  <c:v>-0.12227518394903351</c:v>
                </c:pt>
                <c:pt idx="468">
                  <c:v>-0.18951385841374291</c:v>
                </c:pt>
                <c:pt idx="469">
                  <c:v>-0.2581398135362562</c:v>
                </c:pt>
                <c:pt idx="470">
                  <c:v>-0.3266155057706846</c:v>
                </c:pt>
                <c:pt idx="471">
                  <c:v>-0.39494489673229005</c:v>
                </c:pt>
                <c:pt idx="472">
                  <c:v>-0.46313188014922535</c:v>
                </c:pt>
                <c:pt idx="473">
                  <c:v>-0.53280365647293537</c:v>
                </c:pt>
                <c:pt idx="474">
                  <c:v>-0.60233419077639616</c:v>
                </c:pt>
                <c:pt idx="475">
                  <c:v>-0.67172744881486746</c:v>
                </c:pt>
                <c:pt idx="476">
                  <c:v>-0.74098732670721734</c:v>
                </c:pt>
                <c:pt idx="477">
                  <c:v>-0.81172850553372966</c:v>
                </c:pt>
                <c:pt idx="478">
                  <c:v>-0.88233804655195325</c:v>
                </c:pt>
                <c:pt idx="479">
                  <c:v>-0.95281990580491094</c:v>
                </c:pt>
                <c:pt idx="480">
                  <c:v>-1.0231779678168997</c:v>
                </c:pt>
                <c:pt idx="481">
                  <c:v>-1.0950155456792059</c:v>
                </c:pt>
                <c:pt idx="482">
                  <c:v>-1.1667316144202091</c:v>
                </c:pt>
                <c:pt idx="483">
                  <c:v>-1.2383301052715416</c:v>
                </c:pt>
                <c:pt idx="484">
                  <c:v>-1.3098148759102797</c:v>
                </c:pt>
                <c:pt idx="485">
                  <c:v>-1.3828286784236146</c:v>
                </c:pt>
                <c:pt idx="486">
                  <c:v>-1.4557314097690006</c:v>
                </c:pt>
                <c:pt idx="487">
                  <c:v>-1.5285269677827706</c:v>
                </c:pt>
                <c:pt idx="488">
                  <c:v>-1.6012191743380055</c:v>
                </c:pt>
                <c:pt idx="489">
                  <c:v>-1.6755401637993226</c:v>
                </c:pt>
                <c:pt idx="490">
                  <c:v>-1.7497606866448101</c:v>
                </c:pt>
                <c:pt idx="491">
                  <c:v>-1.8238846038493974</c:v>
                </c:pt>
                <c:pt idx="492">
                  <c:v>-1.8979156974244937</c:v>
                </c:pt>
                <c:pt idx="493">
                  <c:v>-1.9735773637774217</c:v>
                </c:pt>
                <c:pt idx="494">
                  <c:v>-2.0491495995819884</c:v>
                </c:pt>
                <c:pt idx="495">
                  <c:v>-2.1246362070418856</c:v>
                </c:pt>
                <c:pt idx="496">
                  <c:v>-2.2000409062175854</c:v>
                </c:pt>
                <c:pt idx="497">
                  <c:v>-2.2771284498557955</c:v>
                </c:pt>
                <c:pt idx="498">
                  <c:v>-2.354137832772023</c:v>
                </c:pt>
                <c:pt idx="499">
                  <c:v>-2.4310727816873885</c:v>
                </c:pt>
                <c:pt idx="500">
                  <c:v>-2.5079369376179779</c:v>
                </c:pt>
                <c:pt idx="501">
                  <c:v>-2.5865371950204343</c:v>
                </c:pt>
                <c:pt idx="502">
                  <c:v>-2.6650707414533645</c:v>
                </c:pt>
                <c:pt idx="503">
                  <c:v>-2.743541208389952</c:v>
                </c:pt>
                <c:pt idx="504">
                  <c:v>-2.8219521376729033</c:v>
                </c:pt>
                <c:pt idx="505">
                  <c:v>-2.9021048182363804</c:v>
                </c:pt>
                <c:pt idx="506">
                  <c:v>-2.9822024116677999</c:v>
                </c:pt>
                <c:pt idx="507">
                  <c:v>-3.0622484249671884</c:v>
                </c:pt>
                <c:pt idx="508">
                  <c:v>-3.1422462714761581</c:v>
                </c:pt>
                <c:pt idx="509">
                  <c:v>-3.2240412276410018</c:v>
                </c:pt>
                <c:pt idx="510">
                  <c:v>-3.3057927032473216</c:v>
                </c:pt>
                <c:pt idx="511">
                  <c:v>-3.3875040557468528</c:v>
                </c:pt>
                <c:pt idx="512">
                  <c:v>-3.4691785446394166</c:v>
                </c:pt>
                <c:pt idx="513">
                  <c:v>-3.5527547114952989</c:v>
                </c:pt>
                <c:pt idx="514">
                  <c:v>-3.6362988490533965</c:v>
                </c:pt>
                <c:pt idx="515">
                  <c:v>-3.7198141425563271</c:v>
                </c:pt>
                <c:pt idx="516">
                  <c:v>-3.8033036745784492</c:v>
                </c:pt>
                <c:pt idx="517">
                  <c:v>-3.8887033990162752</c:v>
                </c:pt>
                <c:pt idx="518">
                  <c:v>-3.9740823596623609</c:v>
                </c:pt>
                <c:pt idx="519">
                  <c:v>-4.0594435324279985</c:v>
                </c:pt>
                <c:pt idx="520">
                  <c:v>-4.1447897859924989</c:v>
                </c:pt>
                <c:pt idx="521">
                  <c:v>-4.232103781788993</c:v>
                </c:pt>
                <c:pt idx="522">
                  <c:v>-4.3194078962622164</c:v>
                </c:pt>
                <c:pt idx="523">
                  <c:v>-4.4067048624370129</c:v>
                </c:pt>
                <c:pt idx="524">
                  <c:v>-4.4939973015949972</c:v>
                </c:pt>
                <c:pt idx="525">
                  <c:v>-4.5833154844895425</c:v>
                </c:pt>
                <c:pt idx="526">
                  <c:v>-4.6726341283136854</c:v>
                </c:pt>
                <c:pt idx="527">
                  <c:v>-4.7619556875469522</c:v>
                </c:pt>
                <c:pt idx="528">
                  <c:v>-4.8512825006302034</c:v>
                </c:pt>
                <c:pt idx="529">
                  <c:v>-4.9426933163326963</c:v>
                </c:pt>
                <c:pt idx="530">
                  <c:v>-5.0341142216786565</c:v>
                </c:pt>
                <c:pt idx="531">
                  <c:v>-5.1255473554504327</c:v>
                </c:pt>
                <c:pt idx="532">
                  <c:v>-5.2169947365046827</c:v>
                </c:pt>
                <c:pt idx="533">
                  <c:v>-5.310632728886084</c:v>
                </c:pt>
                <c:pt idx="534">
                  <c:v>-5.4042895591519144</c:v>
                </c:pt>
                <c:pt idx="535">
                  <c:v>-5.4979670151917013</c:v>
                </c:pt>
                <c:pt idx="536">
                  <c:v>-5.5916667614577804</c:v>
                </c:pt>
                <c:pt idx="537">
                  <c:v>-5.6875185122864105</c:v>
                </c:pt>
                <c:pt idx="538">
                  <c:v>-5.7833967122500187</c:v>
                </c:pt>
                <c:pt idx="539">
                  <c:v>-5.8793027551144856</c:v>
                </c:pt>
                <c:pt idx="540">
                  <c:v>-5.9752379090763608</c:v>
                </c:pt>
                <c:pt idx="541">
                  <c:v>-6.0734793632051174</c:v>
                </c:pt>
                <c:pt idx="542">
                  <c:v>-6.1717536223799749</c:v>
                </c:pt>
                <c:pt idx="543">
                  <c:v>-6.2700616542044196</c:v>
                </c:pt>
                <c:pt idx="544">
                  <c:v>-6.3684042992024645</c:v>
                </c:pt>
                <c:pt idx="545">
                  <c:v>-6.4690615364665724</c:v>
                </c:pt>
                <c:pt idx="546">
                  <c:v>-6.56975639381601</c:v>
                </c:pt>
                <c:pt idx="547">
                  <c:v>-6.6704893766703668</c:v>
                </c:pt>
                <c:pt idx="548">
                  <c:v>-6.771260863507309</c:v>
                </c:pt>
                <c:pt idx="549">
                  <c:v>-6.8744024414654428</c:v>
                </c:pt>
                <c:pt idx="550">
                  <c:v>-6.9775847326835674</c:v>
                </c:pt>
                <c:pt idx="551">
                  <c:v>-7.0808077505426628</c:v>
                </c:pt>
                <c:pt idx="552">
                  <c:v>-7.1840713832650982</c:v>
                </c:pt>
                <c:pt idx="553">
                  <c:v>-7.2898077083813035</c:v>
                </c:pt>
                <c:pt idx="554">
                  <c:v>-7.3955859596690363</c:v>
                </c:pt>
                <c:pt idx="555">
                  <c:v>-7.5014056330925243</c:v>
                </c:pt>
                <c:pt idx="556">
                  <c:v>-7.6072661028980377</c:v>
                </c:pt>
                <c:pt idx="557">
                  <c:v>-7.8240777832671995</c:v>
                </c:pt>
                <c:pt idx="558">
                  <c:v>-8.0410493155184479</c:v>
                </c:pt>
                <c:pt idx="559">
                  <c:v>-8.2631493981498494</c:v>
                </c:pt>
                <c:pt idx="560">
                  <c:v>-8.4853943518964119</c:v>
                </c:pt>
                <c:pt idx="561">
                  <c:v>-8.7130477241085593</c:v>
                </c:pt>
                <c:pt idx="562">
                  <c:v>-8.9408215717170023</c:v>
                </c:pt>
                <c:pt idx="563">
                  <c:v>-9.1735886403949856</c:v>
                </c:pt>
                <c:pt idx="564">
                  <c:v>-9.4064413413802903</c:v>
                </c:pt>
                <c:pt idx="565">
                  <c:v>-9.6452297615639875</c:v>
                </c:pt>
                <c:pt idx="566">
                  <c:v>-9.8840592848337057</c:v>
                </c:pt>
                <c:pt idx="567">
                  <c:v>-10.128776544007836</c:v>
                </c:pt>
                <c:pt idx="568">
                  <c:v>-10.373479505807573</c:v>
                </c:pt>
                <c:pt idx="569">
                  <c:v>-10.623030202716119</c:v>
                </c:pt>
                <c:pt idx="570">
                  <c:v>-10.872501258445395</c:v>
                </c:pt>
                <c:pt idx="571">
                  <c:v>-11.128702227942311</c:v>
                </c:pt>
                <c:pt idx="572">
                  <c:v>-11.3847466933302</c:v>
                </c:pt>
                <c:pt idx="573">
                  <c:v>-11.645478005903735</c:v>
                </c:pt>
                <c:pt idx="574">
                  <c:v>-11.905968757293902</c:v>
                </c:pt>
                <c:pt idx="575">
                  <c:v>-12.172997497211268</c:v>
                </c:pt>
                <c:pt idx="576">
                  <c:v>-12.439689232231672</c:v>
                </c:pt>
                <c:pt idx="577">
                  <c:v>-13.56406543576645</c:v>
                </c:pt>
                <c:pt idx="578">
                  <c:v>-14.678649818652307</c:v>
                </c:pt>
                <c:pt idx="579">
                  <c:v>-17.074319647166831</c:v>
                </c:pt>
                <c:pt idx="580">
                  <c:v>-19.61019265089228</c:v>
                </c:pt>
                <c:pt idx="581">
                  <c:v>-22.25954480087146</c:v>
                </c:pt>
                <c:pt idx="582">
                  <c:v>-25.001070360465647</c:v>
                </c:pt>
                <c:pt idx="583">
                  <c:v>-27.811775943598551</c:v>
                </c:pt>
                <c:pt idx="584">
                  <c:v>-30.675610378867901</c:v>
                </c:pt>
                <c:pt idx="585">
                  <c:v>-33.57563653720679</c:v>
                </c:pt>
                <c:pt idx="586">
                  <c:v>-36.499500566472037</c:v>
                </c:pt>
                <c:pt idx="587">
                  <c:v>-39.438108372603658</c:v>
                </c:pt>
                <c:pt idx="588">
                  <c:v>-42.379661965712614</c:v>
                </c:pt>
                <c:pt idx="589">
                  <c:v>-45.318856271102412</c:v>
                </c:pt>
                <c:pt idx="590">
                  <c:v>-48.247978403538227</c:v>
                </c:pt>
                <c:pt idx="591">
                  <c:v>-51.161590126014545</c:v>
                </c:pt>
                <c:pt idx="592">
                  <c:v>-54.054423552960614</c:v>
                </c:pt>
                <c:pt idx="593">
                  <c:v>-56.923245362602167</c:v>
                </c:pt>
                <c:pt idx="594">
                  <c:v>-59.763997550368948</c:v>
                </c:pt>
                <c:pt idx="595">
                  <c:v>-62.574764616001616</c:v>
                </c:pt>
                <c:pt idx="596">
                  <c:v>-65.353306182234249</c:v>
                </c:pt>
                <c:pt idx="597">
                  <c:v>-68.099353910958186</c:v>
                </c:pt>
                <c:pt idx="598">
                  <c:v>-70.812136666127955</c:v>
                </c:pt>
                <c:pt idx="599">
                  <c:v>-73.49295213830716</c:v>
                </c:pt>
                <c:pt idx="600">
                  <c:v>-76.142589416031285</c:v>
                </c:pt>
              </c:numCache>
            </c:numRef>
          </c:yVal>
          <c:smooth val="1"/>
          <c:extLst>
            <c:ext xmlns:c16="http://schemas.microsoft.com/office/drawing/2014/chart" uri="{C3380CC4-5D6E-409C-BE32-E72D297353CC}">
              <c16:uniqueId val="{00000002-10BD-4998-8A98-65686C23F2C0}"/>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Calculations'!$C$635</c:f>
              <c:numCache>
                <c:formatCode>0.00</c:formatCode>
                <c:ptCount val="1"/>
                <c:pt idx="0">
                  <c:v>6430.5027585356102</c:v>
                </c:pt>
              </c:numCache>
            </c:numRef>
          </c:xVal>
          <c:yVal>
            <c:numRef>
              <c:f>'Ch2 Stability Calculations'!$D$635</c:f>
              <c:numCache>
                <c:formatCode>0.00</c:formatCode>
                <c:ptCount val="1"/>
                <c:pt idx="0">
                  <c:v>21.492329566532046</c:v>
                </c:pt>
              </c:numCache>
            </c:numRef>
          </c:yVal>
          <c:smooth val="1"/>
          <c:extLst>
            <c:ext xmlns:c16="http://schemas.microsoft.com/office/drawing/2014/chart" uri="{C3380CC4-5D6E-409C-BE32-E72D297353CC}">
              <c16:uniqueId val="{00000004-10BD-4998-8A98-65686C23F2C0}"/>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Calculations'!$C$5</c:f>
              <c:numCache>
                <c:formatCode>0.0</c:formatCode>
                <c:ptCount val="1"/>
                <c:pt idx="0">
                  <c:v>1.657436684539729</c:v>
                </c:pt>
              </c:numCache>
            </c:numRef>
          </c:xVal>
          <c:yVal>
            <c:numRef>
              <c:f>'Ch2 Stability Calculations'!$Q$624</c:f>
              <c:numCache>
                <c:formatCode>0.00</c:formatCode>
                <c:ptCount val="1"/>
                <c:pt idx="0">
                  <c:v>92.19871707762222</c:v>
                </c:pt>
              </c:numCache>
            </c:numRef>
          </c:yVal>
          <c:smooth val="1"/>
          <c:extLst>
            <c:ext xmlns:c16="http://schemas.microsoft.com/office/drawing/2014/chart" uri="{C3380CC4-5D6E-409C-BE32-E72D297353CC}">
              <c16:uniqueId val="{00000006-10BD-4998-8A98-65686C23F2C0}"/>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0BD-4998-8A98-65686C23F2C0}"/>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Calculations'!$K$4</c:f>
              <c:numCache>
                <c:formatCode>0</c:formatCode>
                <c:ptCount val="1"/>
                <c:pt idx="0">
                  <c:v>4420.681711975064</c:v>
                </c:pt>
              </c:numCache>
            </c:numRef>
          </c:xVal>
          <c:yVal>
            <c:numRef>
              <c:f>'Ch2 Stability Calculations'!$D$632</c:f>
              <c:numCache>
                <c:formatCode>0.00</c:formatCode>
                <c:ptCount val="1"/>
                <c:pt idx="0">
                  <c:v>25.351475193666019</c:v>
                </c:pt>
              </c:numCache>
            </c:numRef>
          </c:yVal>
          <c:smooth val="1"/>
          <c:extLst>
            <c:ext xmlns:c16="http://schemas.microsoft.com/office/drawing/2014/chart" uri="{C3380CC4-5D6E-409C-BE32-E72D297353CC}">
              <c16:uniqueId val="{00000008-10BD-4998-8A98-65686C23F2C0}"/>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0BD-4998-8A98-65686C23F2C0}"/>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'Ch2 Stability Calculations'!$A$623</c:f>
              <c:numCache>
                <c:formatCode>0</c:formatCode>
                <c:ptCount val="1"/>
                <c:pt idx="0">
                  <c:v>663145.59697398485</c:v>
                </c:pt>
              </c:numCache>
            </c:numRef>
          </c:xVal>
          <c:yVal>
            <c:numRef>
              <c:f>'Ch2 Stability Calculations'!$Q$623</c:f>
              <c:numCache>
                <c:formatCode>0.00</c:formatCode>
                <c:ptCount val="1"/>
                <c:pt idx="0">
                  <c:v>-64.079798115012338</c:v>
                </c:pt>
              </c:numCache>
            </c:numRef>
          </c:yVal>
          <c:smooth val="1"/>
          <c:extLst>
            <c:ext xmlns:c16="http://schemas.microsoft.com/office/drawing/2014/chart" uri="{C3380CC4-5D6E-409C-BE32-E72D297353CC}">
              <c16:uniqueId val="{0000000A-10BD-4998-8A98-65686C23F2C0}"/>
            </c:ext>
          </c:extLst>
        </c:ser>
        <c:dLbls>
          <c:showLegendKey val="0"/>
          <c:showVal val="0"/>
          <c:showCatName val="0"/>
          <c:showSerName val="0"/>
          <c:showPercent val="0"/>
          <c:showBubbleSize val="0"/>
        </c:dLbls>
        <c:axId val="185161600"/>
        <c:axId val="185188352"/>
      </c:scatterChart>
      <c:scatterChart>
        <c:scatterStyle val="lineMarker"/>
        <c:varyColors val="0"/>
        <c:ser>
          <c:idx val="3"/>
          <c:order val="1"/>
          <c:tx>
            <c:v>Loop Phase</c:v>
          </c:tx>
          <c:spPr>
            <a:ln w="34925">
              <a:solidFill>
                <a:srgbClr val="002060"/>
              </a:solidFill>
              <a:prstDash val="sysDash"/>
            </a:ln>
          </c:spPr>
          <c:marker>
            <c:symbol val="none"/>
          </c:marker>
          <c:xVal>
            <c:numRef>
              <c:f>'Ch2 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'Ch2 Stability Calculations'!$R$13:$R$613</c:f>
              <c:numCache>
                <c:formatCode>0.00</c:formatCode>
                <c:ptCount val="601"/>
                <c:pt idx="0">
                  <c:v>-31.109543818942527</c:v>
                </c:pt>
                <c:pt idx="1">
                  <c:v>-33.492908918584327</c:v>
                </c:pt>
                <c:pt idx="2">
                  <c:v>-35.963313836768876</c:v>
                </c:pt>
                <c:pt idx="3">
                  <c:v>-38.505099905917064</c:v>
                </c:pt>
                <c:pt idx="4">
                  <c:v>-41.098247658018195</c:v>
                </c:pt>
                <c:pt idx="5">
                  <c:v>-43.726694499727508</c:v>
                </c:pt>
                <c:pt idx="6">
                  <c:v>-46.364991155147813</c:v>
                </c:pt>
                <c:pt idx="7">
                  <c:v>-48.992655506355774</c:v>
                </c:pt>
                <c:pt idx="8">
                  <c:v>-51.58604012186877</c:v>
                </c:pt>
                <c:pt idx="9">
                  <c:v>-54.126723174623237</c:v>
                </c:pt>
                <c:pt idx="10">
                  <c:v>-56.594953104895751</c:v>
                </c:pt>
                <c:pt idx="11">
                  <c:v>-58.975495332316001</c:v>
                </c:pt>
                <c:pt idx="12">
                  <c:v>-61.256924830302253</c:v>
                </c:pt>
                <c:pt idx="13">
                  <c:v>-63.427534773392182</c:v>
                </c:pt>
                <c:pt idx="14">
                  <c:v>-65.482592596711683</c:v>
                </c:pt>
                <c:pt idx="15">
                  <c:v>-67.417567882361809</c:v>
                </c:pt>
                <c:pt idx="16">
                  <c:v>-69.231394640837465</c:v>
                </c:pt>
                <c:pt idx="17">
                  <c:v>-70.924685686187786</c:v>
                </c:pt>
                <c:pt idx="18">
                  <c:v>-72.500461528579706</c:v>
                </c:pt>
                <c:pt idx="19">
                  <c:v>-73.962127379648223</c:v>
                </c:pt>
                <c:pt idx="20">
                  <c:v>-75.314774129196394</c:v>
                </c:pt>
                <c:pt idx="21">
                  <c:v>-76.563582683358263</c:v>
                </c:pt>
                <c:pt idx="22">
                  <c:v>-77.714681617453792</c:v>
                </c:pt>
                <c:pt idx="23">
                  <c:v>-78.773853864799932</c:v>
                </c:pt>
                <c:pt idx="24">
                  <c:v>-79.747478803579668</c:v>
                </c:pt>
                <c:pt idx="25">
                  <c:v>-80.641423728436337</c:v>
                </c:pt>
                <c:pt idx="26">
                  <c:v>-81.461740987210717</c:v>
                </c:pt>
                <c:pt idx="27">
                  <c:v>-82.213794235564635</c:v>
                </c:pt>
                <c:pt idx="28">
                  <c:v>-82.902995131392771</c:v>
                </c:pt>
                <c:pt idx="29">
                  <c:v>-83.534049292749486</c:v>
                </c:pt>
                <c:pt idx="30">
                  <c:v>-84.112758839760275</c:v>
                </c:pt>
                <c:pt idx="31">
                  <c:v>-84.642719976371012</c:v>
                </c:pt>
                <c:pt idx="32">
                  <c:v>-85.12845197623183</c:v>
                </c:pt>
                <c:pt idx="33">
                  <c:v>-85.573473522786429</c:v>
                </c:pt>
                <c:pt idx="34">
                  <c:v>-85.981709031415647</c:v>
                </c:pt>
                <c:pt idx="35">
                  <c:v>-86.356231925973105</c:v>
                </c:pt>
                <c:pt idx="36">
                  <c:v>-86.700174969321026</c:v>
                </c:pt>
                <c:pt idx="37">
                  <c:v>-87.016536672539289</c:v>
                </c:pt>
                <c:pt idx="38">
                  <c:v>-87.30763266057069</c:v>
                </c:pt>
                <c:pt idx="39">
                  <c:v>-87.576123903026783</c:v>
                </c:pt>
                <c:pt idx="40">
                  <c:v>-87.8241399872839</c:v>
                </c:pt>
                <c:pt idx="41">
                  <c:v>-88.053779329108266</c:v>
                </c:pt>
                <c:pt idx="42">
                  <c:v>-88.266939489890575</c:v>
                </c:pt>
                <c:pt idx="43">
                  <c:v>-88.465474464262357</c:v>
                </c:pt>
                <c:pt idx="44">
                  <c:v>-88.651001909392306</c:v>
                </c:pt>
                <c:pt idx="45">
                  <c:v>-88.825124228737238</c:v>
                </c:pt>
                <c:pt idx="46">
                  <c:v>-88.98927633288055</c:v>
                </c:pt>
                <c:pt idx="47">
                  <c:v>-89.144880792115586</c:v>
                </c:pt>
                <c:pt idx="48">
                  <c:v>-89.293215110220402</c:v>
                </c:pt>
                <c:pt idx="49">
                  <c:v>-89.435572182391766</c:v>
                </c:pt>
                <c:pt idx="50">
                  <c:v>-89.573133565889151</c:v>
                </c:pt>
                <c:pt idx="51">
                  <c:v>-89.707094225986637</c:v>
                </c:pt>
                <c:pt idx="52">
                  <c:v>-89.838543954401743</c:v>
                </c:pt>
                <c:pt idx="53">
                  <c:v>-89.968599404534842</c:v>
                </c:pt>
                <c:pt idx="54">
                  <c:v>-90.098277833536059</c:v>
                </c:pt>
                <c:pt idx="55">
                  <c:v>-90.228892123334276</c:v>
                </c:pt>
                <c:pt idx="56">
                  <c:v>-90.361358663827858</c:v>
                </c:pt>
                <c:pt idx="57">
                  <c:v>-90.496878844049249</c:v>
                </c:pt>
                <c:pt idx="58">
                  <c:v>-90.636488043552077</c:v>
                </c:pt>
                <c:pt idx="59">
                  <c:v>-90.781456209157099</c:v>
                </c:pt>
                <c:pt idx="60">
                  <c:v>-90.93290317816188</c:v>
                </c:pt>
                <c:pt idx="61">
                  <c:v>-91.092095407630424</c:v>
                </c:pt>
                <c:pt idx="62">
                  <c:v>-91.260423859683542</c:v>
                </c:pt>
                <c:pt idx="63">
                  <c:v>-91.439088661852821</c:v>
                </c:pt>
                <c:pt idx="64">
                  <c:v>-91.629659609794174</c:v>
                </c:pt>
                <c:pt idx="65">
                  <c:v>-91.833570648045139</c:v>
                </c:pt>
                <c:pt idx="66">
                  <c:v>-92.05241746359053</c:v>
                </c:pt>
                <c:pt idx="67">
                  <c:v>-92.287826129441044</c:v>
                </c:pt>
                <c:pt idx="68">
                  <c:v>-92.541605638998334</c:v>
                </c:pt>
                <c:pt idx="69">
                  <c:v>-92.815505012044028</c:v>
                </c:pt>
                <c:pt idx="70">
                  <c:v>-93.111462172564927</c:v>
                </c:pt>
                <c:pt idx="71">
                  <c:v>-93.431352947434931</c:v>
                </c:pt>
                <c:pt idx="72">
                  <c:v>-93.77721346789032</c:v>
                </c:pt>
                <c:pt idx="73">
                  <c:v>-94.15092295083879</c:v>
                </c:pt>
                <c:pt idx="74">
                  <c:v>-94.554495749124428</c:v>
                </c:pt>
                <c:pt idx="75">
                  <c:v>-94.989687195091022</c:v>
                </c:pt>
                <c:pt idx="76">
                  <c:v>-95.458237610463613</c:v>
                </c:pt>
                <c:pt idx="77">
                  <c:v>-95.961351407678265</c:v>
                </c:pt>
                <c:pt idx="78">
                  <c:v>-96.499985948231512</c:v>
                </c:pt>
                <c:pt idx="79">
                  <c:v>-97.074169480885061</c:v>
                </c:pt>
                <c:pt idx="80">
                  <c:v>-97.684588841852147</c:v>
                </c:pt>
                <c:pt idx="81">
                  <c:v>-98.329243344472403</c:v>
                </c:pt>
                <c:pt idx="82">
                  <c:v>-99.00632798499619</c:v>
                </c:pt>
                <c:pt idx="83">
                  <c:v>-99.711904653970549</c:v>
                </c:pt>
                <c:pt idx="84">
                  <c:v>-100.44173501420204</c:v>
                </c:pt>
                <c:pt idx="85">
                  <c:v>-101.18926897337577</c:v>
                </c:pt>
                <c:pt idx="86">
                  <c:v>-101.94718164583229</c:v>
                </c:pt>
                <c:pt idx="87">
                  <c:v>-102.70738805308677</c:v>
                </c:pt>
                <c:pt idx="88">
                  <c:v>-103.46001244811103</c:v>
                </c:pt>
                <c:pt idx="89">
                  <c:v>-104.19644019870445</c:v>
                </c:pt>
                <c:pt idx="90">
                  <c:v>-104.90784576690142</c:v>
                </c:pt>
                <c:pt idx="91">
                  <c:v>-105.58728497666723</c:v>
                </c:pt>
                <c:pt idx="92">
                  <c:v>-106.23006189865573</c:v>
                </c:pt>
                <c:pt idx="93">
                  <c:v>-106.83491850423277</c:v>
                </c:pt>
                <c:pt idx="94">
                  <c:v>-106.98031160936365</c:v>
                </c:pt>
                <c:pt idx="95">
                  <c:v>-107.05262941096048</c:v>
                </c:pt>
                <c:pt idx="96">
                  <c:v>-107.12358794596936</c:v>
                </c:pt>
                <c:pt idx="97">
                  <c:v>-107.1948346692208</c:v>
                </c:pt>
                <c:pt idx="98">
                  <c:v>-107.26475893503181</c:v>
                </c:pt>
                <c:pt idx="99">
                  <c:v>-107.33500374802601</c:v>
                </c:pt>
                <c:pt idx="100">
                  <c:v>-107.4039655868078</c:v>
                </c:pt>
                <c:pt idx="101">
                  <c:v>-107.47323100454513</c:v>
                </c:pt>
                <c:pt idx="102">
                  <c:v>-107.54125744663502</c:v>
                </c:pt>
                <c:pt idx="103">
                  <c:v>-107.60967695740068</c:v>
                </c:pt>
                <c:pt idx="104">
                  <c:v>-107.67690220172834</c:v>
                </c:pt>
                <c:pt idx="105">
                  <c:v>-107.74451171164937</c:v>
                </c:pt>
                <c:pt idx="106">
                  <c:v>-107.81097594261458</c:v>
                </c:pt>
                <c:pt idx="107">
                  <c:v>-107.87782319350319</c:v>
                </c:pt>
                <c:pt idx="108">
                  <c:v>-107.94357798229829</c:v>
                </c:pt>
                <c:pt idx="109">
                  <c:v>-108.00976635664198</c:v>
                </c:pt>
                <c:pt idx="110">
                  <c:v>-108.07491707093456</c:v>
                </c:pt>
                <c:pt idx="111">
                  <c:v>-108.14059787398379</c:v>
                </c:pt>
                <c:pt idx="112">
                  <c:v>-108.20529644449886</c:v>
                </c:pt>
                <c:pt idx="113">
                  <c:v>-108.27053649306718</c:v>
                </c:pt>
                <c:pt idx="114">
                  <c:v>-108.33485296674461</c:v>
                </c:pt>
                <c:pt idx="115">
                  <c:v>-108.39976992398553</c:v>
                </c:pt>
                <c:pt idx="116">
                  <c:v>-108.46382361372149</c:v>
                </c:pt>
                <c:pt idx="117">
                  <c:v>-108.5285398156892</c:v>
                </c:pt>
                <c:pt idx="118">
                  <c:v>-108.59245455580364</c:v>
                </c:pt>
                <c:pt idx="119">
                  <c:v>-108.65705798010063</c:v>
                </c:pt>
                <c:pt idx="120">
                  <c:v>-108.72092394214498</c:v>
                </c:pt>
                <c:pt idx="121">
                  <c:v>-108.78554848725884</c:v>
                </c:pt>
                <c:pt idx="122">
                  <c:v>-108.84950046461609</c:v>
                </c:pt>
                <c:pt idx="123">
                  <c:v>-108.91432107811701</c:v>
                </c:pt>
                <c:pt idx="124">
                  <c:v>-108.97853405390489</c:v>
                </c:pt>
                <c:pt idx="125">
                  <c:v>-109.04365317464026</c:v>
                </c:pt>
                <c:pt idx="126">
                  <c:v>-109.10823092421806</c:v>
                </c:pt>
                <c:pt idx="127">
                  <c:v>-109.17379316058795</c:v>
                </c:pt>
                <c:pt idx="128">
                  <c:v>-109.23888060062306</c:v>
                </c:pt>
                <c:pt idx="129">
                  <c:v>-109.30503352395647</c:v>
                </c:pt>
                <c:pt idx="130">
                  <c:v>-109.37077832613681</c:v>
                </c:pt>
                <c:pt idx="131">
                  <c:v>-109.43767216340743</c:v>
                </c:pt>
                <c:pt idx="132">
                  <c:v>-109.47098844903559</c:v>
                </c:pt>
                <c:pt idx="133">
                  <c:v>-109.50422444354855</c:v>
                </c:pt>
                <c:pt idx="134">
                  <c:v>-109.53817248189746</c:v>
                </c:pt>
                <c:pt idx="135">
                  <c:v>-109.57204666611828</c:v>
                </c:pt>
                <c:pt idx="136">
                  <c:v>-109.60585199023745</c:v>
                </c:pt>
                <c:pt idx="137">
                  <c:v>-109.63959330742912</c:v>
                </c:pt>
                <c:pt idx="138">
                  <c:v>-109.67403939181901</c:v>
                </c:pt>
                <c:pt idx="139">
                  <c:v>-109.70842836099044</c:v>
                </c:pt>
                <c:pt idx="140">
                  <c:v>-109.74276497130043</c:v>
                </c:pt>
                <c:pt idx="141">
                  <c:v>-109.77705383974263</c:v>
                </c:pt>
                <c:pt idx="142">
                  <c:v>-109.8121110387511</c:v>
                </c:pt>
                <c:pt idx="143">
                  <c:v>-109.84712756432872</c:v>
                </c:pt>
                <c:pt idx="144">
                  <c:v>-109.88210793873748</c:v>
                </c:pt>
                <c:pt idx="145">
                  <c:v>-109.91705654631599</c:v>
                </c:pt>
                <c:pt idx="146">
                  <c:v>-109.95278626052598</c:v>
                </c:pt>
                <c:pt idx="147">
                  <c:v>-109.98849157843428</c:v>
                </c:pt>
                <c:pt idx="148">
                  <c:v>-110.02417677117988</c:v>
                </c:pt>
                <c:pt idx="149">
                  <c:v>-110.05984597420489</c:v>
                </c:pt>
                <c:pt idx="150">
                  <c:v>-110.09632752462988</c:v>
                </c:pt>
                <c:pt idx="151">
                  <c:v>-110.13280067603644</c:v>
                </c:pt>
                <c:pt idx="152">
                  <c:v>-110.16926944010727</c:v>
                </c:pt>
                <c:pt idx="153">
                  <c:v>-110.20573769553896</c:v>
                </c:pt>
                <c:pt idx="154">
                  <c:v>-110.24306781738079</c:v>
                </c:pt>
                <c:pt idx="155">
                  <c:v>-110.28040521812446</c:v>
                </c:pt>
                <c:pt idx="156">
                  <c:v>-110.31775364810751</c:v>
                </c:pt>
                <c:pt idx="157">
                  <c:v>-110.35511672761868</c:v>
                </c:pt>
                <c:pt idx="158">
                  <c:v>-110.39337512442123</c:v>
                </c:pt>
                <c:pt idx="159">
                  <c:v>-110.43165613825821</c:v>
                </c:pt>
                <c:pt idx="160">
                  <c:v>-110.46996325135811</c:v>
                </c:pt>
                <c:pt idx="161">
                  <c:v>-110.50829981930565</c:v>
                </c:pt>
                <c:pt idx="162">
                  <c:v>-110.54754895794532</c:v>
                </c:pt>
                <c:pt idx="163">
                  <c:v>-110.58683563051477</c:v>
                </c:pt>
                <c:pt idx="164">
                  <c:v>-110.62616304171097</c:v>
                </c:pt>
                <c:pt idx="165">
                  <c:v>-110.66553427364316</c:v>
                </c:pt>
                <c:pt idx="166">
                  <c:v>-110.70588810667071</c:v>
                </c:pt>
                <c:pt idx="167">
                  <c:v>-110.74629402389267</c:v>
                </c:pt>
                <c:pt idx="168">
                  <c:v>-110.786754957184</c:v>
                </c:pt>
                <c:pt idx="169">
                  <c:v>-110.82727371986283</c:v>
                </c:pt>
                <c:pt idx="170">
                  <c:v>-110.86872449337621</c:v>
                </c:pt>
                <c:pt idx="171">
                  <c:v>-110.91024117639475</c:v>
                </c:pt>
                <c:pt idx="172">
                  <c:v>-110.95182640826327</c:v>
                </c:pt>
                <c:pt idx="173">
                  <c:v>-110.99348271514047</c:v>
                </c:pt>
                <c:pt idx="174">
                  <c:v>-111.03626549554055</c:v>
                </c:pt>
                <c:pt idx="175">
                  <c:v>-111.07912800796724</c:v>
                </c:pt>
                <c:pt idx="176">
                  <c:v>-111.12207262804459</c:v>
                </c:pt>
                <c:pt idx="177">
                  <c:v>-111.16510162221277</c:v>
                </c:pt>
                <c:pt idx="178">
                  <c:v>-111.20927847719491</c:v>
                </c:pt>
                <c:pt idx="179">
                  <c:v>-111.25354838836658</c:v>
                </c:pt>
                <c:pt idx="180">
                  <c:v>-111.29791346079206</c:v>
                </c:pt>
                <c:pt idx="181">
                  <c:v>-111.34237569496</c:v>
                </c:pt>
                <c:pt idx="182">
                  <c:v>-111.38782923932627</c:v>
                </c:pt>
                <c:pt idx="183">
                  <c:v>-111.43338775829486</c:v>
                </c:pt>
                <c:pt idx="184">
                  <c:v>-111.47905306181384</c:v>
                </c:pt>
                <c:pt idx="185">
                  <c:v>-111.52482686190181</c:v>
                </c:pt>
                <c:pt idx="186">
                  <c:v>-111.57197190223546</c:v>
                </c:pt>
                <c:pt idx="187">
                  <c:v>-111.6192348393505</c:v>
                </c:pt>
                <c:pt idx="188">
                  <c:v>-111.66661723022115</c:v>
                </c:pt>
                <c:pt idx="189">
                  <c:v>-111.71412053788377</c:v>
                </c:pt>
                <c:pt idx="190">
                  <c:v>-111.76265621810772</c:v>
                </c:pt>
                <c:pt idx="191">
                  <c:v>-111.81132025932622</c:v>
                </c:pt>
                <c:pt idx="192">
                  <c:v>-111.86011393110472</c:v>
                </c:pt>
                <c:pt idx="193">
                  <c:v>-111.90903841626454</c:v>
                </c:pt>
                <c:pt idx="194">
                  <c:v>-111.95938272099953</c:v>
                </c:pt>
                <c:pt idx="195">
                  <c:v>-112.00986704612031</c:v>
                </c:pt>
                <c:pt idx="196">
                  <c:v>-112.06049240679306</c:v>
                </c:pt>
                <c:pt idx="197">
                  <c:v>-112.11125973628276</c:v>
                </c:pt>
                <c:pt idx="198">
                  <c:v>-112.16328631413818</c:v>
                </c:pt>
                <c:pt idx="199">
                  <c:v>-112.21546286943629</c:v>
                </c:pt>
                <c:pt idx="200">
                  <c:v>-112.26779015406666</c:v>
                </c:pt>
                <c:pt idx="201">
                  <c:v>-112.32026884437204</c:v>
                </c:pt>
                <c:pt idx="202">
                  <c:v>-112.37402901266307</c:v>
                </c:pt>
                <c:pt idx="203">
                  <c:v>-112.42794834379637</c:v>
                </c:pt>
                <c:pt idx="204">
                  <c:v>-112.48202733452</c:v>
                </c:pt>
                <c:pt idx="205">
                  <c:v>-112.53626641249068</c:v>
                </c:pt>
                <c:pt idx="206">
                  <c:v>-112.59199941047778</c:v>
                </c:pt>
                <c:pt idx="207">
                  <c:v>-112.647901127314</c:v>
                </c:pt>
                <c:pt idx="208">
                  <c:v>-112.70397181657937</c:v>
                </c:pt>
                <c:pt idx="209">
                  <c:v>-112.7602116684042</c:v>
                </c:pt>
                <c:pt idx="210">
                  <c:v>-112.81816336883855</c:v>
                </c:pt>
                <c:pt idx="211">
                  <c:v>-112.87629380898875</c:v>
                </c:pt>
                <c:pt idx="212">
                  <c:v>-112.93460300459606</c:v>
                </c:pt>
                <c:pt idx="213">
                  <c:v>-112.99309091304011</c:v>
                </c:pt>
                <c:pt idx="214">
                  <c:v>-113.05292868325475</c:v>
                </c:pt>
                <c:pt idx="215">
                  <c:v>-113.11295209900189</c:v>
                </c:pt>
                <c:pt idx="216">
                  <c:v>-113.17316094516508</c:v>
                </c:pt>
                <c:pt idx="217">
                  <c:v>-113.23355495501511</c:v>
                </c:pt>
                <c:pt idx="218">
                  <c:v>-113.29551724239437</c:v>
                </c:pt>
                <c:pt idx="219">
                  <c:v>-113.35767251511183</c:v>
                </c:pt>
                <c:pt idx="220">
                  <c:v>-113.42002033689448</c:v>
                </c:pt>
                <c:pt idx="221">
                  <c:v>-113.48256022586079</c:v>
                </c:pt>
                <c:pt idx="222">
                  <c:v>-113.54669230672592</c:v>
                </c:pt>
                <c:pt idx="223">
                  <c:v>-113.61102395991067</c:v>
                </c:pt>
                <c:pt idx="224">
                  <c:v>-113.67555453841717</c:v>
                </c:pt>
                <c:pt idx="225">
                  <c:v>-113.74028335561998</c:v>
                </c:pt>
                <c:pt idx="226">
                  <c:v>-113.80683030540615</c:v>
                </c:pt>
                <c:pt idx="227">
                  <c:v>-113.87358391972339</c:v>
                </c:pt>
                <c:pt idx="228">
                  <c:v>-113.94054334447044</c:v>
                </c:pt>
                <c:pt idx="229">
                  <c:v>-114.007707691417</c:v>
                </c:pt>
                <c:pt idx="230">
                  <c:v>-114.14593874899417</c:v>
                </c:pt>
                <c:pt idx="231">
                  <c:v>-114.21537275873112</c:v>
                </c:pt>
                <c:pt idx="232">
                  <c:v>-114.2850176575969</c:v>
                </c:pt>
                <c:pt idx="233">
                  <c:v>-114.35653314945381</c:v>
                </c:pt>
                <c:pt idx="234">
                  <c:v>-114.42826728630475</c:v>
                </c:pt>
                <c:pt idx="235">
                  <c:v>-114.50021882825132</c:v>
                </c:pt>
                <c:pt idx="236">
                  <c:v>-114.57238651230718</c:v>
                </c:pt>
                <c:pt idx="237">
                  <c:v>-114.64623990042817</c:v>
                </c:pt>
                <c:pt idx="238">
                  <c:v>-114.72031556884215</c:v>
                </c:pt>
                <c:pt idx="239">
                  <c:v>-114.79461211345421</c:v>
                </c:pt>
                <c:pt idx="240">
                  <c:v>-114.86912811268672</c:v>
                </c:pt>
                <c:pt idx="241">
                  <c:v>-114.9457757876644</c:v>
                </c:pt>
                <c:pt idx="242">
                  <c:v>-115.02265120493499</c:v>
                </c:pt>
                <c:pt idx="243">
                  <c:v>-115.09975278445829</c:v>
                </c:pt>
                <c:pt idx="244">
                  <c:v>-115.1770789337767</c:v>
                </c:pt>
                <c:pt idx="245">
                  <c:v>-115.25634910250177</c:v>
                </c:pt>
                <c:pt idx="246">
                  <c:v>-115.33585050681369</c:v>
                </c:pt>
                <c:pt idx="247">
                  <c:v>-115.41558141544247</c:v>
                </c:pt>
                <c:pt idx="248">
                  <c:v>-115.49554008978663</c:v>
                </c:pt>
                <c:pt idx="249">
                  <c:v>-115.57768331840312</c:v>
                </c:pt>
                <c:pt idx="250">
                  <c:v>-115.66006184758976</c:v>
                </c:pt>
                <c:pt idx="251">
                  <c:v>-115.74267379312887</c:v>
                </c:pt>
                <c:pt idx="252">
                  <c:v>-115.82551726831046</c:v>
                </c:pt>
                <c:pt idx="253">
                  <c:v>-115.91035101410374</c:v>
                </c:pt>
                <c:pt idx="254">
                  <c:v>-115.99542221414806</c:v>
                </c:pt>
                <c:pt idx="255">
                  <c:v>-116.08072885894533</c:v>
                </c:pt>
                <c:pt idx="256">
                  <c:v>-116.16626894116553</c:v>
                </c:pt>
                <c:pt idx="257">
                  <c:v>-116.25426557423265</c:v>
                </c:pt>
                <c:pt idx="258">
                  <c:v>-116.34250362799236</c:v>
                </c:pt>
                <c:pt idx="259">
                  <c:v>-116.43098094881782</c:v>
                </c:pt>
                <c:pt idx="260">
                  <c:v>-116.51969538976427</c:v>
                </c:pt>
                <c:pt idx="261">
                  <c:v>-116.61066910345704</c:v>
                </c:pt>
                <c:pt idx="262">
                  <c:v>-116.7018863208679</c:v>
                </c:pt>
                <c:pt idx="263">
                  <c:v>-116.79334477271867</c:v>
                </c:pt>
                <c:pt idx="264">
                  <c:v>-116.88504220068202</c:v>
                </c:pt>
                <c:pt idx="265">
                  <c:v>-116.97902201107252</c:v>
                </c:pt>
                <c:pt idx="266">
                  <c:v>-117.07324680291009</c:v>
                </c:pt>
                <c:pt idx="267">
                  <c:v>-117.16771420417048</c:v>
                </c:pt>
                <c:pt idx="268">
                  <c:v>-117.26242185779313</c:v>
                </c:pt>
                <c:pt idx="269">
                  <c:v>-117.3596637167052</c:v>
                </c:pt>
                <c:pt idx="270">
                  <c:v>-117.45715262093408</c:v>
                </c:pt>
                <c:pt idx="271">
                  <c:v>-117.5548860911055</c:v>
                </c:pt>
                <c:pt idx="272">
                  <c:v>-117.6528616667232</c:v>
                </c:pt>
                <c:pt idx="273">
                  <c:v>-117.75339617695057</c:v>
                </c:pt>
                <c:pt idx="274">
                  <c:v>-117.8541791933221</c:v>
                </c:pt>
                <c:pt idx="275">
                  <c:v>-117.95520814152489</c:v>
                </c:pt>
                <c:pt idx="276">
                  <c:v>-118.05648046980581</c:v>
                </c:pt>
                <c:pt idx="277">
                  <c:v>-118.16010129252652</c:v>
                </c:pt>
                <c:pt idx="278">
                  <c:v>-118.26397039485335</c:v>
                </c:pt>
                <c:pt idx="279">
                  <c:v>-118.3680851377745</c:v>
                </c:pt>
                <c:pt idx="280">
                  <c:v>-118.4724429080286</c:v>
                </c:pt>
                <c:pt idx="281">
                  <c:v>-118.57987779902223</c:v>
                </c:pt>
                <c:pt idx="282">
                  <c:v>-118.6875635581214</c:v>
                </c:pt>
                <c:pt idx="283">
                  <c:v>-118.79549744000713</c:v>
                </c:pt>
                <c:pt idx="284">
                  <c:v>-118.90367672875247</c:v>
                </c:pt>
                <c:pt idx="285">
                  <c:v>-119.01424577901167</c:v>
                </c:pt>
                <c:pt idx="286">
                  <c:v>-119.12506442950348</c:v>
                </c:pt>
                <c:pt idx="287">
                  <c:v>-119.23612989483991</c:v>
                </c:pt>
                <c:pt idx="288">
                  <c:v>-119.34743942163072</c:v>
                </c:pt>
                <c:pt idx="289">
                  <c:v>-119.46187840199448</c:v>
                </c:pt>
                <c:pt idx="290">
                  <c:v>-119.57656846390681</c:v>
                </c:pt>
                <c:pt idx="291">
                  <c:v>-119.69150673947473</c:v>
                </c:pt>
                <c:pt idx="292">
                  <c:v>-119.80669039595868</c:v>
                </c:pt>
                <c:pt idx="293">
                  <c:v>-119.92478689437358</c:v>
                </c:pt>
                <c:pt idx="294">
                  <c:v>-120.04313435905284</c:v>
                </c:pt>
                <c:pt idx="295">
                  <c:v>-120.16172986953437</c:v>
                </c:pt>
                <c:pt idx="296">
                  <c:v>-120.28057054311307</c:v>
                </c:pt>
                <c:pt idx="297">
                  <c:v>-120.40234607068447</c:v>
                </c:pt>
                <c:pt idx="298">
                  <c:v>-120.52437198442622</c:v>
                </c:pt>
                <c:pt idx="299">
                  <c:v>-120.6466453226417</c:v>
                </c:pt>
                <c:pt idx="300">
                  <c:v>-120.76916316371089</c:v>
                </c:pt>
                <c:pt idx="301">
                  <c:v>-120.89463688587074</c:v>
                </c:pt>
                <c:pt idx="302">
                  <c:v>-121.02035998642975</c:v>
                </c:pt>
                <c:pt idx="303">
                  <c:v>-121.14632947330925</c:v>
                </c:pt>
                <c:pt idx="304">
                  <c:v>-121.27254239653917</c:v>
                </c:pt>
                <c:pt idx="305">
                  <c:v>-121.40222862832645</c:v>
                </c:pt>
                <c:pt idx="306">
                  <c:v>-121.53216473968011</c:v>
                </c:pt>
                <c:pt idx="307">
                  <c:v>-121.66234768379314</c:v>
                </c:pt>
                <c:pt idx="308">
                  <c:v>-121.79277445838756</c:v>
                </c:pt>
                <c:pt idx="309">
                  <c:v>-121.92619820816384</c:v>
                </c:pt>
                <c:pt idx="310">
                  <c:v>-122.05986998640674</c:v>
                </c:pt>
                <c:pt idx="311">
                  <c:v>-122.19378673717475</c:v>
                </c:pt>
                <c:pt idx="312">
                  <c:v>-122.32794545051711</c:v>
                </c:pt>
                <c:pt idx="313">
                  <c:v>-122.46562411580527</c:v>
                </c:pt>
                <c:pt idx="314">
                  <c:v>-122.60355044174035</c:v>
                </c:pt>
                <c:pt idx="315">
                  <c:v>-122.74172133873762</c:v>
                </c:pt>
                <c:pt idx="316">
                  <c:v>-122.88013376507688</c:v>
                </c:pt>
                <c:pt idx="317">
                  <c:v>-123.02208882253656</c:v>
                </c:pt>
                <c:pt idx="318">
                  <c:v>-123.16429074584173</c:v>
                </c:pt>
                <c:pt idx="319">
                  <c:v>-123.30673642208819</c:v>
                </c:pt>
                <c:pt idx="320">
                  <c:v>-123.44942278783429</c:v>
                </c:pt>
                <c:pt idx="321">
                  <c:v>-123.59567344724317</c:v>
                </c:pt>
                <c:pt idx="322">
                  <c:v>-123.74216978665069</c:v>
                </c:pt>
                <c:pt idx="323">
                  <c:v>-123.88890867958619</c:v>
                </c:pt>
                <c:pt idx="324">
                  <c:v>-124.03588705036312</c:v>
                </c:pt>
                <c:pt idx="325">
                  <c:v>-124.1864503892579</c:v>
                </c:pt>
                <c:pt idx="326">
                  <c:v>-124.33725786669983</c:v>
                </c:pt>
                <c:pt idx="327">
                  <c:v>-124.48830635175925</c:v>
                </c:pt>
                <c:pt idx="328">
                  <c:v>-124.63959276533866</c:v>
                </c:pt>
                <c:pt idx="329">
                  <c:v>-124.79474308367909</c:v>
                </c:pt>
                <c:pt idx="330">
                  <c:v>-124.95013648366974</c:v>
                </c:pt>
                <c:pt idx="331">
                  <c:v>-125.10576982274561</c:v>
                </c:pt>
                <c:pt idx="332">
                  <c:v>-125.26164001130334</c:v>
                </c:pt>
                <c:pt idx="333">
                  <c:v>-125.42113448140853</c:v>
                </c:pt>
                <c:pt idx="334">
                  <c:v>-125.58086983771467</c:v>
                </c:pt>
                <c:pt idx="335">
                  <c:v>-125.74084295000031</c:v>
                </c:pt>
                <c:pt idx="336">
                  <c:v>-125.90105074151553</c:v>
                </c:pt>
                <c:pt idx="337">
                  <c:v>-126.06542541051886</c:v>
                </c:pt>
                <c:pt idx="338">
                  <c:v>-126.23004003324004</c:v>
                </c:pt>
                <c:pt idx="339">
                  <c:v>-126.39489146898414</c:v>
                </c:pt>
                <c:pt idx="340">
                  <c:v>-126.55997663147058</c:v>
                </c:pt>
                <c:pt idx="341">
                  <c:v>-126.72925021331174</c:v>
                </c:pt>
                <c:pt idx="342">
                  <c:v>-126.8987624600387</c:v>
                </c:pt>
                <c:pt idx="343">
                  <c:v>-127.06851022876498</c:v>
                </c:pt>
                <c:pt idx="344">
                  <c:v>-127.23849043168707</c:v>
                </c:pt>
                <c:pt idx="345">
                  <c:v>-127.41241430415296</c:v>
                </c:pt>
                <c:pt idx="346">
                  <c:v>-127.5865745114906</c:v>
                </c:pt>
                <c:pt idx="347">
                  <c:v>-127.76096793030078</c:v>
                </c:pt>
                <c:pt idx="348">
                  <c:v>-127.93559149233236</c:v>
                </c:pt>
                <c:pt idx="349">
                  <c:v>-128.11470964665307</c:v>
                </c:pt>
                <c:pt idx="350">
                  <c:v>-128.29406296190294</c:v>
                </c:pt>
                <c:pt idx="351">
                  <c:v>-128.47364831214614</c:v>
                </c:pt>
                <c:pt idx="352">
                  <c:v>-128.65346262707223</c:v>
                </c:pt>
                <c:pt idx="353">
                  <c:v>-128.83779229316002</c:v>
                </c:pt>
                <c:pt idx="354">
                  <c:v>-129.02235561704532</c:v>
                </c:pt>
                <c:pt idx="355">
                  <c:v>-129.2071494771005</c:v>
                </c:pt>
                <c:pt idx="356">
                  <c:v>-129.39217080752701</c:v>
                </c:pt>
                <c:pt idx="357">
                  <c:v>-129.58145786401576</c:v>
                </c:pt>
                <c:pt idx="358">
                  <c:v>-129.77097611897236</c:v>
                </c:pt>
                <c:pt idx="359">
                  <c:v>-129.96072247414386</c:v>
                </c:pt>
                <c:pt idx="360">
                  <c:v>-130.15069388672981</c:v>
                </c:pt>
                <c:pt idx="361">
                  <c:v>-130.34548936680255</c:v>
                </c:pt>
                <c:pt idx="362">
                  <c:v>-130.54051463266362</c:v>
                </c:pt>
                <c:pt idx="363">
                  <c:v>-130.73576658788272</c:v>
                </c:pt>
                <c:pt idx="364">
                  <c:v>-130.93124219148027</c:v>
                </c:pt>
                <c:pt idx="365">
                  <c:v>-131.13128974620756</c:v>
                </c:pt>
                <c:pt idx="366">
                  <c:v>-131.33156474540425</c:v>
                </c:pt>
                <c:pt idx="367">
                  <c:v>-131.53206411192727</c:v>
                </c:pt>
                <c:pt idx="368">
                  <c:v>-131.73278482351259</c:v>
                </c:pt>
                <c:pt idx="369">
                  <c:v>-131.93864089350637</c:v>
                </c:pt>
                <c:pt idx="370">
                  <c:v>-132.14472301700499</c:v>
                </c:pt>
                <c:pt idx="371">
                  <c:v>-132.35102811494983</c:v>
                </c:pt>
                <c:pt idx="372">
                  <c:v>-132.55755316292144</c:v>
                </c:pt>
                <c:pt idx="373">
                  <c:v>-132.76895896055174</c:v>
                </c:pt>
                <c:pt idx="374">
                  <c:v>-132.98058851115269</c:v>
                </c:pt>
                <c:pt idx="375">
                  <c:v>-133.19243874940881</c:v>
                </c:pt>
                <c:pt idx="376">
                  <c:v>-133.40450666384285</c:v>
                </c:pt>
                <c:pt idx="377">
                  <c:v>-133.62202333030001</c:v>
                </c:pt>
                <c:pt idx="378">
                  <c:v>-133.8397622995621</c:v>
                </c:pt>
                <c:pt idx="379">
                  <c:v>-134.05772049877837</c:v>
                </c:pt>
                <c:pt idx="380">
                  <c:v>-134.27589490841788</c:v>
                </c:pt>
                <c:pt idx="381">
                  <c:v>-134.49898436402773</c:v>
                </c:pt>
                <c:pt idx="382">
                  <c:v>-134.72229322990071</c:v>
                </c:pt>
                <c:pt idx="383">
                  <c:v>-134.9458184505132</c:v>
                </c:pt>
                <c:pt idx="384">
                  <c:v>-135.1695570223342</c:v>
                </c:pt>
                <c:pt idx="385">
                  <c:v>-135.39905879952559</c:v>
                </c:pt>
                <c:pt idx="386">
                  <c:v>-135.62877840857422</c:v>
                </c:pt>
                <c:pt idx="387">
                  <c:v>-135.85871277766799</c:v>
                </c:pt>
                <c:pt idx="388">
                  <c:v>-136.08885888615714</c:v>
                </c:pt>
                <c:pt idx="389">
                  <c:v>-136.32450850589322</c:v>
                </c:pt>
                <c:pt idx="390">
                  <c:v>-136.560373468997</c:v>
                </c:pt>
                <c:pt idx="391">
                  <c:v>-136.79645069855948</c:v>
                </c:pt>
                <c:pt idx="392">
                  <c:v>-137.03273716745736</c:v>
                </c:pt>
                <c:pt idx="393">
                  <c:v>-137.2745435447093</c:v>
                </c:pt>
                <c:pt idx="394">
                  <c:v>-137.5165624179437</c:v>
                </c:pt>
                <c:pt idx="395">
                  <c:v>-137.75879070340076</c:v>
                </c:pt>
                <c:pt idx="396">
                  <c:v>-138.00122536545052</c:v>
                </c:pt>
                <c:pt idx="397">
                  <c:v>-138.24975655385558</c:v>
                </c:pt>
                <c:pt idx="398">
                  <c:v>-138.49849796253721</c:v>
                </c:pt>
                <c:pt idx="399">
                  <c:v>-138.7474464767887</c:v>
                </c:pt>
                <c:pt idx="400">
                  <c:v>-138.99659902851889</c:v>
                </c:pt>
                <c:pt idx="401">
                  <c:v>-139.25158364015769</c:v>
                </c:pt>
                <c:pt idx="402">
                  <c:v>-139.50677525886846</c:v>
                </c:pt>
                <c:pt idx="403">
                  <c:v>-139.76217074560441</c:v>
                </c:pt>
                <c:pt idx="404">
                  <c:v>-140.01776700589545</c:v>
                </c:pt>
                <c:pt idx="405">
                  <c:v>-140.27949230837794</c:v>
                </c:pt>
                <c:pt idx="406">
                  <c:v>-140.54142138184955</c:v>
                </c:pt>
                <c:pt idx="407">
                  <c:v>-140.80355104680885</c:v>
                </c:pt>
                <c:pt idx="408">
                  <c:v>-141.06587816618077</c:v>
                </c:pt>
                <c:pt idx="409">
                  <c:v>-141.33463226288691</c:v>
                </c:pt>
                <c:pt idx="410">
                  <c:v>-141.60358677358511</c:v>
                </c:pt>
                <c:pt idx="411">
                  <c:v>-141.87273846087959</c:v>
                </c:pt>
                <c:pt idx="412">
                  <c:v>-142.14208412749699</c:v>
                </c:pt>
                <c:pt idx="413">
                  <c:v>-142.41787132776784</c:v>
                </c:pt>
                <c:pt idx="414">
                  <c:v>-142.69385495540951</c:v>
                </c:pt>
                <c:pt idx="415">
                  <c:v>-142.97003170617316</c:v>
                </c:pt>
                <c:pt idx="416">
                  <c:v>-143.24639831328156</c:v>
                </c:pt>
                <c:pt idx="417">
                  <c:v>-143.52950447682466</c:v>
                </c:pt>
                <c:pt idx="418">
                  <c:v>-143.8128027833622</c:v>
                </c:pt>
                <c:pt idx="419">
                  <c:v>-144.09628984056175</c:v>
                </c:pt>
                <c:pt idx="420">
                  <c:v>-144.37996229070794</c:v>
                </c:pt>
                <c:pt idx="421">
                  <c:v>-144.67010133780565</c:v>
                </c:pt>
                <c:pt idx="422">
                  <c:v>-144.96042708565713</c:v>
                </c:pt>
                <c:pt idx="423">
                  <c:v>-145.25093605088492</c:v>
                </c:pt>
                <c:pt idx="424">
                  <c:v>-145.54162478138656</c:v>
                </c:pt>
                <c:pt idx="425">
                  <c:v>-145.83964916185835</c:v>
                </c:pt>
                <c:pt idx="426">
                  <c:v>-146.13785501992277</c:v>
                </c:pt>
                <c:pt idx="427">
                  <c:v>-146.43623873458233</c:v>
                </c:pt>
                <c:pt idx="428">
                  <c:v>-146.73479671276897</c:v>
                </c:pt>
                <c:pt idx="429">
                  <c:v>-147.04041448907213</c:v>
                </c:pt>
                <c:pt idx="430">
                  <c:v>-147.34620713166254</c:v>
                </c:pt>
                <c:pt idx="431">
                  <c:v>-147.65217087405162</c:v>
                </c:pt>
                <c:pt idx="432">
                  <c:v>-147.95830197382995</c:v>
                </c:pt>
                <c:pt idx="433">
                  <c:v>-148.27150098434007</c:v>
                </c:pt>
                <c:pt idx="434">
                  <c:v>-148.58486713649094</c:v>
                </c:pt>
                <c:pt idx="435">
                  <c:v>-148.89839649742316</c:v>
                </c:pt>
                <c:pt idx="436">
                  <c:v>-149.21208515414918</c:v>
                </c:pt>
                <c:pt idx="437">
                  <c:v>-149.53342414234609</c:v>
                </c:pt>
                <c:pt idx="438">
                  <c:v>-149.85492187885595</c:v>
                </c:pt>
                <c:pt idx="439">
                  <c:v>-150.1765742187095</c:v>
                </c:pt>
                <c:pt idx="440">
                  <c:v>-150.49837703237796</c:v>
                </c:pt>
                <c:pt idx="441">
                  <c:v>-150.8278352524014</c:v>
                </c:pt>
                <c:pt idx="442">
                  <c:v>-151.15744233925437</c:v>
                </c:pt>
                <c:pt idx="443">
                  <c:v>-151.48719390836987</c:v>
                </c:pt>
                <c:pt idx="444">
                  <c:v>-151.81708558581406</c:v>
                </c:pt>
                <c:pt idx="445">
                  <c:v>-152.15463489880264</c:v>
                </c:pt>
                <c:pt idx="446">
                  <c:v>-152.49232155064323</c:v>
                </c:pt>
                <c:pt idx="447">
                  <c:v>-152.83014088668747</c:v>
                </c:pt>
                <c:pt idx="448">
                  <c:v>-153.16808825778318</c:v>
                </c:pt>
                <c:pt idx="449">
                  <c:v>-153.5142718768796</c:v>
                </c:pt>
                <c:pt idx="450">
                  <c:v>-153.86057989344826</c:v>
                </c:pt>
                <c:pt idx="451">
                  <c:v>-154.2070073244185</c:v>
                </c:pt>
                <c:pt idx="452">
                  <c:v>-154.55354918680487</c:v>
                </c:pt>
                <c:pt idx="453">
                  <c:v>-154.9080340108778</c:v>
                </c:pt>
                <c:pt idx="454">
                  <c:v>-155.26262795107237</c:v>
                </c:pt>
                <c:pt idx="455">
                  <c:v>-155.61732567053187</c:v>
                </c:pt>
                <c:pt idx="456">
                  <c:v>-155.97212182681736</c:v>
                </c:pt>
                <c:pt idx="457">
                  <c:v>-156.33543424267273</c:v>
                </c:pt>
                <c:pt idx="458">
                  <c:v>-156.69883846860225</c:v>
                </c:pt>
                <c:pt idx="459">
                  <c:v>-157.0623287463296</c:v>
                </c:pt>
                <c:pt idx="460">
                  <c:v>-157.42589930611285</c:v>
                </c:pt>
                <c:pt idx="461">
                  <c:v>-157.79797502426777</c:v>
                </c:pt>
                <c:pt idx="462">
                  <c:v>-158.17012252719664</c:v>
                </c:pt>
                <c:pt idx="463">
                  <c:v>-158.54233558970444</c:v>
                </c:pt>
                <c:pt idx="464">
                  <c:v>-158.91460796914961</c:v>
                </c:pt>
                <c:pt idx="465">
                  <c:v>-159.29566036731703</c:v>
                </c:pt>
                <c:pt idx="466">
                  <c:v>-159.67676160434669</c:v>
                </c:pt>
                <c:pt idx="467">
                  <c:v>-160.05790492480003</c:v>
                </c:pt>
                <c:pt idx="468">
                  <c:v>-160.43908354978956</c:v>
                </c:pt>
                <c:pt idx="469">
                  <c:v>-160.82902089020021</c:v>
                </c:pt>
                <c:pt idx="470">
                  <c:v>-161.21898074341925</c:v>
                </c:pt>
                <c:pt idx="471">
                  <c:v>-161.60895577225926</c:v>
                </c:pt>
                <c:pt idx="472">
                  <c:v>-161.99893861028195</c:v>
                </c:pt>
                <c:pt idx="473">
                  <c:v>-162.39823483779026</c:v>
                </c:pt>
                <c:pt idx="474">
                  <c:v>-162.79752352558995</c:v>
                </c:pt>
                <c:pt idx="475">
                  <c:v>-163.1967966670953</c:v>
                </c:pt>
                <c:pt idx="476">
                  <c:v>-163.59604622088372</c:v>
                </c:pt>
                <c:pt idx="477">
                  <c:v>-164.00457487153261</c:v>
                </c:pt>
                <c:pt idx="478">
                  <c:v>-164.4130616694176</c:v>
                </c:pt>
                <c:pt idx="479">
                  <c:v>-164.82149788113901</c:v>
                </c:pt>
                <c:pt idx="480">
                  <c:v>-165.22987473350466</c:v>
                </c:pt>
                <c:pt idx="481">
                  <c:v>-165.6474887299791</c:v>
                </c:pt>
                <c:pt idx="482">
                  <c:v>-166.06502193778496</c:v>
                </c:pt>
                <c:pt idx="483">
                  <c:v>-166.48246484005799</c:v>
                </c:pt>
                <c:pt idx="484">
                  <c:v>-166.89980787613297</c:v>
                </c:pt>
                <c:pt idx="485">
                  <c:v>-167.32662831511007</c:v>
                </c:pt>
                <c:pt idx="486">
                  <c:v>-167.75332386549513</c:v>
                </c:pt>
                <c:pt idx="487">
                  <c:v>-168.17988415143867</c:v>
                </c:pt>
                <c:pt idx="488">
                  <c:v>-168.60629875046081</c:v>
                </c:pt>
                <c:pt idx="489">
                  <c:v>-169.04271112238567</c:v>
                </c:pt>
                <c:pt idx="490">
                  <c:v>-169.47894852497413</c:v>
                </c:pt>
                <c:pt idx="491">
                  <c:v>-169.91499962522812</c:v>
                </c:pt>
                <c:pt idx="492">
                  <c:v>-170.35085304214158</c:v>
                </c:pt>
                <c:pt idx="493">
                  <c:v>-170.79663276509837</c:v>
                </c:pt>
                <c:pt idx="494">
                  <c:v>-171.24218123670911</c:v>
                </c:pt>
                <c:pt idx="495">
                  <c:v>-171.687486114173</c:v>
                </c:pt>
                <c:pt idx="496">
                  <c:v>-172.1325350074855</c:v>
                </c:pt>
                <c:pt idx="497">
                  <c:v>-172.5877163891754</c:v>
                </c:pt>
                <c:pt idx="498">
                  <c:v>-173.04260327014794</c:v>
                </c:pt>
                <c:pt idx="499">
                  <c:v>-173.49718222811612</c:v>
                </c:pt>
                <c:pt idx="500">
                  <c:v>-173.95143979698852</c:v>
                </c:pt>
                <c:pt idx="501">
                  <c:v>-174.41602191350415</c:v>
                </c:pt>
                <c:pt idx="502">
                  <c:v>-174.88023868899711</c:v>
                </c:pt>
                <c:pt idx="503">
                  <c:v>-175.34407555883868</c:v>
                </c:pt>
                <c:pt idx="504">
                  <c:v>-175.80751792119591</c:v>
                </c:pt>
                <c:pt idx="505">
                  <c:v>-176.28117415440306</c:v>
                </c:pt>
                <c:pt idx="506">
                  <c:v>-176.75438654568745</c:v>
                </c:pt>
                <c:pt idx="507">
                  <c:v>-177.22713936392751</c:v>
                </c:pt>
                <c:pt idx="508">
                  <c:v>-177.69941685132389</c:v>
                </c:pt>
                <c:pt idx="509">
                  <c:v>-178.1820692848849</c:v>
                </c:pt>
                <c:pt idx="510">
                  <c:v>-178.66419079404105</c:v>
                </c:pt>
                <c:pt idx="511">
                  <c:v>-179.14576444512065</c:v>
                </c:pt>
                <c:pt idx="512">
                  <c:v>-179.62677329278694</c:v>
                </c:pt>
                <c:pt idx="513">
                  <c:v>-180.11858446208842</c:v>
                </c:pt>
                <c:pt idx="514">
                  <c:v>-180.60976777154627</c:v>
                </c:pt>
                <c:pt idx="515">
                  <c:v>-181.1003050348441</c:v>
                </c:pt>
                <c:pt idx="516">
                  <c:v>-181.59017807421711</c:v>
                </c:pt>
                <c:pt idx="517">
                  <c:v>-182.09069091005401</c:v>
                </c:pt>
                <c:pt idx="518">
                  <c:v>-182.59046994847634</c:v>
                </c:pt>
                <c:pt idx="519">
                  <c:v>-183.08949578407291</c:v>
                </c:pt>
                <c:pt idx="520">
                  <c:v>-183.58774904610311</c:v>
                </c:pt>
                <c:pt idx="521">
                  <c:v>-184.09674353016177</c:v>
                </c:pt>
                <c:pt idx="522">
                  <c:v>-184.60488828103806</c:v>
                </c:pt>
                <c:pt idx="523">
                  <c:v>-185.11216270394544</c:v>
                </c:pt>
                <c:pt idx="524">
                  <c:v>-185.61854627138226</c:v>
                </c:pt>
                <c:pt idx="525">
                  <c:v>-186.13574970170313</c:v>
                </c:pt>
                <c:pt idx="526">
                  <c:v>-186.6519771705934</c:v>
                </c:pt>
                <c:pt idx="527">
                  <c:v>-187.1672069543603</c:v>
                </c:pt>
                <c:pt idx="528">
                  <c:v>-187.68141743623511</c:v>
                </c:pt>
                <c:pt idx="529">
                  <c:v>-188.20650229371682</c:v>
                </c:pt>
                <c:pt idx="530">
                  <c:v>-188.73047450088666</c:v>
                </c:pt>
                <c:pt idx="531">
                  <c:v>-189.25331130065672</c:v>
                </c:pt>
                <c:pt idx="532">
                  <c:v>-189.774990089906</c:v>
                </c:pt>
                <c:pt idx="533">
                  <c:v>-190.30784705883562</c:v>
                </c:pt>
                <c:pt idx="534">
                  <c:v>-190.83944289633473</c:v>
                </c:pt>
                <c:pt idx="535">
                  <c:v>-191.36975390983898</c:v>
                </c:pt>
                <c:pt idx="536">
                  <c:v>-191.89875661581246</c:v>
                </c:pt>
                <c:pt idx="537">
                  <c:v>-192.43839225923952</c:v>
                </c:pt>
                <c:pt idx="538">
                  <c:v>-192.9766105429627</c:v>
                </c:pt>
                <c:pt idx="539">
                  <c:v>-193.5133870889544</c:v>
                </c:pt>
                <c:pt idx="540">
                  <c:v>-194.04869778990079</c:v>
                </c:pt>
                <c:pt idx="541">
                  <c:v>-194.59515926725797</c:v>
                </c:pt>
                <c:pt idx="542">
                  <c:v>-195.14003433985215</c:v>
                </c:pt>
                <c:pt idx="543">
                  <c:v>-195.6832980914061</c:v>
                </c:pt>
                <c:pt idx="544">
                  <c:v>-196.2249259462213</c:v>
                </c:pt>
                <c:pt idx="545">
                  <c:v>-196.77738169242781</c:v>
                </c:pt>
                <c:pt idx="546">
                  <c:v>-197.32807396037174</c:v>
                </c:pt>
                <c:pt idx="547">
                  <c:v>-197.87697759920297</c:v>
                </c:pt>
                <c:pt idx="548">
                  <c:v>-198.42406787428791</c:v>
                </c:pt>
                <c:pt idx="549">
                  <c:v>-198.98190554642943</c:v>
                </c:pt>
                <c:pt idx="550">
                  <c:v>-199.53779402459728</c:v>
                </c:pt>
                <c:pt idx="551">
                  <c:v>-200.09170823418</c:v>
                </c:pt>
                <c:pt idx="552">
                  <c:v>-200.64362359755907</c:v>
                </c:pt>
                <c:pt idx="553">
                  <c:v>-201.20643621744256</c:v>
                </c:pt>
                <c:pt idx="554">
                  <c:v>-201.76710430648279</c:v>
                </c:pt>
                <c:pt idx="555">
                  <c:v>-202.32560318532595</c:v>
                </c:pt>
                <c:pt idx="556">
                  <c:v>-202.88190875702583</c:v>
                </c:pt>
                <c:pt idx="557">
                  <c:v>-204.01368288757968</c:v>
                </c:pt>
                <c:pt idx="558">
                  <c:v>-205.13597576321365</c:v>
                </c:pt>
                <c:pt idx="559">
                  <c:v>-206.27399261012698</c:v>
                </c:pt>
                <c:pt idx="560">
                  <c:v>-207.4017129642622</c:v>
                </c:pt>
                <c:pt idx="561">
                  <c:v>-208.54534403911836</c:v>
                </c:pt>
                <c:pt idx="562">
                  <c:v>-209.67783261135</c:v>
                </c:pt>
                <c:pt idx="563">
                  <c:v>-210.8229556365159</c:v>
                </c:pt>
                <c:pt idx="564">
                  <c:v>-211.95613423247332</c:v>
                </c:pt>
                <c:pt idx="565">
                  <c:v>-213.10533475677246</c:v>
                </c:pt>
                <c:pt idx="566">
                  <c:v>-214.24170043254045</c:v>
                </c:pt>
                <c:pt idx="567">
                  <c:v>-215.39257359310471</c:v>
                </c:pt>
                <c:pt idx="568">
                  <c:v>-216.52973812654818</c:v>
                </c:pt>
                <c:pt idx="569">
                  <c:v>-217.67542626870201</c:v>
                </c:pt>
                <c:pt idx="570">
                  <c:v>-218.80667277379703</c:v>
                </c:pt>
                <c:pt idx="571">
                  <c:v>-219.95386372668165</c:v>
                </c:pt>
                <c:pt idx="572">
                  <c:v>-221.08568982914139</c:v>
                </c:pt>
                <c:pt idx="573">
                  <c:v>-222.22327366823151</c:v>
                </c:pt>
                <c:pt idx="574">
                  <c:v>-223.34484913924462</c:v>
                </c:pt>
                <c:pt idx="575">
                  <c:v>-224.47918707330504</c:v>
                </c:pt>
                <c:pt idx="576">
                  <c:v>-225.59668738800249</c:v>
                </c:pt>
                <c:pt idx="577">
                  <c:v>-230.14235771193285</c:v>
                </c:pt>
                <c:pt idx="578">
                  <c:v>-234.39328698570608</c:v>
                </c:pt>
                <c:pt idx="579">
                  <c:v>-242.73135063210739</c:v>
                </c:pt>
                <c:pt idx="580">
                  <c:v>-250.48642986246119</c:v>
                </c:pt>
                <c:pt idx="581">
                  <c:v>-257.55936986236009</c:v>
                </c:pt>
                <c:pt idx="582">
                  <c:v>-263.91271418149313</c:v>
                </c:pt>
                <c:pt idx="583">
                  <c:v>-269.53460243000848</c:v>
                </c:pt>
                <c:pt idx="584">
                  <c:v>-274.44551731682765</c:v>
                </c:pt>
                <c:pt idx="585">
                  <c:v>-278.67279918339415</c:v>
                </c:pt>
                <c:pt idx="586">
                  <c:v>-282.25520743962761</c:v>
                </c:pt>
                <c:pt idx="587">
                  <c:v>-285.23562263330263</c:v>
                </c:pt>
                <c:pt idx="588">
                  <c:v>-287.65379804429529</c:v>
                </c:pt>
                <c:pt idx="589">
                  <c:v>-289.55466384681404</c:v>
                </c:pt>
                <c:pt idx="590">
                  <c:v>-290.9800968297065</c:v>
                </c:pt>
                <c:pt idx="591">
                  <c:v>-291.97304743642451</c:v>
                </c:pt>
                <c:pt idx="592">
                  <c:v>-292.57636806310285</c:v>
                </c:pt>
                <c:pt idx="593">
                  <c:v>-292.83333917992809</c:v>
                </c:pt>
                <c:pt idx="594">
                  <c:v>-292.78707381164338</c:v>
                </c:pt>
                <c:pt idx="595">
                  <c:v>-292.48055742947963</c:v>
                </c:pt>
                <c:pt idx="596">
                  <c:v>-291.95609292210264</c:v>
                </c:pt>
                <c:pt idx="597">
                  <c:v>-291.25439185042563</c:v>
                </c:pt>
                <c:pt idx="598">
                  <c:v>-290.41429550792458</c:v>
                </c:pt>
                <c:pt idx="599">
                  <c:v>-289.47138804831985</c:v>
                </c:pt>
                <c:pt idx="600">
                  <c:v>-288.45811987957774</c:v>
                </c:pt>
              </c:numCache>
            </c:numRef>
          </c:yVal>
          <c:smooth val="0"/>
          <c:extLst>
            <c:ext xmlns:c16="http://schemas.microsoft.com/office/drawing/2014/chart" uri="{C3380CC4-5D6E-409C-BE32-E72D297353CC}">
              <c16:uniqueId val="{0000000B-10BD-4998-8A98-65686C23F2C0}"/>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10BD-4998-8A98-65686C23F2C0}"/>
              </c:ext>
            </c:extLst>
          </c:dPt>
          <c:xVal>
            <c:numRef>
              <c:f>'Ch2 Stability Calculations'!$A$617:$A$618</c:f>
              <c:numCache>
                <c:formatCode>General</c:formatCode>
                <c:ptCount val="2"/>
                <c:pt idx="0">
                  <c:v>56561.5</c:v>
                </c:pt>
                <c:pt idx="1">
                  <c:v>56561.5</c:v>
                </c:pt>
              </c:numCache>
            </c:numRef>
          </c:xVal>
          <c:yVal>
            <c:numRef>
              <c:f>'Ch2 Stability Calculations'!$R$617:$R$618</c:f>
              <c:numCache>
                <c:formatCode>0.00</c:formatCode>
                <c:ptCount val="2"/>
                <c:pt idx="0">
                  <c:v>-159.29566036731703</c:v>
                </c:pt>
                <c:pt idx="1">
                  <c:v>-135</c:v>
                </c:pt>
              </c:numCache>
            </c:numRef>
          </c:yVal>
          <c:smooth val="0"/>
          <c:extLst>
            <c:ext xmlns:c16="http://schemas.microsoft.com/office/drawing/2014/chart" uri="{C3380CC4-5D6E-409C-BE32-E72D297353CC}">
              <c16:uniqueId val="{0000000D-10BD-4998-8A98-65686C23F2C0}"/>
            </c:ext>
          </c:extLst>
        </c:ser>
        <c:ser>
          <c:idx val="0"/>
          <c:order val="8"/>
          <c:tx>
            <c:v>Fc2</c:v>
          </c:tx>
          <c:spPr>
            <a:ln w="22225">
              <a:solidFill>
                <a:schemeClr val="tx1">
                  <a:lumMod val="50000"/>
                  <a:lumOff val="50000"/>
                </a:schemeClr>
              </a:solidFill>
              <a:prstDash val="sysDash"/>
            </a:ln>
          </c:spPr>
          <c:marker>
            <c:symbol val="none"/>
          </c:marker>
          <c:xVal>
            <c:numRef>
              <c:f>'Ch2 Stability Calculations'!$A$619:$A$620</c:f>
              <c:numCache>
                <c:formatCode>General</c:formatCode>
                <c:ptCount val="2"/>
                <c:pt idx="0">
                  <c:v>56561.5</c:v>
                </c:pt>
                <c:pt idx="1">
                  <c:v>1000000</c:v>
                </c:pt>
              </c:numCache>
            </c:numRef>
          </c:xVal>
          <c:yVal>
            <c:numRef>
              <c:f>'Ch2 Stability Calculations'!$R$619:$R$620</c:f>
              <c:numCache>
                <c:formatCode>0.00</c:formatCode>
                <c:ptCount val="2"/>
                <c:pt idx="1">
                  <c:v>-159.29566036731703</c:v>
                </c:pt>
              </c:numCache>
            </c:numRef>
          </c:yVal>
          <c:smooth val="0"/>
          <c:extLst>
            <c:ext xmlns:c16="http://schemas.microsoft.com/office/drawing/2014/chart" uri="{C3380CC4-5D6E-409C-BE32-E72D297353CC}">
              <c16:uniqueId val="{0000000E-10BD-4998-8A98-65686C23F2C0}"/>
            </c:ext>
          </c:extLst>
        </c:ser>
        <c:dLbls>
          <c:showLegendKey val="0"/>
          <c:showVal val="0"/>
          <c:showCatName val="0"/>
          <c:showSerName val="0"/>
          <c:showPercent val="0"/>
          <c:showBubbleSize val="0"/>
        </c:dLbls>
        <c:axId val="185190272"/>
        <c:axId val="185191808"/>
      </c:scatterChart>
      <c:valAx>
        <c:axId val="185161600"/>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185188352"/>
        <c:crossesAt val="-80"/>
        <c:crossBetween val="midCat"/>
      </c:valAx>
      <c:valAx>
        <c:axId val="185188352"/>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185161600"/>
        <c:crossesAt val="1.0000000000000005E-2"/>
        <c:crossBetween val="midCat"/>
        <c:majorUnit val="20"/>
      </c:valAx>
      <c:valAx>
        <c:axId val="185190272"/>
        <c:scaling>
          <c:logBase val="10"/>
          <c:orientation val="minMax"/>
        </c:scaling>
        <c:delete val="1"/>
        <c:axPos val="b"/>
        <c:numFmt formatCode="General" sourceLinked="1"/>
        <c:majorTickMark val="out"/>
        <c:minorTickMark val="none"/>
        <c:tickLblPos val="none"/>
        <c:crossAx val="185191808"/>
        <c:crosses val="autoZero"/>
        <c:crossBetween val="midCat"/>
      </c:valAx>
      <c:valAx>
        <c:axId val="185191808"/>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185190272"/>
        <c:crosses val="max"/>
        <c:crossBetween val="midCat"/>
        <c:majorUnit val="45"/>
      </c:valAx>
      <c:spPr>
        <a:noFill/>
        <a:ln w="12700">
          <a:solidFill>
            <a:srgbClr val="808080"/>
          </a:solidFill>
          <a:prstDash val="solid"/>
        </a:ln>
      </c:spPr>
    </c:plotArea>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Calculations'!$AW$9:$AW$109</c:f>
              <c:numCache>
                <c:formatCode>0.0</c:formatCode>
                <c:ptCount val="101"/>
                <c:pt idx="0">
                  <c:v>1.3108304146709107</c:v>
                </c:pt>
                <c:pt idx="1">
                  <c:v>3.3675428342264082</c:v>
                </c:pt>
                <c:pt idx="2">
                  <c:v>5.4309925192050796</c:v>
                </c:pt>
                <c:pt idx="3">
                  <c:v>7.5013440239981373</c:v>
                </c:pt>
                <c:pt idx="4">
                  <c:v>9.5787630605830874</c:v>
                </c:pt>
                <c:pt idx="5">
                  <c:v>11.663416542763219</c:v>
                </c:pt>
                <c:pt idx="6">
                  <c:v>13.755472630915879</c:v>
                </c:pt>
                <c:pt idx="7">
                  <c:v>15.855100777274943</c:v>
                </c:pt>
                <c:pt idx="8">
                  <c:v>17.962471771772972</c:v>
                </c:pt>
                <c:pt idx="9">
                  <c:v>19.170792807690546</c:v>
                </c:pt>
                <c:pt idx="10">
                  <c:v>19.531173843568556</c:v>
                </c:pt>
                <c:pt idx="11">
                  <c:v>19.898819420393142</c:v>
                </c:pt>
                <c:pt idx="12">
                  <c:v>20.273765769081134</c:v>
                </c:pt>
                <c:pt idx="13">
                  <c:v>20.656050324187287</c:v>
                </c:pt>
                <c:pt idx="14">
                  <c:v>21.045711735912988</c:v>
                </c:pt>
                <c:pt idx="15">
                  <c:v>21.442789882622375</c:v>
                </c:pt>
                <c:pt idx="16">
                  <c:v>21.847325883874177</c:v>
                </c:pt>
                <c:pt idx="17">
                  <c:v>22.259362113977858</c:v>
                </c:pt>
                <c:pt idx="18">
                  <c:v>22.678942216083332</c:v>
                </c:pt>
                <c:pt idx="19">
                  <c:v>23.106111116813686</c:v>
                </c:pt>
                <c:pt idx="20">
                  <c:v>23.540915041450916</c:v>
                </c:pt>
                <c:pt idx="21">
                  <c:v>23.983401529685167</c:v>
                </c:pt>
                <c:pt idx="22">
                  <c:v>24.433619451938291</c:v>
                </c:pt>
                <c:pt idx="23">
                  <c:v>24.891619026273112</c:v>
                </c:pt>
                <c:pt idx="24">
                  <c:v>25.357451835900314</c:v>
                </c:pt>
                <c:pt idx="25">
                  <c:v>25.831170847295247</c:v>
                </c:pt>
                <c:pt idx="26">
                  <c:v>26.312830428937531</c:v>
                </c:pt>
                <c:pt idx="27">
                  <c:v>26.802486370686868</c:v>
                </c:pt>
                <c:pt idx="28">
                  <c:v>27.300195903809072</c:v>
                </c:pt>
                <c:pt idx="29">
                  <c:v>27.806017721666745</c:v>
                </c:pt>
                <c:pt idx="30">
                  <c:v>28.32001200108974</c:v>
                </c:pt>
                <c:pt idx="31">
                  <c:v>28.842240424441151</c:v>
                </c:pt>
                <c:pt idx="32">
                  <c:v>29.372766202395049</c:v>
                </c:pt>
                <c:pt idx="33">
                  <c:v>29.911654097443062</c:v>
                </c:pt>
                <c:pt idx="34">
                  <c:v>30.458970448147291</c:v>
                </c:pt>
                <c:pt idx="35">
                  <c:v>31.014783194157971</c:v>
                </c:pt>
                <c:pt idx="36">
                  <c:v>31.579161902014768</c:v>
                </c:pt>
                <c:pt idx="37">
                  <c:v>32.152177791751619</c:v>
                </c:pt>
                <c:pt idx="38">
                  <c:v>32.733903764325454</c:v>
                </c:pt>
                <c:pt idx="39">
                  <c:v>33.324414429890219</c:v>
                </c:pt>
                <c:pt idx="40">
                  <c:v>33.923786136938155</c:v>
                </c:pt>
                <c:pt idx="41">
                  <c:v>34.532097002331355</c:v>
                </c:pt>
                <c:pt idx="42">
                  <c:v>35.149426942247416</c:v>
                </c:pt>
                <c:pt idx="43">
                  <c:v>35.775857704063839</c:v>
                </c:pt>
                <c:pt idx="44">
                  <c:v>36.411472899206792</c:v>
                </c:pt>
                <c:pt idx="45">
                  <c:v>37.056358036990929</c:v>
                </c:pt>
                <c:pt idx="46">
                  <c:v>37.710600559477761</c:v>
                </c:pt>
                <c:pt idx="47">
                  <c:v>38.374289877381372</c:v>
                </c:pt>
                <c:pt idx="48">
                  <c:v>39.047517407051103</c:v>
                </c:pt>
                <c:pt idx="49">
                  <c:v>39.730376608562132</c:v>
                </c:pt>
                <c:pt idx="50">
                  <c:v>40.422963024945858</c:v>
                </c:pt>
                <c:pt idx="51">
                  <c:v>41.125374322593601</c:v>
                </c:pt>
                <c:pt idx="52">
                  <c:v>41.837710332867765</c:v>
                </c:pt>
                <c:pt idx="53">
                  <c:v>42.560073094956586</c:v>
                </c:pt>
                <c:pt idx="54">
                  <c:v>43.292566900009476</c:v>
                </c:pt>
                <c:pt idx="55">
                  <c:v>44.035298336591516</c:v>
                </c:pt>
                <c:pt idx="56">
                  <c:v>44.788376337497347</c:v>
                </c:pt>
                <c:pt idx="57">
                  <c:v>45.551912227965893</c:v>
                </c:pt>
                <c:pt idx="58">
                  <c:v>46.326019775339155</c:v>
                </c:pt>
                <c:pt idx="59">
                  <c:v>47.110815240209924</c:v>
                </c:pt>
                <c:pt idx="60">
                  <c:v>47.906417429105034</c:v>
                </c:pt>
                <c:pt idx="61">
                  <c:v>48.712947748752534</c:v>
                </c:pt>
                <c:pt idx="62">
                  <c:v>49.530530261982889</c:v>
                </c:pt>
                <c:pt idx="63">
                  <c:v>50.359291745316717</c:v>
                </c:pt>
                <c:pt idx="64">
                  <c:v>51.199361748293093</c:v>
                </c:pt>
                <c:pt idx="65">
                  <c:v>52.050872654594663</c:v>
                </c:pt>
                <c:pt idx="66">
                  <c:v>52.913959745028606</c:v>
                </c:pt>
                <c:pt idx="67">
                  <c:v>53.788761262423982</c:v>
                </c:pt>
                <c:pt idx="68">
                  <c:v>54.675418478508689</c:v>
                </c:pt>
                <c:pt idx="69">
                  <c:v>55.574075762832379</c:v>
                </c:pt>
                <c:pt idx="70">
                  <c:v>56.48488065380306</c:v>
                </c:pt>
                <c:pt idx="71">
                  <c:v>57.407983931909143</c:v>
                </c:pt>
                <c:pt idx="72">
                  <c:v>58.343539695200768</c:v>
                </c:pt>
                <c:pt idx="73">
                  <c:v>59.291705437107353</c:v>
                </c:pt>
                <c:pt idx="74">
                  <c:v>60.252642126671674</c:v>
                </c:pt>
                <c:pt idx="75">
                  <c:v>61.226514291283706</c:v>
                </c:pt>
                <c:pt idx="76">
                  <c:v>62.213490102001394</c:v>
                </c:pt>
                <c:pt idx="77">
                  <c:v>63.213741461548182</c:v>
                </c:pt>
                <c:pt idx="78">
                  <c:v>64.227444095082106</c:v>
                </c:pt>
                <c:pt idx="79">
                  <c:v>65.254777643833691</c:v>
                </c:pt>
                <c:pt idx="80">
                  <c:v>66.295925761715395</c:v>
                </c:pt>
                <c:pt idx="81">
                  <c:v>67.351076215008575</c:v>
                </c:pt>
                <c:pt idx="82">
                  <c:v>68.420420985238962</c:v>
                </c:pt>
                <c:pt idx="83">
                  <c:v>69.50415637535589</c:v>
                </c:pt>
                <c:pt idx="84">
                  <c:v>70.602483119336156</c:v>
                </c:pt>
                <c:pt idx="85">
                  <c:v>71.715606495337298</c:v>
                </c:pt>
                <c:pt idx="86">
                  <c:v>72.843736442531949</c:v>
                </c:pt>
                <c:pt idx="87">
                  <c:v>73.987087681759149</c:v>
                </c:pt>
                <c:pt idx="88">
                  <c:v>75.145879840135549</c:v>
                </c:pt>
                <c:pt idx="89">
                  <c:v>76.32033757977463</c:v>
                </c:pt>
                <c:pt idx="90">
                  <c:v>77.510690730769412</c:v>
                </c:pt>
                <c:pt idx="91">
                  <c:v>78.717174428600401</c:v>
                </c:pt>
                <c:pt idx="92">
                  <c:v>79.940029256137919</c:v>
                </c:pt>
                <c:pt idx="93">
                  <c:v>81.179501390415197</c:v>
                </c:pt>
                <c:pt idx="94">
                  <c:v>82.435842754356685</c:v>
                </c:pt>
                <c:pt idx="95">
                  <c:v>83.709311173654825</c:v>
                </c:pt>
                <c:pt idx="96">
                  <c:v>85.000170538995604</c:v>
                </c:pt>
                <c:pt idx="97">
                  <c:v>86.308690973844648</c:v>
                </c:pt>
                <c:pt idx="98">
                  <c:v>87.635149008012789</c:v>
                </c:pt>
                <c:pt idx="99">
                  <c:v>88.979827757232371</c:v>
                </c:pt>
                <c:pt idx="100">
                  <c:v>90.343017108984426</c:v>
                </c:pt>
              </c:numCache>
            </c:numRef>
          </c:yVal>
          <c:smooth val="0"/>
          <c:extLst>
            <c:ext xmlns:c16="http://schemas.microsoft.com/office/drawing/2014/chart" uri="{C3380CC4-5D6E-409C-BE32-E72D297353CC}">
              <c16:uniqueId val="{00000000-EFF6-4CEF-8042-54EBF9C08737}"/>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Calculations'!$AX$9:$AX$109</c:f>
              <c:numCache>
                <c:formatCode>0.0</c:formatCode>
                <c:ptCount val="101"/>
                <c:pt idx="0">
                  <c:v>0.62761618151874465</c:v>
                </c:pt>
                <c:pt idx="1">
                  <c:v>0.63048724270559919</c:v>
                </c:pt>
                <c:pt idx="2">
                  <c:v>0.63910649385635521</c:v>
                </c:pt>
                <c:pt idx="3">
                  <c:v>0.65347408229416282</c:v>
                </c:pt>
                <c:pt idx="4">
                  <c:v>0.67359094797943131</c:v>
                </c:pt>
                <c:pt idx="5">
                  <c:v>0.69945882371418044</c:v>
                </c:pt>
                <c:pt idx="6">
                  <c:v>0.73108023561974866</c:v>
                </c:pt>
                <c:pt idx="7">
                  <c:v>0.76845850388812398</c:v>
                </c:pt>
                <c:pt idx="8">
                  <c:v>0.81159774380734406</c:v>
                </c:pt>
                <c:pt idx="9">
                  <c:v>0.86050286706158863</c:v>
                </c:pt>
                <c:pt idx="10">
                  <c:v>0.91517958330676064</c:v>
                </c:pt>
                <c:pt idx="11">
                  <c:v>0.97563440202253593</c:v>
                </c:pt>
                <c:pt idx="12">
                  <c:v>1.0418746346420347</c:v>
                </c:pt>
                <c:pt idx="13">
                  <c:v>1.1139083969604522</c:v>
                </c:pt>
                <c:pt idx="14">
                  <c:v>1.1917446118241712</c:v>
                </c:pt>
                <c:pt idx="15">
                  <c:v>1.2753930121020471</c:v>
                </c:pt>
                <c:pt idx="16">
                  <c:v>1.3648641439407612</c:v>
                </c:pt>
                <c:pt idx="17">
                  <c:v>1.4601693703063128</c:v>
                </c:pt>
                <c:pt idx="18">
                  <c:v>1.5613208748139047</c:v>
                </c:pt>
                <c:pt idx="19">
                  <c:v>1.6683316658486893</c:v>
                </c:pt>
                <c:pt idx="20">
                  <c:v>1.7812155809800041</c:v>
                </c:pt>
                <c:pt idx="21">
                  <c:v>1.89998729167196</c:v>
                </c:pt>
                <c:pt idx="22">
                  <c:v>2.0246623082934083</c:v>
                </c:pt>
                <c:pt idx="23">
                  <c:v>2.1552569854305426</c:v>
                </c:pt>
                <c:pt idx="24">
                  <c:v>2.2917885275055814</c:v>
                </c:pt>
                <c:pt idx="25">
                  <c:v>2.4342749947052034</c:v>
                </c:pt>
                <c:pt idx="26">
                  <c:v>2.5827353092225969</c:v>
                </c:pt>
                <c:pt idx="27">
                  <c:v>2.7371892618172269</c:v>
                </c:pt>
                <c:pt idx="28">
                  <c:v>2.8976575186966365</c:v>
                </c:pt>
                <c:pt idx="29">
                  <c:v>3.0641616287248108</c:v>
                </c:pt>
                <c:pt idx="30">
                  <c:v>3.2367240309619048</c:v>
                </c:pt>
                <c:pt idx="31">
                  <c:v>3.4153680625403089</c:v>
                </c:pt>
                <c:pt idx="32">
                  <c:v>3.600117966882336</c:v>
                </c:pt>
                <c:pt idx="33">
                  <c:v>3.7909989022650343</c:v>
                </c:pt>
                <c:pt idx="34">
                  <c:v>3.988036950737829</c:v>
                </c:pt>
                <c:pt idx="35">
                  <c:v>4.1912591273990882</c:v>
                </c:pt>
                <c:pt idx="36">
                  <c:v>4.4006933900378238</c:v>
                </c:pt>
                <c:pt idx="37">
                  <c:v>4.6163686491471196</c:v>
                </c:pt>
                <c:pt idx="38">
                  <c:v>4.8383147783161355</c:v>
                </c:pt>
                <c:pt idx="39">
                  <c:v>5.06656262500774</c:v>
                </c:pt>
                <c:pt idx="40">
                  <c:v>5.3011440217293266</c:v>
                </c:pt>
                <c:pt idx="41">
                  <c:v>5.5420917976043738</c:v>
                </c:pt>
                <c:pt idx="42">
                  <c:v>5.7894397903529464</c:v>
                </c:pt>
                <c:pt idx="43">
                  <c:v>6.0432228586893908</c:v>
                </c:pt>
                <c:pt idx="44">
                  <c:v>6.303476895145983</c:v>
                </c:pt>
                <c:pt idx="45">
                  <c:v>6.5702388393315454</c:v>
                </c:pt>
                <c:pt idx="46">
                  <c:v>6.8435466916343968</c:v>
                </c:pt>
                <c:pt idx="47">
                  <c:v>7.1234395273794719</c:v>
                </c:pt>
                <c:pt idx="48">
                  <c:v>7.4099575114496421</c:v>
                </c:pt>
                <c:pt idx="49">
                  <c:v>7.7031419133818222</c:v>
                </c:pt>
                <c:pt idx="50">
                  <c:v>8.0030351229487842</c:v>
                </c:pt>
                <c:pt idx="51">
                  <c:v>8.3096806662379272</c:v>
                </c:pt>
                <c:pt idx="52">
                  <c:v>8.6231232222388758</c:v>
                </c:pt>
                <c:pt idx="53">
                  <c:v>8.9434086399520343</c:v>
                </c:pt>
                <c:pt idx="54">
                  <c:v>9.2705839560307339</c:v>
                </c:pt>
                <c:pt idx="55">
                  <c:v>9.6046974129701521</c:v>
                </c:pt>
                <c:pt idx="56">
                  <c:v>9.9457984778565773</c:v>
                </c:pt>
                <c:pt idx="57">
                  <c:v>10.293937861691161</c:v>
                </c:pt>
                <c:pt idx="58">
                  <c:v>10.649167539302734</c:v>
                </c:pt>
                <c:pt idx="59">
                  <c:v>11.011540769864929</c:v>
                </c:pt>
                <c:pt idx="60">
                  <c:v>11.381112118033318</c:v>
                </c:pt>
                <c:pt idx="61">
                  <c:v>11.757937475718867</c:v>
                </c:pt>
                <c:pt idx="62">
                  <c:v>12.142074084514583</c:v>
                </c:pt>
                <c:pt idx="63">
                  <c:v>12.533580558793046</c:v>
                </c:pt>
                <c:pt idx="64">
                  <c:v>12.932516909492801</c:v>
                </c:pt>
                <c:pt idx="65">
                  <c:v>13.33894456861251</c:v>
                </c:pt>
                <c:pt idx="66">
                  <c:v>13.752926414432554</c:v>
                </c:pt>
                <c:pt idx="67">
                  <c:v>14.174526797484166</c:v>
                </c:pt>
                <c:pt idx="68">
                  <c:v>14.603811567287172</c:v>
                </c:pt>
                <c:pt idx="69">
                  <c:v>15.04084809987809</c:v>
                </c:pt>
                <c:pt idx="70">
                  <c:v>15.485705326151249</c:v>
                </c:pt>
                <c:pt idx="71">
                  <c:v>15.938453761036241</c:v>
                </c:pt>
                <c:pt idx="72">
                  <c:v>16.399165533536074</c:v>
                </c:pt>
                <c:pt idx="73">
                  <c:v>16.867914417651203</c:v>
                </c:pt>
                <c:pt idx="74">
                  <c:v>17.344775864215514</c:v>
                </c:pt>
                <c:pt idx="75">
                  <c:v>17.829827033671375</c:v>
                </c:pt>
                <c:pt idx="76">
                  <c:v>18.323146829811972</c:v>
                </c:pt>
                <c:pt idx="77">
                  <c:v>18.824815934519911</c:v>
                </c:pt>
                <c:pt idx="78">
                  <c:v>19.334916843532554</c:v>
                </c:pt>
                <c:pt idx="79">
                  <c:v>19.853533903265202</c:v>
                </c:pt>
                <c:pt idx="80">
                  <c:v>20.38075334872514</c:v>
                </c:pt>
                <c:pt idx="81">
                  <c:v>20.916663342549882</c:v>
                </c:pt>
                <c:pt idx="82">
                  <c:v>21.46135401520506</c:v>
                </c:pt>
                <c:pt idx="83">
                  <c:v>22.014917506378303</c:v>
                </c:pt>
                <c:pt idx="84">
                  <c:v>22.577448007606954</c:v>
                </c:pt>
                <c:pt idx="85">
                  <c:v>23.149041806178754</c:v>
                </c:pt>
                <c:pt idx="86">
                  <c:v>23.729797330346596</c:v>
                </c:pt>
                <c:pt idx="87">
                  <c:v>24.319815195899636</c:v>
                </c:pt>
                <c:pt idx="88">
                  <c:v>24.919198254134354</c:v>
                </c:pt>
                <c:pt idx="89">
                  <c:v>25.528051641272224</c:v>
                </c:pt>
                <c:pt idx="90">
                  <c:v>26.146482829370456</c:v>
                </c:pt>
                <c:pt idx="91">
                  <c:v>26.77460167877615</c:v>
                </c:pt>
                <c:pt idx="92">
                  <c:v>27.412520492174419</c:v>
                </c:pt>
                <c:pt idx="93">
                  <c:v>28.060354070284522</c:v>
                </c:pt>
                <c:pt idx="94">
                  <c:v>28.718219769258948</c:v>
                </c:pt>
                <c:pt idx="95">
                  <c:v>29.386237559843643</c:v>
                </c:pt>
                <c:pt idx="96">
                  <c:v>30.064530088358893</c:v>
                </c:pt>
                <c:pt idx="97">
                  <c:v>30.753222739563824</c:v>
                </c:pt>
                <c:pt idx="98">
                  <c:v>31.452443701469171</c:v>
                </c:pt>
                <c:pt idx="99">
                  <c:v>32.162324032165834</c:v>
                </c:pt>
                <c:pt idx="100">
                  <c:v>32.88299772873993</c:v>
                </c:pt>
              </c:numCache>
            </c:numRef>
          </c:yVal>
          <c:smooth val="0"/>
          <c:extLst>
            <c:ext xmlns:c16="http://schemas.microsoft.com/office/drawing/2014/chart" uri="{C3380CC4-5D6E-409C-BE32-E72D297353CC}">
              <c16:uniqueId val="{00000001-EFF6-4CEF-8042-54EBF9C08737}"/>
            </c:ext>
          </c:extLst>
        </c:ser>
        <c:dLbls>
          <c:showLegendKey val="0"/>
          <c:showVal val="0"/>
          <c:showCatName val="0"/>
          <c:showSerName val="0"/>
          <c:showPercent val="0"/>
          <c:showBubbleSize val="0"/>
        </c:dLbls>
        <c:axId val="196498944"/>
        <c:axId val="196500864"/>
      </c:scatterChart>
      <c:valAx>
        <c:axId val="1964989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500864"/>
        <c:crosses val="autoZero"/>
        <c:crossBetween val="midCat"/>
      </c:valAx>
      <c:valAx>
        <c:axId val="196500864"/>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964989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High-side MOSFET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Calculations'!$AI$8</c:f>
              <c:strCache>
                <c:ptCount val="1"/>
                <c:pt idx="0">
                  <c:v>RDS(on)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Calculations'!$AC$9:$AC$109</c:f>
              <c:numCache>
                <c:formatCode>0.000</c:formatCode>
                <c:ptCount val="101"/>
                <c:pt idx="0">
                  <c:v>2.0733884297520653E-3</c:v>
                </c:pt>
                <c:pt idx="1">
                  <c:v>2.1599320464378781E-3</c:v>
                </c:pt>
                <c:pt idx="2">
                  <c:v>2.4193030246416388E-3</c:v>
                </c:pt>
                <c:pt idx="3">
                  <c:v>2.8515287507497183E-3</c:v>
                </c:pt>
                <c:pt idx="4">
                  <c:v>3.456636609541926E-3</c:v>
                </c:pt>
                <c:pt idx="5">
                  <c:v>4.2346539841916064E-3</c:v>
                </c:pt>
                <c:pt idx="6">
                  <c:v>5.1856082562657764E-3</c:v>
                </c:pt>
                <c:pt idx="7">
                  <c:v>6.3095268057252228E-3</c:v>
                </c:pt>
                <c:pt idx="8">
                  <c:v>7.6064370109246342E-3</c:v>
                </c:pt>
                <c:pt idx="9">
                  <c:v>9.0763662486127213E-3</c:v>
                </c:pt>
                <c:pt idx="10">
                  <c:v>1.0719341893932323E-2</c:v>
                </c:pt>
                <c:pt idx="11">
                  <c:v>1.2535391320420515E-2</c:v>
                </c:pt>
                <c:pt idx="12">
                  <c:v>1.4524541900008776E-2</c:v>
                </c:pt>
                <c:pt idx="13">
                  <c:v>1.6686821003023045E-2</c:v>
                </c:pt>
                <c:pt idx="14">
                  <c:v>1.9022255998183881E-2</c:v>
                </c:pt>
                <c:pt idx="15">
                  <c:v>2.1530874252606521E-2</c:v>
                </c:pt>
                <c:pt idx="16">
                  <c:v>2.4212703131801131E-2</c:v>
                </c:pt>
                <c:pt idx="17">
                  <c:v>2.7067769999672728E-2</c:v>
                </c:pt>
                <c:pt idx="18">
                  <c:v>3.0096102218521516E-2</c:v>
                </c:pt>
                <c:pt idx="19">
                  <c:v>3.329772714904277E-2</c:v>
                </c:pt>
                <c:pt idx="20">
                  <c:v>3.6672672150327178E-2</c:v>
                </c:pt>
                <c:pt idx="21">
                  <c:v>4.0220964579860824E-2</c:v>
                </c:pt>
                <c:pt idx="22">
                  <c:v>4.3942631793525311E-2</c:v>
                </c:pt>
                <c:pt idx="23">
                  <c:v>4.7837701145597919E-2</c:v>
                </c:pt>
                <c:pt idx="24">
                  <c:v>5.1906199988751719E-2</c:v>
                </c:pt>
                <c:pt idx="25">
                  <c:v>5.6148155674055705E-2</c:v>
                </c:pt>
                <c:pt idx="26">
                  <c:v>6.0563595550974819E-2</c:v>
                </c:pt>
                <c:pt idx="27">
                  <c:v>6.5152546967370245E-2</c:v>
                </c:pt>
                <c:pt idx="28">
                  <c:v>6.9915037269499242E-2</c:v>
                </c:pt>
                <c:pt idx="29">
                  <c:v>7.48510938020156E-2</c:v>
                </c:pt>
                <c:pt idx="30">
                  <c:v>7.9960743907969617E-2</c:v>
                </c:pt>
                <c:pt idx="31">
                  <c:v>8.5244014928808051E-2</c:v>
                </c:pt>
                <c:pt idx="32">
                  <c:v>9.0700934204374362E-2</c:v>
                </c:pt>
                <c:pt idx="33">
                  <c:v>9.6331529072909136E-2</c:v>
                </c:pt>
                <c:pt idx="34">
                  <c:v>0.10213582687104952</c:v>
                </c:pt>
                <c:pt idx="35">
                  <c:v>0.10811385493383005</c:v>
                </c:pt>
                <c:pt idx="36">
                  <c:v>0.11426564059468231</c:v>
                </c:pt>
                <c:pt idx="37">
                  <c:v>0.1205912111854352</c:v>
                </c:pt>
                <c:pt idx="38">
                  <c:v>0.12709059403631509</c:v>
                </c:pt>
                <c:pt idx="39">
                  <c:v>0.13376381647594582</c:v>
                </c:pt>
                <c:pt idx="40">
                  <c:v>0.14061090583134908</c:v>
                </c:pt>
                <c:pt idx="41">
                  <c:v>0.14763188942794406</c:v>
                </c:pt>
                <c:pt idx="42">
                  <c:v>0.15482679458954796</c:v>
                </c:pt>
                <c:pt idx="43">
                  <c:v>0.1621956486383761</c:v>
                </c:pt>
                <c:pt idx="44">
                  <c:v>0.16973847889504187</c:v>
                </c:pt>
                <c:pt idx="45">
                  <c:v>0.17745531267855694</c:v>
                </c:pt>
                <c:pt idx="46">
                  <c:v>0.18534617730633107</c:v>
                </c:pt>
                <c:pt idx="47">
                  <c:v>0.19341110009417295</c:v>
                </c:pt>
                <c:pt idx="48">
                  <c:v>0.20165010835628949</c:v>
                </c:pt>
                <c:pt idx="49">
                  <c:v>0.21006322940528663</c:v>
                </c:pt>
                <c:pt idx="50">
                  <c:v>0.21865049055216884</c:v>
                </c:pt>
                <c:pt idx="51">
                  <c:v>0.22741191910633984</c:v>
                </c:pt>
                <c:pt idx="52">
                  <c:v>0.23634754237560221</c:v>
                </c:pt>
                <c:pt idx="53">
                  <c:v>0.24545738766615774</c:v>
                </c:pt>
                <c:pt idx="54">
                  <c:v>0.25474148228260757</c:v>
                </c:pt>
                <c:pt idx="55">
                  <c:v>0.26419985352795233</c:v>
                </c:pt>
                <c:pt idx="56">
                  <c:v>0.27383252870359215</c:v>
                </c:pt>
                <c:pt idx="57">
                  <c:v>0.28363953510932655</c:v>
                </c:pt>
                <c:pt idx="58">
                  <c:v>0.29362090004335534</c:v>
                </c:pt>
                <c:pt idx="59">
                  <c:v>0.30377665080227778</c:v>
                </c:pt>
                <c:pt idx="60">
                  <c:v>0.31410681468109342</c:v>
                </c:pt>
                <c:pt idx="61">
                  <c:v>0.32461141897320178</c:v>
                </c:pt>
                <c:pt idx="62">
                  <c:v>0.33529049097040231</c:v>
                </c:pt>
                <c:pt idx="63">
                  <c:v>0.34614405796289544</c:v>
                </c:pt>
                <c:pt idx="64">
                  <c:v>0.35717214723928215</c:v>
                </c:pt>
                <c:pt idx="65">
                  <c:v>0.3683747860865631</c:v>
                </c:pt>
                <c:pt idx="66">
                  <c:v>0.37975200179014046</c:v>
                </c:pt>
                <c:pt idx="67">
                  <c:v>0.39130382163381722</c:v>
                </c:pt>
                <c:pt idx="68">
                  <c:v>0.4030302728997967</c:v>
                </c:pt>
                <c:pt idx="69">
                  <c:v>0.41493138286868375</c:v>
                </c:pt>
                <c:pt idx="70">
                  <c:v>0.42700717881948463</c:v>
                </c:pt>
                <c:pt idx="71">
                  <c:v>0.43925768802960624</c:v>
                </c:pt>
                <c:pt idx="72">
                  <c:v>0.4516829377748573</c:v>
                </c:pt>
                <c:pt idx="73">
                  <c:v>0.46428295532944797</c:v>
                </c:pt>
                <c:pt idx="74">
                  <c:v>0.47705776796599059</c:v>
                </c:pt>
                <c:pt idx="75">
                  <c:v>0.49000740295549816</c:v>
                </c:pt>
                <c:pt idx="76">
                  <c:v>0.50313188756738647</c:v>
                </c:pt>
                <c:pt idx="77">
                  <c:v>0.51643124906947269</c:v>
                </c:pt>
                <c:pt idx="78">
                  <c:v>0.52990551472797676</c:v>
                </c:pt>
                <c:pt idx="79">
                  <c:v>0.54355471180752069</c:v>
                </c:pt>
                <c:pt idx="80">
                  <c:v>0.55737886757112864</c:v>
                </c:pt>
                <c:pt idx="81">
                  <c:v>0.57137800928022642</c:v>
                </c:pt>
                <c:pt idx="82">
                  <c:v>0.58555216419464462</c:v>
                </c:pt>
                <c:pt idx="83">
                  <c:v>0.5999013595726137</c:v>
                </c:pt>
                <c:pt idx="84">
                  <c:v>0.61442562267076961</c:v>
                </c:pt>
                <c:pt idx="85">
                  <c:v>0.62912498074414946</c:v>
                </c:pt>
                <c:pt idx="86">
                  <c:v>0.64399946104619443</c:v>
                </c:pt>
                <c:pt idx="87">
                  <c:v>0.6590490908287483</c:v>
                </c:pt>
                <c:pt idx="88">
                  <c:v>0.67427389734205789</c:v>
                </c:pt>
                <c:pt idx="89">
                  <c:v>0.68967390783477434</c:v>
                </c:pt>
                <c:pt idx="90">
                  <c:v>0.70524914955395146</c:v>
                </c:pt>
                <c:pt idx="91">
                  <c:v>0.72099964974504671</c:v>
                </c:pt>
                <c:pt idx="92">
                  <c:v>0.73692543565192259</c:v>
                </c:pt>
                <c:pt idx="93">
                  <c:v>0.75302653451684387</c:v>
                </c:pt>
                <c:pt idx="94">
                  <c:v>0.76930297358047983</c:v>
                </c:pt>
                <c:pt idx="95">
                  <c:v>0.78575478008190414</c:v>
                </c:pt>
                <c:pt idx="96">
                  <c:v>0.8023819812585945</c:v>
                </c:pt>
                <c:pt idx="97">
                  <c:v>0.81918460434643281</c:v>
                </c:pt>
                <c:pt idx="98">
                  <c:v>0.83616267657970589</c:v>
                </c:pt>
                <c:pt idx="99">
                  <c:v>0.85331622519110462</c:v>
                </c:pt>
                <c:pt idx="100">
                  <c:v>0.87064527741172504</c:v>
                </c:pt>
              </c:numCache>
            </c:numRef>
          </c:yVal>
          <c:smooth val="0"/>
          <c:extLst>
            <c:ext xmlns:c16="http://schemas.microsoft.com/office/drawing/2014/chart" uri="{C3380CC4-5D6E-409C-BE32-E72D297353CC}">
              <c16:uniqueId val="{00000000-707C-431D-A4F2-D6BD8D7D2451}"/>
            </c:ext>
          </c:extLst>
        </c:ser>
        <c:ser>
          <c:idx val="3"/>
          <c:order val="1"/>
          <c:tx>
            <c:strRef>
              <c:f>'Efficiency Calculations'!$AD$8</c:f>
              <c:strCache>
                <c:ptCount val="1"/>
                <c:pt idx="0">
                  <c:v>Transition Loss (not including capacitive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Calculations'!$AD$9:$AD$109</c:f>
              <c:numCache>
                <c:formatCode>0.000</c:formatCode>
                <c:ptCount val="101"/>
                <c:pt idx="0">
                  <c:v>0</c:v>
                </c:pt>
                <c:pt idx="1">
                  <c:v>7.7066379310344818E-3</c:v>
                </c:pt>
                <c:pt idx="2">
                  <c:v>1.5413275862068964E-2</c:v>
                </c:pt>
                <c:pt idx="3">
                  <c:v>2.3119913793103446E-2</c:v>
                </c:pt>
                <c:pt idx="4">
                  <c:v>3.0826551724137927E-2</c:v>
                </c:pt>
                <c:pt idx="5">
                  <c:v>3.8533189655172412E-2</c:v>
                </c:pt>
                <c:pt idx="6">
                  <c:v>4.6239827586206893E-2</c:v>
                </c:pt>
                <c:pt idx="7">
                  <c:v>5.3946465517241374E-2</c:v>
                </c:pt>
                <c:pt idx="8">
                  <c:v>6.1653103448275855E-2</c:v>
                </c:pt>
                <c:pt idx="9">
                  <c:v>6.935974137931035E-2</c:v>
                </c:pt>
                <c:pt idx="10">
                  <c:v>7.7066379310344824E-2</c:v>
                </c:pt>
                <c:pt idx="11">
                  <c:v>8.4773017241379298E-2</c:v>
                </c:pt>
                <c:pt idx="12">
                  <c:v>9.2479655172413786E-2</c:v>
                </c:pt>
                <c:pt idx="13">
                  <c:v>0.10018629310344827</c:v>
                </c:pt>
                <c:pt idx="14">
                  <c:v>0.10789293103448275</c:v>
                </c:pt>
                <c:pt idx="15">
                  <c:v>0.11559956896551724</c:v>
                </c:pt>
                <c:pt idx="16">
                  <c:v>0.12330620689655171</c:v>
                </c:pt>
                <c:pt idx="17">
                  <c:v>0.13101284482758618</c:v>
                </c:pt>
                <c:pt idx="18">
                  <c:v>0.1387194827586207</c:v>
                </c:pt>
                <c:pt idx="19">
                  <c:v>0.14642612068965516</c:v>
                </c:pt>
                <c:pt idx="20">
                  <c:v>0.15413275862068965</c:v>
                </c:pt>
                <c:pt idx="21">
                  <c:v>0.16183939655172414</c:v>
                </c:pt>
                <c:pt idx="22">
                  <c:v>0.1695460344827586</c:v>
                </c:pt>
                <c:pt idx="23">
                  <c:v>0.17725267241379308</c:v>
                </c:pt>
                <c:pt idx="24">
                  <c:v>0.18495931034482757</c:v>
                </c:pt>
                <c:pt idx="25">
                  <c:v>0.19266594827586206</c:v>
                </c:pt>
                <c:pt idx="26">
                  <c:v>0.20037258620689655</c:v>
                </c:pt>
                <c:pt idx="27">
                  <c:v>0.20807922413793101</c:v>
                </c:pt>
                <c:pt idx="28">
                  <c:v>0.21578586206896549</c:v>
                </c:pt>
                <c:pt idx="29">
                  <c:v>0.22349249999999996</c:v>
                </c:pt>
                <c:pt idx="30">
                  <c:v>0.23119913793103447</c:v>
                </c:pt>
                <c:pt idx="31">
                  <c:v>0.23890577586206899</c:v>
                </c:pt>
                <c:pt idx="32">
                  <c:v>0.24661241379310342</c:v>
                </c:pt>
                <c:pt idx="33">
                  <c:v>0.25431905172413793</c:v>
                </c:pt>
                <c:pt idx="34">
                  <c:v>0.26202568965517237</c:v>
                </c:pt>
                <c:pt idx="35">
                  <c:v>0.26973232758620685</c:v>
                </c:pt>
                <c:pt idx="36">
                  <c:v>0.2774389655172414</c:v>
                </c:pt>
                <c:pt idx="37">
                  <c:v>0.28514560344827583</c:v>
                </c:pt>
                <c:pt idx="38">
                  <c:v>0.29285224137931032</c:v>
                </c:pt>
                <c:pt idx="39">
                  <c:v>0.30055887931034481</c:v>
                </c:pt>
                <c:pt idx="40">
                  <c:v>0.30826551724137929</c:v>
                </c:pt>
                <c:pt idx="41">
                  <c:v>0.31597215517241378</c:v>
                </c:pt>
                <c:pt idx="42">
                  <c:v>0.32367879310344827</c:v>
                </c:pt>
                <c:pt idx="43">
                  <c:v>0.33138543103448276</c:v>
                </c:pt>
                <c:pt idx="44">
                  <c:v>0.33909206896551719</c:v>
                </c:pt>
                <c:pt idx="45">
                  <c:v>0.34679870689655168</c:v>
                </c:pt>
                <c:pt idx="46">
                  <c:v>0.35450534482758617</c:v>
                </c:pt>
                <c:pt idx="47">
                  <c:v>0.36221198275862065</c:v>
                </c:pt>
                <c:pt idx="48">
                  <c:v>0.36991862068965514</c:v>
                </c:pt>
                <c:pt idx="49">
                  <c:v>0.37762525862068963</c:v>
                </c:pt>
                <c:pt idx="50">
                  <c:v>0.38533189655172412</c:v>
                </c:pt>
                <c:pt idx="51">
                  <c:v>0.39303853448275861</c:v>
                </c:pt>
                <c:pt idx="52">
                  <c:v>0.40074517241379309</c:v>
                </c:pt>
                <c:pt idx="53">
                  <c:v>0.40845181034482753</c:v>
                </c:pt>
                <c:pt idx="54">
                  <c:v>0.41615844827586201</c:v>
                </c:pt>
                <c:pt idx="55">
                  <c:v>0.4238650862068965</c:v>
                </c:pt>
                <c:pt idx="56">
                  <c:v>0.43157172413793099</c:v>
                </c:pt>
                <c:pt idx="57">
                  <c:v>0.43927836206896553</c:v>
                </c:pt>
                <c:pt idx="58">
                  <c:v>0.44698499999999991</c:v>
                </c:pt>
                <c:pt idx="59">
                  <c:v>0.45469163793103445</c:v>
                </c:pt>
                <c:pt idx="60">
                  <c:v>0.46239827586206894</c:v>
                </c:pt>
                <c:pt idx="61">
                  <c:v>0.47010491379310343</c:v>
                </c:pt>
                <c:pt idx="62">
                  <c:v>0.47781155172413797</c:v>
                </c:pt>
                <c:pt idx="63">
                  <c:v>0.48551818965517229</c:v>
                </c:pt>
                <c:pt idx="64">
                  <c:v>0.49322482758620684</c:v>
                </c:pt>
                <c:pt idx="65">
                  <c:v>0.50093146551724133</c:v>
                </c:pt>
                <c:pt idx="66">
                  <c:v>0.50863810344827587</c:v>
                </c:pt>
                <c:pt idx="67">
                  <c:v>0.51634474137931041</c:v>
                </c:pt>
                <c:pt idx="68">
                  <c:v>0.52405137931034473</c:v>
                </c:pt>
                <c:pt idx="69">
                  <c:v>0.53175801724137928</c:v>
                </c:pt>
                <c:pt idx="70">
                  <c:v>0.53946465517241371</c:v>
                </c:pt>
                <c:pt idx="71">
                  <c:v>0.54717129310344825</c:v>
                </c:pt>
                <c:pt idx="72">
                  <c:v>0.5548779310344828</c:v>
                </c:pt>
                <c:pt idx="73">
                  <c:v>0.56258456896551712</c:v>
                </c:pt>
                <c:pt idx="74">
                  <c:v>0.57029120689655166</c:v>
                </c:pt>
                <c:pt idx="75">
                  <c:v>0.5779978448275862</c:v>
                </c:pt>
                <c:pt idx="76">
                  <c:v>0.58570448275862064</c:v>
                </c:pt>
                <c:pt idx="77">
                  <c:v>0.59341112068965507</c:v>
                </c:pt>
                <c:pt idx="78">
                  <c:v>0.60111775862068961</c:v>
                </c:pt>
                <c:pt idx="79">
                  <c:v>0.60882439655172405</c:v>
                </c:pt>
                <c:pt idx="80">
                  <c:v>0.61653103448275859</c:v>
                </c:pt>
                <c:pt idx="81">
                  <c:v>0.62423767241379302</c:v>
                </c:pt>
                <c:pt idx="82">
                  <c:v>0.63194431034482756</c:v>
                </c:pt>
                <c:pt idx="83">
                  <c:v>0.639650948275862</c:v>
                </c:pt>
                <c:pt idx="84">
                  <c:v>0.64735758620689654</c:v>
                </c:pt>
                <c:pt idx="85">
                  <c:v>0.65506422413793097</c:v>
                </c:pt>
                <c:pt idx="86">
                  <c:v>0.66277086206896552</c:v>
                </c:pt>
                <c:pt idx="87">
                  <c:v>0.67047749999999995</c:v>
                </c:pt>
                <c:pt idx="88">
                  <c:v>0.67818413793103438</c:v>
                </c:pt>
                <c:pt idx="89">
                  <c:v>0.68589077586206892</c:v>
                </c:pt>
                <c:pt idx="90">
                  <c:v>0.69359741379310336</c:v>
                </c:pt>
                <c:pt idx="91">
                  <c:v>0.7013040517241379</c:v>
                </c:pt>
                <c:pt idx="92">
                  <c:v>0.70901068965517233</c:v>
                </c:pt>
                <c:pt idx="93">
                  <c:v>0.71671732758620688</c:v>
                </c:pt>
                <c:pt idx="94">
                  <c:v>0.72442396551724131</c:v>
                </c:pt>
                <c:pt idx="95">
                  <c:v>0.73213060344827585</c:v>
                </c:pt>
                <c:pt idx="96">
                  <c:v>0.73983724137931028</c:v>
                </c:pt>
                <c:pt idx="97">
                  <c:v>0.74754387931034472</c:v>
                </c:pt>
                <c:pt idx="98">
                  <c:v>0.75525051724137926</c:v>
                </c:pt>
                <c:pt idx="99">
                  <c:v>0.76295715517241369</c:v>
                </c:pt>
                <c:pt idx="100">
                  <c:v>0.77066379310344824</c:v>
                </c:pt>
              </c:numCache>
            </c:numRef>
          </c:yVal>
          <c:smooth val="0"/>
          <c:extLst>
            <c:ext xmlns:c16="http://schemas.microsoft.com/office/drawing/2014/chart" uri="{C3380CC4-5D6E-409C-BE32-E72D297353CC}">
              <c16:uniqueId val="{00000001-707C-431D-A4F2-D6BD8D7D2451}"/>
            </c:ext>
          </c:extLst>
        </c:ser>
        <c:ser>
          <c:idx val="0"/>
          <c:order val="2"/>
          <c:tx>
            <c:strRef>
              <c:f>'Efficiency Calculations'!$AE$8</c:f>
              <c:strCache>
                <c:ptCount val="1"/>
                <c:pt idx="0">
                  <c:v>MOSFET Output Capacitance Loss</c:v>
                </c:pt>
              </c:strCache>
            </c:strRef>
          </c:tx>
          <c:spPr>
            <a:ln w="31750">
              <a:solidFill>
                <a:srgbClr val="FF6600"/>
              </a:solidFill>
              <a:prstDash val="lg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Calculations'!$AE$9:$AE$109</c:f>
              <c:numCache>
                <c:formatCode>0.000</c:formatCode>
                <c:ptCount val="101"/>
                <c:pt idx="0">
                  <c:v>3.0175438596492087E-3</c:v>
                </c:pt>
                <c:pt idx="1">
                  <c:v>4.9330536926160184E-2</c:v>
                </c:pt>
                <c:pt idx="2">
                  <c:v>9.5643532499888745E-2</c:v>
                </c:pt>
                <c:pt idx="3">
                  <c:v>0.14195653058072463</c:v>
                </c:pt>
                <c:pt idx="4">
                  <c:v>0.18826953116855738</c:v>
                </c:pt>
                <c:pt idx="5">
                  <c:v>0.23458253426327702</c:v>
                </c:pt>
                <c:pt idx="6">
                  <c:v>0.28089553986477273</c:v>
                </c:pt>
                <c:pt idx="7">
                  <c:v>0.32720854797293458</c:v>
                </c:pt>
                <c:pt idx="8">
                  <c:v>0.37352155858765212</c:v>
                </c:pt>
                <c:pt idx="9">
                  <c:v>0.39600000000000002</c:v>
                </c:pt>
                <c:pt idx="10">
                  <c:v>0.39600000000000002</c:v>
                </c:pt>
                <c:pt idx="11">
                  <c:v>0.39600000000000002</c:v>
                </c:pt>
                <c:pt idx="12">
                  <c:v>0.39600000000000002</c:v>
                </c:pt>
                <c:pt idx="13">
                  <c:v>0.39600000000000002</c:v>
                </c:pt>
                <c:pt idx="14">
                  <c:v>0.39600000000000002</c:v>
                </c:pt>
                <c:pt idx="15">
                  <c:v>0.39600000000000002</c:v>
                </c:pt>
                <c:pt idx="16">
                  <c:v>0.39600000000000002</c:v>
                </c:pt>
                <c:pt idx="17">
                  <c:v>0.39600000000000002</c:v>
                </c:pt>
                <c:pt idx="18">
                  <c:v>0.39600000000000002</c:v>
                </c:pt>
                <c:pt idx="19">
                  <c:v>0.39600000000000002</c:v>
                </c:pt>
                <c:pt idx="20">
                  <c:v>0.39600000000000002</c:v>
                </c:pt>
                <c:pt idx="21">
                  <c:v>0.39600000000000002</c:v>
                </c:pt>
                <c:pt idx="22">
                  <c:v>0.39600000000000002</c:v>
                </c:pt>
                <c:pt idx="23">
                  <c:v>0.39600000000000002</c:v>
                </c:pt>
                <c:pt idx="24">
                  <c:v>0.39600000000000002</c:v>
                </c:pt>
                <c:pt idx="25">
                  <c:v>0.39600000000000002</c:v>
                </c:pt>
                <c:pt idx="26">
                  <c:v>0.39600000000000002</c:v>
                </c:pt>
                <c:pt idx="27">
                  <c:v>0.39600000000000002</c:v>
                </c:pt>
                <c:pt idx="28">
                  <c:v>0.39600000000000002</c:v>
                </c:pt>
                <c:pt idx="29">
                  <c:v>0.39600000000000002</c:v>
                </c:pt>
                <c:pt idx="30">
                  <c:v>0.39600000000000002</c:v>
                </c:pt>
                <c:pt idx="31">
                  <c:v>0.39600000000000002</c:v>
                </c:pt>
                <c:pt idx="32">
                  <c:v>0.39600000000000002</c:v>
                </c:pt>
                <c:pt idx="33">
                  <c:v>0.39600000000000002</c:v>
                </c:pt>
                <c:pt idx="34">
                  <c:v>0.39600000000000002</c:v>
                </c:pt>
                <c:pt idx="35">
                  <c:v>0.39600000000000002</c:v>
                </c:pt>
                <c:pt idx="36">
                  <c:v>0.39600000000000002</c:v>
                </c:pt>
                <c:pt idx="37">
                  <c:v>0.39600000000000002</c:v>
                </c:pt>
                <c:pt idx="38">
                  <c:v>0.39600000000000002</c:v>
                </c:pt>
                <c:pt idx="39">
                  <c:v>0.39600000000000002</c:v>
                </c:pt>
                <c:pt idx="40">
                  <c:v>0.39600000000000002</c:v>
                </c:pt>
                <c:pt idx="41">
                  <c:v>0.39600000000000002</c:v>
                </c:pt>
                <c:pt idx="42">
                  <c:v>0.39600000000000002</c:v>
                </c:pt>
                <c:pt idx="43">
                  <c:v>0.39600000000000002</c:v>
                </c:pt>
                <c:pt idx="44">
                  <c:v>0.39600000000000002</c:v>
                </c:pt>
                <c:pt idx="45">
                  <c:v>0.39600000000000002</c:v>
                </c:pt>
                <c:pt idx="46">
                  <c:v>0.39600000000000002</c:v>
                </c:pt>
                <c:pt idx="47">
                  <c:v>0.39600000000000002</c:v>
                </c:pt>
                <c:pt idx="48">
                  <c:v>0.39600000000000002</c:v>
                </c:pt>
                <c:pt idx="49">
                  <c:v>0.39600000000000002</c:v>
                </c:pt>
                <c:pt idx="50">
                  <c:v>0.39600000000000002</c:v>
                </c:pt>
                <c:pt idx="51">
                  <c:v>0.39600000000000002</c:v>
                </c:pt>
                <c:pt idx="52">
                  <c:v>0.39600000000000002</c:v>
                </c:pt>
                <c:pt idx="53">
                  <c:v>0.39600000000000002</c:v>
                </c:pt>
                <c:pt idx="54">
                  <c:v>0.39600000000000002</c:v>
                </c:pt>
                <c:pt idx="55">
                  <c:v>0.39600000000000002</c:v>
                </c:pt>
                <c:pt idx="56">
                  <c:v>0.39600000000000002</c:v>
                </c:pt>
                <c:pt idx="57">
                  <c:v>0.39600000000000002</c:v>
                </c:pt>
                <c:pt idx="58">
                  <c:v>0.39600000000000002</c:v>
                </c:pt>
                <c:pt idx="59">
                  <c:v>0.39600000000000002</c:v>
                </c:pt>
                <c:pt idx="60">
                  <c:v>0.39600000000000002</c:v>
                </c:pt>
                <c:pt idx="61">
                  <c:v>0.39600000000000002</c:v>
                </c:pt>
                <c:pt idx="62">
                  <c:v>0.39600000000000002</c:v>
                </c:pt>
                <c:pt idx="63">
                  <c:v>0.39600000000000002</c:v>
                </c:pt>
                <c:pt idx="64">
                  <c:v>0.39600000000000002</c:v>
                </c:pt>
                <c:pt idx="65">
                  <c:v>0.39600000000000002</c:v>
                </c:pt>
                <c:pt idx="66">
                  <c:v>0.39600000000000002</c:v>
                </c:pt>
                <c:pt idx="67">
                  <c:v>0.39600000000000002</c:v>
                </c:pt>
                <c:pt idx="68">
                  <c:v>0.39600000000000002</c:v>
                </c:pt>
                <c:pt idx="69">
                  <c:v>0.39600000000000002</c:v>
                </c:pt>
                <c:pt idx="70">
                  <c:v>0.39600000000000002</c:v>
                </c:pt>
                <c:pt idx="71">
                  <c:v>0.39600000000000002</c:v>
                </c:pt>
                <c:pt idx="72">
                  <c:v>0.39600000000000002</c:v>
                </c:pt>
                <c:pt idx="73">
                  <c:v>0.39600000000000002</c:v>
                </c:pt>
                <c:pt idx="74">
                  <c:v>0.39600000000000002</c:v>
                </c:pt>
                <c:pt idx="75">
                  <c:v>0.39600000000000002</c:v>
                </c:pt>
                <c:pt idx="76">
                  <c:v>0.39600000000000002</c:v>
                </c:pt>
                <c:pt idx="77">
                  <c:v>0.39600000000000002</c:v>
                </c:pt>
                <c:pt idx="78">
                  <c:v>0.39600000000000002</c:v>
                </c:pt>
                <c:pt idx="79">
                  <c:v>0.39600000000000002</c:v>
                </c:pt>
                <c:pt idx="80">
                  <c:v>0.39600000000000002</c:v>
                </c:pt>
                <c:pt idx="81">
                  <c:v>0.39600000000000002</c:v>
                </c:pt>
                <c:pt idx="82">
                  <c:v>0.39600000000000002</c:v>
                </c:pt>
                <c:pt idx="83">
                  <c:v>0.39600000000000002</c:v>
                </c:pt>
                <c:pt idx="84">
                  <c:v>0.39600000000000002</c:v>
                </c:pt>
                <c:pt idx="85">
                  <c:v>0.39600000000000002</c:v>
                </c:pt>
                <c:pt idx="86">
                  <c:v>0.39600000000000002</c:v>
                </c:pt>
                <c:pt idx="87">
                  <c:v>0.39600000000000002</c:v>
                </c:pt>
                <c:pt idx="88">
                  <c:v>0.39600000000000002</c:v>
                </c:pt>
                <c:pt idx="89">
                  <c:v>0.39600000000000002</c:v>
                </c:pt>
                <c:pt idx="90">
                  <c:v>0.39600000000000002</c:v>
                </c:pt>
                <c:pt idx="91">
                  <c:v>0.39600000000000002</c:v>
                </c:pt>
                <c:pt idx="92">
                  <c:v>0.39600000000000002</c:v>
                </c:pt>
                <c:pt idx="93">
                  <c:v>0.39600000000000002</c:v>
                </c:pt>
                <c:pt idx="94">
                  <c:v>0.39600000000000002</c:v>
                </c:pt>
                <c:pt idx="95">
                  <c:v>0.39600000000000002</c:v>
                </c:pt>
                <c:pt idx="96">
                  <c:v>0.39600000000000002</c:v>
                </c:pt>
                <c:pt idx="97">
                  <c:v>0.39600000000000002</c:v>
                </c:pt>
                <c:pt idx="98">
                  <c:v>0.39600000000000002</c:v>
                </c:pt>
                <c:pt idx="99">
                  <c:v>0.39600000000000002</c:v>
                </c:pt>
                <c:pt idx="100">
                  <c:v>0.39600000000000002</c:v>
                </c:pt>
              </c:numCache>
            </c:numRef>
          </c:yVal>
          <c:smooth val="0"/>
          <c:extLst>
            <c:ext xmlns:c16="http://schemas.microsoft.com/office/drawing/2014/chart" uri="{C3380CC4-5D6E-409C-BE32-E72D297353CC}">
              <c16:uniqueId val="{00000002-707C-431D-A4F2-D6BD8D7D2451}"/>
            </c:ext>
          </c:extLst>
        </c:ser>
        <c:ser>
          <c:idx val="1"/>
          <c:order val="3"/>
          <c:tx>
            <c:strRef>
              <c:f>'Efficiency Calculations'!$AM$8</c:f>
              <c:strCache>
                <c:ptCount val="1"/>
                <c:pt idx="0">
                  <c:v>Reverse Recovery Loss</c:v>
                </c:pt>
              </c:strCache>
            </c:strRef>
          </c:tx>
          <c:spPr>
            <a:ln>
              <a:solidFill>
                <a:srgbClr val="00B050"/>
              </a:solidFill>
              <a:prstDash val="sysDot"/>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Calculations'!$AM$9:$AM$109</c:f>
              <c:numCache>
                <c:formatCode>0.000</c:formatCode>
                <c:ptCount val="101"/>
                <c:pt idx="0">
                  <c:v>4.4549999999999999E-2</c:v>
                </c:pt>
                <c:pt idx="1">
                  <c:v>4.4549999999999999E-2</c:v>
                </c:pt>
                <c:pt idx="2">
                  <c:v>4.4549999999999999E-2</c:v>
                </c:pt>
                <c:pt idx="3">
                  <c:v>4.4549999999999999E-2</c:v>
                </c:pt>
                <c:pt idx="4">
                  <c:v>4.4549999999999999E-2</c:v>
                </c:pt>
                <c:pt idx="5">
                  <c:v>4.4549999999999999E-2</c:v>
                </c:pt>
                <c:pt idx="6">
                  <c:v>4.4549999999999999E-2</c:v>
                </c:pt>
                <c:pt idx="7">
                  <c:v>4.4549999999999999E-2</c:v>
                </c:pt>
                <c:pt idx="8">
                  <c:v>4.4549999999999999E-2</c:v>
                </c:pt>
                <c:pt idx="9">
                  <c:v>4.4549999999999999E-2</c:v>
                </c:pt>
                <c:pt idx="10">
                  <c:v>4.4549999999999999E-2</c:v>
                </c:pt>
                <c:pt idx="11">
                  <c:v>4.4549999999999999E-2</c:v>
                </c:pt>
                <c:pt idx="12">
                  <c:v>4.4549999999999999E-2</c:v>
                </c:pt>
                <c:pt idx="13">
                  <c:v>4.4549999999999999E-2</c:v>
                </c:pt>
                <c:pt idx="14">
                  <c:v>4.4549999999999999E-2</c:v>
                </c:pt>
                <c:pt idx="15">
                  <c:v>4.4549999999999999E-2</c:v>
                </c:pt>
                <c:pt idx="16">
                  <c:v>4.4549999999999999E-2</c:v>
                </c:pt>
                <c:pt idx="17">
                  <c:v>4.4549999999999999E-2</c:v>
                </c:pt>
                <c:pt idx="18">
                  <c:v>4.4549999999999999E-2</c:v>
                </c:pt>
                <c:pt idx="19">
                  <c:v>4.4549999999999999E-2</c:v>
                </c:pt>
                <c:pt idx="20">
                  <c:v>4.4549999999999999E-2</c:v>
                </c:pt>
                <c:pt idx="21">
                  <c:v>4.4549999999999999E-2</c:v>
                </c:pt>
                <c:pt idx="22">
                  <c:v>4.4549999999999999E-2</c:v>
                </c:pt>
                <c:pt idx="23">
                  <c:v>4.4549999999999999E-2</c:v>
                </c:pt>
                <c:pt idx="24">
                  <c:v>4.4549999999999999E-2</c:v>
                </c:pt>
                <c:pt idx="25">
                  <c:v>4.4549999999999999E-2</c:v>
                </c:pt>
                <c:pt idx="26">
                  <c:v>4.4549999999999999E-2</c:v>
                </c:pt>
                <c:pt idx="27">
                  <c:v>4.4549999999999999E-2</c:v>
                </c:pt>
                <c:pt idx="28">
                  <c:v>4.4549999999999999E-2</c:v>
                </c:pt>
                <c:pt idx="29">
                  <c:v>4.4549999999999999E-2</c:v>
                </c:pt>
                <c:pt idx="30">
                  <c:v>4.4549999999999999E-2</c:v>
                </c:pt>
                <c:pt idx="31">
                  <c:v>4.4549999999999999E-2</c:v>
                </c:pt>
                <c:pt idx="32">
                  <c:v>4.4549999999999999E-2</c:v>
                </c:pt>
                <c:pt idx="33">
                  <c:v>4.4549999999999999E-2</c:v>
                </c:pt>
                <c:pt idx="34">
                  <c:v>4.4549999999999999E-2</c:v>
                </c:pt>
                <c:pt idx="35">
                  <c:v>4.4549999999999999E-2</c:v>
                </c:pt>
                <c:pt idx="36">
                  <c:v>4.4549999999999999E-2</c:v>
                </c:pt>
                <c:pt idx="37">
                  <c:v>4.4549999999999999E-2</c:v>
                </c:pt>
                <c:pt idx="38">
                  <c:v>4.4549999999999999E-2</c:v>
                </c:pt>
                <c:pt idx="39">
                  <c:v>4.4549999999999999E-2</c:v>
                </c:pt>
                <c:pt idx="40">
                  <c:v>4.4549999999999999E-2</c:v>
                </c:pt>
                <c:pt idx="41">
                  <c:v>4.4549999999999999E-2</c:v>
                </c:pt>
                <c:pt idx="42">
                  <c:v>4.4549999999999999E-2</c:v>
                </c:pt>
                <c:pt idx="43">
                  <c:v>4.4549999999999999E-2</c:v>
                </c:pt>
                <c:pt idx="44">
                  <c:v>4.4549999999999999E-2</c:v>
                </c:pt>
                <c:pt idx="45">
                  <c:v>4.4549999999999999E-2</c:v>
                </c:pt>
                <c:pt idx="46">
                  <c:v>4.4549999999999999E-2</c:v>
                </c:pt>
                <c:pt idx="47">
                  <c:v>4.4549999999999999E-2</c:v>
                </c:pt>
                <c:pt idx="48">
                  <c:v>4.4549999999999999E-2</c:v>
                </c:pt>
                <c:pt idx="49">
                  <c:v>4.4549999999999999E-2</c:v>
                </c:pt>
                <c:pt idx="50">
                  <c:v>4.4549999999999999E-2</c:v>
                </c:pt>
                <c:pt idx="51">
                  <c:v>4.4549999999999999E-2</c:v>
                </c:pt>
                <c:pt idx="52">
                  <c:v>4.4549999999999999E-2</c:v>
                </c:pt>
                <c:pt idx="53">
                  <c:v>4.4549999999999999E-2</c:v>
                </c:pt>
                <c:pt idx="54">
                  <c:v>4.4549999999999999E-2</c:v>
                </c:pt>
                <c:pt idx="55">
                  <c:v>4.4549999999999999E-2</c:v>
                </c:pt>
                <c:pt idx="56">
                  <c:v>4.4549999999999999E-2</c:v>
                </c:pt>
                <c:pt idx="57">
                  <c:v>4.4549999999999999E-2</c:v>
                </c:pt>
                <c:pt idx="58">
                  <c:v>4.4549999999999999E-2</c:v>
                </c:pt>
                <c:pt idx="59">
                  <c:v>4.4549999999999999E-2</c:v>
                </c:pt>
                <c:pt idx="60">
                  <c:v>4.4549999999999999E-2</c:v>
                </c:pt>
                <c:pt idx="61">
                  <c:v>4.4549999999999999E-2</c:v>
                </c:pt>
                <c:pt idx="62">
                  <c:v>4.4549999999999999E-2</c:v>
                </c:pt>
                <c:pt idx="63">
                  <c:v>4.4549999999999999E-2</c:v>
                </c:pt>
                <c:pt idx="64">
                  <c:v>4.4549999999999999E-2</c:v>
                </c:pt>
                <c:pt idx="65">
                  <c:v>4.4549999999999999E-2</c:v>
                </c:pt>
                <c:pt idx="66">
                  <c:v>4.4549999999999999E-2</c:v>
                </c:pt>
                <c:pt idx="67">
                  <c:v>4.4549999999999999E-2</c:v>
                </c:pt>
                <c:pt idx="68">
                  <c:v>4.4549999999999999E-2</c:v>
                </c:pt>
                <c:pt idx="69">
                  <c:v>4.4549999999999999E-2</c:v>
                </c:pt>
                <c:pt idx="70">
                  <c:v>4.4549999999999999E-2</c:v>
                </c:pt>
                <c:pt idx="71">
                  <c:v>4.4549999999999999E-2</c:v>
                </c:pt>
                <c:pt idx="72">
                  <c:v>4.4549999999999999E-2</c:v>
                </c:pt>
                <c:pt idx="73">
                  <c:v>4.4549999999999999E-2</c:v>
                </c:pt>
                <c:pt idx="74">
                  <c:v>4.4549999999999999E-2</c:v>
                </c:pt>
                <c:pt idx="75">
                  <c:v>4.4549999999999999E-2</c:v>
                </c:pt>
                <c:pt idx="76">
                  <c:v>4.4549999999999999E-2</c:v>
                </c:pt>
                <c:pt idx="77">
                  <c:v>4.4549999999999999E-2</c:v>
                </c:pt>
                <c:pt idx="78">
                  <c:v>4.4549999999999999E-2</c:v>
                </c:pt>
                <c:pt idx="79">
                  <c:v>4.4549999999999999E-2</c:v>
                </c:pt>
                <c:pt idx="80">
                  <c:v>4.4549999999999999E-2</c:v>
                </c:pt>
                <c:pt idx="81">
                  <c:v>4.4549999999999999E-2</c:v>
                </c:pt>
                <c:pt idx="82">
                  <c:v>4.4549999999999999E-2</c:v>
                </c:pt>
                <c:pt idx="83">
                  <c:v>4.4549999999999999E-2</c:v>
                </c:pt>
                <c:pt idx="84">
                  <c:v>4.4549999999999999E-2</c:v>
                </c:pt>
                <c:pt idx="85">
                  <c:v>4.4549999999999999E-2</c:v>
                </c:pt>
                <c:pt idx="86">
                  <c:v>4.4549999999999999E-2</c:v>
                </c:pt>
                <c:pt idx="87">
                  <c:v>4.4549999999999999E-2</c:v>
                </c:pt>
                <c:pt idx="88">
                  <c:v>4.4549999999999999E-2</c:v>
                </c:pt>
                <c:pt idx="89">
                  <c:v>4.4549999999999999E-2</c:v>
                </c:pt>
                <c:pt idx="90">
                  <c:v>4.4549999999999999E-2</c:v>
                </c:pt>
                <c:pt idx="91">
                  <c:v>4.4549999999999999E-2</c:v>
                </c:pt>
                <c:pt idx="92">
                  <c:v>4.4549999999999999E-2</c:v>
                </c:pt>
                <c:pt idx="93">
                  <c:v>4.4549999999999999E-2</c:v>
                </c:pt>
                <c:pt idx="94">
                  <c:v>4.4549999999999999E-2</c:v>
                </c:pt>
                <c:pt idx="95">
                  <c:v>4.4549999999999999E-2</c:v>
                </c:pt>
                <c:pt idx="96">
                  <c:v>4.4549999999999999E-2</c:v>
                </c:pt>
                <c:pt idx="97">
                  <c:v>4.4549999999999999E-2</c:v>
                </c:pt>
                <c:pt idx="98">
                  <c:v>4.4549999999999999E-2</c:v>
                </c:pt>
                <c:pt idx="99">
                  <c:v>4.4549999999999999E-2</c:v>
                </c:pt>
                <c:pt idx="100">
                  <c:v>4.4549999999999999E-2</c:v>
                </c:pt>
              </c:numCache>
            </c:numRef>
          </c:yVal>
          <c:smooth val="0"/>
          <c:extLst>
            <c:ext xmlns:c16="http://schemas.microsoft.com/office/drawing/2014/chart" uri="{C3380CC4-5D6E-409C-BE32-E72D297353CC}">
              <c16:uniqueId val="{00000000-DE97-44C0-9E09-4F57490C830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56046611093765375"/>
          <c:y val="1.0080645161290322E-2"/>
          <c:w val="0.41405632280755778"/>
          <c:h val="0.13942069083982347"/>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Calculations'!$AV$9:$AV$109</c:f>
              <c:numCache>
                <c:formatCode>0.0%</c:formatCode>
                <c:ptCount val="101"/>
                <c:pt idx="0">
                  <c:v>0</c:v>
                </c:pt>
                <c:pt idx="1">
                  <c:v>0.91608908419347146</c:v>
                </c:pt>
                <c:pt idx="2">
                  <c:v>0.95260533185268748</c:v>
                </c:pt>
                <c:pt idx="3">
                  <c:v>0.96538755464834025</c:v>
                </c:pt>
                <c:pt idx="4">
                  <c:v>0.97187344446352286</c:v>
                </c:pt>
                <c:pt idx="5">
                  <c:v>0.9757788551095663</c:v>
                </c:pt>
                <c:pt idx="6">
                  <c:v>0.97837628184826375</c:v>
                </c:pt>
                <c:pt idx="7">
                  <c:v>0.98021961873534658</c:v>
                </c:pt>
                <c:pt idx="8">
                  <c:v>0.98158866179849613</c:v>
                </c:pt>
                <c:pt idx="9">
                  <c:v>0.98299576807184241</c:v>
                </c:pt>
                <c:pt idx="10">
                  <c:v>0.98441283949671765</c:v>
                </c:pt>
                <c:pt idx="11">
                  <c:v>0.98556222827625328</c:v>
                </c:pt>
                <c:pt idx="12">
                  <c:v>0.98651007874376617</c:v>
                </c:pt>
                <c:pt idx="13">
                  <c:v>0.98730239642245898</c:v>
                </c:pt>
                <c:pt idx="14">
                  <c:v>0.98797217011749261</c:v>
                </c:pt>
                <c:pt idx="15">
                  <c:v>0.98854367118984188</c:v>
                </c:pt>
                <c:pt idx="16">
                  <c:v>0.98903515441451928</c:v>
                </c:pt>
                <c:pt idx="17">
                  <c:v>0.98946061328461576</c:v>
                </c:pt>
                <c:pt idx="18">
                  <c:v>0.9898309546737365</c:v>
                </c:pt>
                <c:pt idx="19">
                  <c:v>0.99015480523199539</c:v>
                </c:pt>
                <c:pt idx="20">
                  <c:v>0.99043907752389782</c:v>
                </c:pt>
                <c:pt idx="21">
                  <c:v>0.99068937547032476</c:v>
                </c:pt>
                <c:pt idx="22">
                  <c:v>0.99091028990580177</c:v>
                </c:pt>
                <c:pt idx="23">
                  <c:v>0.99110561749438764</c:v>
                </c:pt>
                <c:pt idx="24">
                  <c:v>0.99127852522988047</c:v>
                </c:pt>
                <c:pt idx="25">
                  <c:v>0.99143167567292401</c:v>
                </c:pt>
                <c:pt idx="26">
                  <c:v>0.99156732343993814</c:v>
                </c:pt>
                <c:pt idx="27">
                  <c:v>0.99168739035912223</c:v>
                </c:pt>
                <c:pt idx="28">
                  <c:v>0.99179352460056114</c:v>
                </c:pt>
                <c:pt idx="29">
                  <c:v>0.99188714763039221</c:v>
                </c:pt>
                <c:pt idx="30">
                  <c:v>0.99196949181705119</c:v>
                </c:pt>
                <c:pt idx="31">
                  <c:v>0.99204163079104246</c:v>
                </c:pt>
                <c:pt idx="32">
                  <c:v>0.99210450413657625</c:v>
                </c:pt>
                <c:pt idx="33">
                  <c:v>0.99215893761238749</c:v>
                </c:pt>
                <c:pt idx="34">
                  <c:v>0.99220565981846465</c:v>
                </c:pt>
                <c:pt idx="35">
                  <c:v>0.99224531601670984</c:v>
                </c:pt>
                <c:pt idx="36">
                  <c:v>0.99227847965681049</c:v>
                </c:pt>
                <c:pt idx="37">
                  <c:v>0.99230566203985127</c:v>
                </c:pt>
                <c:pt idx="38">
                  <c:v>0.99232732046147054</c:v>
                </c:pt>
                <c:pt idx="39">
                  <c:v>0.99234386510649286</c:v>
                </c:pt>
                <c:pt idx="40">
                  <c:v>0.99235566491277627</c:v>
                </c:pt>
                <c:pt idx="41">
                  <c:v>0.99236305257966428</c:v>
                </c:pt>
                <c:pt idx="42">
                  <c:v>0.99236632886314102</c:v>
                </c:pt>
                <c:pt idx="43">
                  <c:v>0.9923657662734281</c:v>
                </c:pt>
                <c:pt idx="44">
                  <c:v>0.99236161226979269</c:v>
                </c:pt>
                <c:pt idx="45">
                  <c:v>0.99235409203052949</c:v>
                </c:pt>
                <c:pt idx="46">
                  <c:v>0.99234341086257294</c:v>
                </c:pt>
                <c:pt idx="47">
                  <c:v>0.99232975630424569</c:v>
                </c:pt>
                <c:pt idx="48">
                  <c:v>0.99231329996576578</c:v>
                </c:pt>
                <c:pt idx="49">
                  <c:v>0.99229419914486416</c:v>
                </c:pt>
                <c:pt idx="50">
                  <c:v>0.99227259824890679</c:v>
                </c:pt>
                <c:pt idx="51">
                  <c:v>0.99224863005000552</c:v>
                </c:pt>
                <c:pt idx="52">
                  <c:v>0.99222241679553413</c:v>
                </c:pt>
                <c:pt idx="53">
                  <c:v>0.992194071193095</c:v>
                </c:pt>
                <c:pt idx="54">
                  <c:v>0.99216369728616538</c:v>
                </c:pt>
                <c:pt idx="55">
                  <c:v>0.99213139123429672</c:v>
                </c:pt>
                <c:pt idx="56">
                  <c:v>0.99209724200976612</c:v>
                </c:pt>
                <c:pt idx="57">
                  <c:v>0.99206133202090918</c:v>
                </c:pt>
                <c:pt idx="58">
                  <c:v>0.99202373767095897</c:v>
                </c:pt>
                <c:pt idx="59">
                  <c:v>0.99198452986002039</c:v>
                </c:pt>
                <c:pt idx="60">
                  <c:v>0.99194377443679305</c:v>
                </c:pt>
                <c:pt idx="61">
                  <c:v>0.99190153260579406</c:v>
                </c:pt>
                <c:pt idx="62">
                  <c:v>0.99185786129508591</c:v>
                </c:pt>
                <c:pt idx="63">
                  <c:v>0.99181281348888639</c:v>
                </c:pt>
                <c:pt idx="64">
                  <c:v>0.9917664385288858</c:v>
                </c:pt>
                <c:pt idx="65">
                  <c:v>0.99171878238763056</c:v>
                </c:pt>
                <c:pt idx="66">
                  <c:v>0.99166988791692512</c:v>
                </c:pt>
                <c:pt idx="67">
                  <c:v>0.99161979507384945</c:v>
                </c:pt>
                <c:pt idx="68">
                  <c:v>0.99156854112668846</c:v>
                </c:pt>
                <c:pt idx="69">
                  <c:v>0.99151616084280048</c:v>
                </c:pt>
                <c:pt idx="70">
                  <c:v>0.99146268666022208</c:v>
                </c:pt>
                <c:pt idx="71">
                  <c:v>0.99140814884460382</c:v>
                </c:pt>
                <c:pt idx="72">
                  <c:v>0.99135257563289414</c:v>
                </c:pt>
                <c:pt idx="73">
                  <c:v>0.99129599336503382</c:v>
                </c:pt>
                <c:pt idx="74">
                  <c:v>0.99123842660478789</c:v>
                </c:pt>
                <c:pt idx="75">
                  <c:v>0.99117989825071739</c:v>
                </c:pt>
                <c:pt idx="76">
                  <c:v>0.99112042963819602</c:v>
                </c:pt>
                <c:pt idx="77">
                  <c:v>0.99106004063327213</c:v>
                </c:pt>
                <c:pt idx="78">
                  <c:v>0.99099874971910451</c:v>
                </c:pt>
                <c:pt idx="79">
                  <c:v>0.99093657407561853</c:v>
                </c:pt>
                <c:pt idx="80">
                  <c:v>0.99087352965296871</c:v>
                </c:pt>
                <c:pt idx="81">
                  <c:v>0.99080963123933596</c:v>
                </c:pt>
                <c:pt idx="82">
                  <c:v>0.99074489252353171</c:v>
                </c:pt>
                <c:pt idx="83">
                  <c:v>0.99067932615284138</c:v>
                </c:pt>
                <c:pt idx="84">
                  <c:v>0.99061294378649412</c:v>
                </c:pt>
                <c:pt idx="85">
                  <c:v>0.99054575614510831</c:v>
                </c:pt>
                <c:pt idx="86">
                  <c:v>0.99047777305643558</c:v>
                </c:pt>
                <c:pt idx="87">
                  <c:v>0.99040900349768657</c:v>
                </c:pt>
                <c:pt idx="88">
                  <c:v>0.99033945563470682</c:v>
                </c:pt>
                <c:pt idx="89">
                  <c:v>0.99026913685823514</c:v>
                </c:pt>
                <c:pt idx="90">
                  <c:v>0.99019805381746617</c:v>
                </c:pt>
                <c:pt idx="91">
                  <c:v>0.99012621245111154</c:v>
                </c:pt>
                <c:pt idx="92">
                  <c:v>0.99005361801614067</c:v>
                </c:pt>
                <c:pt idx="93">
                  <c:v>0.98998027511436515</c:v>
                </c:pt>
                <c:pt idx="94">
                  <c:v>0.98990618771701644</c:v>
                </c:pt>
                <c:pt idx="95">
                  <c:v>0.98983135918745235</c:v>
                </c:pt>
                <c:pt idx="96">
                  <c:v>0.9897557923021193</c:v>
                </c:pt>
                <c:pt idx="97">
                  <c:v>0.98967948926988158</c:v>
                </c:pt>
                <c:pt idx="98">
                  <c:v>0.98960245174982508</c:v>
                </c:pt>
                <c:pt idx="99">
                  <c:v>0.98952468086762702</c:v>
                </c:pt>
                <c:pt idx="100">
                  <c:v>0.98944617723058326</c:v>
                </c:pt>
              </c:numCache>
            </c:numRef>
          </c:yVal>
          <c:smooth val="0"/>
          <c:extLst>
            <c:ext xmlns:c16="http://schemas.microsoft.com/office/drawing/2014/chart" uri="{C3380CC4-5D6E-409C-BE32-E72D297353CC}">
              <c16:uniqueId val="{00000000-D0AF-458B-AAD9-F9E223A07CD7}"/>
            </c:ext>
          </c:extLst>
        </c:ser>
        <c:dLbls>
          <c:showLegendKey val="0"/>
          <c:showVal val="0"/>
          <c:showCatName val="0"/>
          <c:showSerName val="0"/>
          <c:showPercent val="0"/>
          <c:showBubbleSize val="0"/>
        </c:dLbls>
        <c:axId val="196665344"/>
        <c:axId val="196667264"/>
      </c:scatterChart>
      <c:valAx>
        <c:axId val="196665344"/>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7264"/>
        <c:crosses val="autoZero"/>
        <c:crossBetween val="midCat"/>
      </c:valAx>
      <c:valAx>
        <c:axId val="196667264"/>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6653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Calculations'!$BC$9:$BC$109</c:f>
              <c:numCache>
                <c:formatCode>0.000</c:formatCode>
                <c:ptCount val="101"/>
                <c:pt idx="0">
                  <c:v>3.4495537228181862E-2</c:v>
                </c:pt>
                <c:pt idx="1">
                  <c:v>8.8619548269116E-2</c:v>
                </c:pt>
                <c:pt idx="2">
                  <c:v>0.14292085576855473</c:v>
                </c:pt>
                <c:pt idx="3">
                  <c:v>0.19740379010521414</c:v>
                </c:pt>
                <c:pt idx="4">
                  <c:v>0.25207271212060756</c:v>
                </c:pt>
                <c:pt idx="5">
                  <c:v>0.30693201428324263</c:v>
                </c:pt>
                <c:pt idx="6">
                  <c:v>0.36198612186620732</c:v>
                </c:pt>
                <c:pt idx="7">
                  <c:v>0.41723949413881428</c:v>
                </c:pt>
                <c:pt idx="8">
                  <c:v>0.47269662557297293</c:v>
                </c:pt>
                <c:pt idx="9">
                  <c:v>0.50449454757080381</c:v>
                </c:pt>
                <c:pt idx="10">
                  <c:v>0.51397825904127781</c:v>
                </c:pt>
                <c:pt idx="11">
                  <c:v>0.52365314264192475</c:v>
                </c:pt>
                <c:pt idx="12">
                  <c:v>0.53352015181792456</c:v>
                </c:pt>
                <c:pt idx="13">
                  <c:v>0.54358027168913914</c:v>
                </c:pt>
                <c:pt idx="14">
                  <c:v>0.55383451936613126</c:v>
                </c:pt>
                <c:pt idx="15">
                  <c:v>0.56428394427953621</c:v>
                </c:pt>
                <c:pt idx="16">
                  <c:v>0.57492962852300467</c:v>
                </c:pt>
                <c:pt idx="17">
                  <c:v>0.58577268720994358</c:v>
                </c:pt>
                <c:pt idx="18">
                  <c:v>0.59681426884429822</c:v>
                </c:pt>
                <c:pt idx="19">
                  <c:v>0.60805555570562331</c:v>
                </c:pt>
                <c:pt idx="20">
                  <c:v>0.61949776424870828</c:v>
                </c:pt>
                <c:pt idx="21">
                  <c:v>0.63114214551803072</c:v>
                </c:pt>
                <c:pt idx="22">
                  <c:v>0.64298998557732345</c:v>
                </c:pt>
                <c:pt idx="23">
                  <c:v>0.65504260595455555</c:v>
                </c:pt>
                <c:pt idx="24">
                  <c:v>0.66730136410263985</c:v>
                </c:pt>
                <c:pt idx="25">
                  <c:v>0.67976765387619076</c:v>
                </c:pt>
                <c:pt idx="26">
                  <c:v>0.69244290602467184</c:v>
                </c:pt>
                <c:pt idx="27">
                  <c:v>0.70532858870228599</c:v>
                </c:pt>
                <c:pt idx="28">
                  <c:v>0.71842620799497559</c:v>
                </c:pt>
                <c:pt idx="29">
                  <c:v>0.73173730846491436</c:v>
                </c:pt>
                <c:pt idx="30">
                  <c:v>0.74526347371288792</c:v>
                </c:pt>
                <c:pt idx="31">
                  <c:v>0.75900632695897763</c:v>
                </c:pt>
                <c:pt idx="32">
                  <c:v>0.77296753164197496</c:v>
                </c:pt>
                <c:pt idx="33">
                  <c:v>0.78714879203797528</c:v>
                </c:pt>
                <c:pt idx="34">
                  <c:v>0.80155185389861294</c:v>
                </c:pt>
                <c:pt idx="35">
                  <c:v>0.81617850510942025</c:v>
                </c:pt>
                <c:pt idx="36">
                  <c:v>0.83103057636880973</c:v>
                </c:pt>
                <c:pt idx="37">
                  <c:v>0.84610994188820043</c:v>
                </c:pt>
                <c:pt idx="38">
                  <c:v>0.8614185201138278</c:v>
                </c:pt>
                <c:pt idx="39">
                  <c:v>0.87695827447079522</c:v>
                </c:pt>
                <c:pt idx="40">
                  <c:v>0.89273121412995149</c:v>
                </c:pt>
                <c:pt idx="41">
                  <c:v>0.90873939479819354</c:v>
                </c:pt>
                <c:pt idx="42">
                  <c:v>0.9249849195328268</c:v>
                </c:pt>
                <c:pt idx="43">
                  <c:v>0.94146993958062741</c:v>
                </c:pt>
                <c:pt idx="44">
                  <c:v>0.95819665524228403</c:v>
                </c:pt>
                <c:pt idx="45">
                  <c:v>0.97516731676291923</c:v>
                </c:pt>
                <c:pt idx="46">
                  <c:v>0.99238422524941472</c:v>
                </c:pt>
                <c:pt idx="47">
                  <c:v>1.0098497336152992</c:v>
                </c:pt>
                <c:pt idx="48">
                  <c:v>1.0275662475539764</c:v>
                </c:pt>
                <c:pt idx="49">
                  <c:v>1.0455362265411088</c:v>
                </c:pt>
                <c:pt idx="50">
                  <c:v>1.0637621848669963</c:v>
                </c:pt>
                <c:pt idx="51">
                  <c:v>1.0822466926998315</c:v>
                </c:pt>
                <c:pt idx="52">
                  <c:v>1.1009923771807306</c:v>
                </c:pt>
                <c:pt idx="53">
                  <c:v>1.1200019235514891</c:v>
                </c:pt>
                <c:pt idx="54">
                  <c:v>1.1392780763160388</c:v>
                </c:pt>
                <c:pt idx="55">
                  <c:v>1.1588236404366188</c:v>
                </c:pt>
                <c:pt idx="56">
                  <c:v>1.1786414825657197</c:v>
                </c:pt>
                <c:pt idx="57">
                  <c:v>1.1987345323148919</c:v>
                </c:pt>
                <c:pt idx="58">
                  <c:v>1.2191057835615566</c:v>
                </c:pt>
                <c:pt idx="59">
                  <c:v>1.239758295794998</c:v>
                </c:pt>
                <c:pt idx="60">
                  <c:v>1.2606951955027641</c:v>
                </c:pt>
                <c:pt idx="61">
                  <c:v>1.2819196775987509</c:v>
                </c:pt>
                <c:pt idx="62">
                  <c:v>1.3034350068942866</c:v>
                </c:pt>
                <c:pt idx="63">
                  <c:v>1.3252445196135978</c:v>
                </c:pt>
                <c:pt idx="64">
                  <c:v>1.3473516249550814</c:v>
                </c:pt>
                <c:pt idx="65">
                  <c:v>1.3697598066998595</c:v>
                </c:pt>
                <c:pt idx="66">
                  <c:v>1.3924726248691739</c:v>
                </c:pt>
                <c:pt idx="67">
                  <c:v>1.41549371743221</c:v>
                </c:pt>
                <c:pt idx="68">
                  <c:v>1.4388268020660182</c:v>
                </c:pt>
                <c:pt idx="69">
                  <c:v>1.4624756779692731</c:v>
                </c:pt>
                <c:pt idx="70">
                  <c:v>1.4864442277316594</c:v>
                </c:pt>
                <c:pt idx="71">
                  <c:v>1.5107364192607668</c:v>
                </c:pt>
                <c:pt idx="72">
                  <c:v>1.5353563077684413</c:v>
                </c:pt>
                <c:pt idx="73">
                  <c:v>1.5603080378186145</c:v>
                </c:pt>
                <c:pt idx="74">
                  <c:v>1.5855958454387282</c:v>
                </c:pt>
                <c:pt idx="75">
                  <c:v>1.6112240602969397</c:v>
                </c:pt>
                <c:pt idx="76">
                  <c:v>1.637197107947405</c:v>
                </c:pt>
                <c:pt idx="77">
                  <c:v>1.6635195121460047</c:v>
                </c:pt>
                <c:pt idx="78">
                  <c:v>1.6901958972390028</c:v>
                </c:pt>
                <c:pt idx="79">
                  <c:v>1.7172309906272025</c:v>
                </c:pt>
                <c:pt idx="80">
                  <c:v>1.7446296253082998</c:v>
                </c:pt>
                <c:pt idx="81">
                  <c:v>1.7723967425002256</c:v>
                </c:pt>
                <c:pt idx="82">
                  <c:v>1.8005373943483938</c:v>
                </c:pt>
                <c:pt idx="83">
                  <c:v>1.8290567467198919</c:v>
                </c:pt>
                <c:pt idx="84">
                  <c:v>1.8579600820877937</c:v>
                </c:pt>
                <c:pt idx="85">
                  <c:v>1.8872528025088764</c:v>
                </c:pt>
                <c:pt idx="86">
                  <c:v>1.9169404326982091</c:v>
                </c:pt>
                <c:pt idx="87">
                  <c:v>1.9470286232041882</c:v>
                </c:pt>
                <c:pt idx="88">
                  <c:v>1.9775231536877778</c:v>
                </c:pt>
                <c:pt idx="89">
                  <c:v>2.0084299363098586</c:v>
                </c:pt>
                <c:pt idx="90">
                  <c:v>2.0397550192307738</c:v>
                </c:pt>
                <c:pt idx="91">
                  <c:v>2.0715045902263265</c:v>
                </c:pt>
                <c:pt idx="92">
                  <c:v>2.1036849804246822</c:v>
                </c:pt>
                <c:pt idx="93">
                  <c:v>2.1363026681688209</c:v>
                </c:pt>
                <c:pt idx="94">
                  <c:v>2.1693642830093864</c:v>
                </c:pt>
                <c:pt idx="95">
                  <c:v>2.2028766098330217</c:v>
                </c:pt>
                <c:pt idx="96">
                  <c:v>2.2368465931314634</c:v>
                </c:pt>
                <c:pt idx="97">
                  <c:v>2.2712813414169646</c:v>
                </c:pt>
                <c:pt idx="98">
                  <c:v>2.3061881317898103</c:v>
                </c:pt>
                <c:pt idx="99">
                  <c:v>2.3415744146640098</c:v>
                </c:pt>
                <c:pt idx="100">
                  <c:v>2.377447818657485</c:v>
                </c:pt>
              </c:numCache>
            </c:numRef>
          </c:yVal>
          <c:smooth val="0"/>
          <c:extLst>
            <c:ext xmlns:c16="http://schemas.microsoft.com/office/drawing/2014/chart" uri="{C3380CC4-5D6E-409C-BE32-E72D297353CC}">
              <c16:uniqueId val="{00000000-CD56-4A2A-9FDC-2F5EB8C6A064}"/>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Calculations'!$BD$9:$BD$109</c:f>
              <c:numCache>
                <c:formatCode>0.000</c:formatCode>
                <c:ptCount val="101"/>
                <c:pt idx="0">
                  <c:v>1.6516215303124859E-2</c:v>
                </c:pt>
                <c:pt idx="1">
                  <c:v>1.6591769544884189E-2</c:v>
                </c:pt>
                <c:pt idx="2">
                  <c:v>1.6818591943588295E-2</c:v>
                </c:pt>
                <c:pt idx="3">
                  <c:v>1.719668637616218E-2</c:v>
                </c:pt>
                <c:pt idx="4">
                  <c:v>1.7726077578406087E-2</c:v>
                </c:pt>
                <c:pt idx="5">
                  <c:v>1.8406811150373171E-2</c:v>
                </c:pt>
                <c:pt idx="6">
                  <c:v>1.9238953568940755E-2</c:v>
                </c:pt>
                <c:pt idx="7">
                  <c:v>2.0222592207582209E-2</c:v>
                </c:pt>
                <c:pt idx="8">
                  <c:v>2.135783536335116E-2</c:v>
                </c:pt>
                <c:pt idx="9">
                  <c:v>2.2644812291094437E-2</c:v>
                </c:pt>
                <c:pt idx="10">
                  <c:v>2.4083673244914755E-2</c:v>
                </c:pt>
                <c:pt idx="11">
                  <c:v>2.5674589526908841E-2</c:v>
                </c:pt>
                <c:pt idx="12">
                  <c:v>2.7417753543211437E-2</c:v>
                </c:pt>
                <c:pt idx="13">
                  <c:v>2.9313378867380318E-2</c:v>
                </c:pt>
                <c:pt idx="14">
                  <c:v>3.1361700311162401E-2</c:v>
                </c:pt>
                <c:pt idx="15">
                  <c:v>3.3562974002685451E-2</c:v>
                </c:pt>
                <c:pt idx="16">
                  <c:v>3.5917477472125293E-2</c:v>
                </c:pt>
                <c:pt idx="17">
                  <c:v>3.8425509744902969E-2</c:v>
                </c:pt>
                <c:pt idx="18">
                  <c:v>4.1087391442471179E-2</c:v>
                </c:pt>
                <c:pt idx="19">
                  <c:v>4.390346489075498E-2</c:v>
                </c:pt>
                <c:pt idx="20">
                  <c:v>4.6874094236315896E-2</c:v>
                </c:pt>
                <c:pt idx="21">
                  <c:v>4.9999665570314739E-2</c:v>
                </c:pt>
                <c:pt idx="22">
                  <c:v>5.3280587060352845E-2</c:v>
                </c:pt>
                <c:pt idx="23">
                  <c:v>5.6717289090277435E-2</c:v>
                </c:pt>
                <c:pt idx="24">
                  <c:v>6.0310224408041617E-2</c:v>
                </c:pt>
                <c:pt idx="25">
                  <c:v>6.4059868281715879E-2</c:v>
                </c:pt>
                <c:pt idx="26">
                  <c:v>6.7966718663752548E-2</c:v>
                </c:pt>
                <c:pt idx="27">
                  <c:v>7.2031296363611233E-2</c:v>
                </c:pt>
                <c:pt idx="28">
                  <c:v>7.6254145228858858E-2</c:v>
                </c:pt>
                <c:pt idx="29">
                  <c:v>8.0635832334863447E-2</c:v>
                </c:pt>
                <c:pt idx="30">
                  <c:v>8.5176948183208021E-2</c:v>
                </c:pt>
                <c:pt idx="31">
                  <c:v>8.9878106908955493E-2</c:v>
                </c:pt>
                <c:pt idx="32">
                  <c:v>9.4739946496903579E-2</c:v>
                </c:pt>
                <c:pt idx="33">
                  <c:v>9.9763129006974594E-2</c:v>
                </c:pt>
                <c:pt idx="34">
                  <c:v>0.10494834080889023</c:v>
                </c:pt>
                <c:pt idx="35">
                  <c:v>0.1102962928262918</c:v>
                </c:pt>
                <c:pt idx="36">
                  <c:v>0.11580772079046905</c:v>
                </c:pt>
                <c:pt idx="37">
                  <c:v>0.12148338550387157</c:v>
                </c:pt>
                <c:pt idx="38">
                  <c:v>0.12732407311358251</c:v>
                </c:pt>
                <c:pt idx="39">
                  <c:v>0.13333059539494052</c:v>
                </c:pt>
                <c:pt idx="40">
                  <c:v>0.13950379004550859</c:v>
                </c:pt>
                <c:pt idx="41">
                  <c:v>0.14584452098958878</c:v>
                </c:pt>
                <c:pt idx="42">
                  <c:v>0.15235367869349858</c:v>
                </c:pt>
                <c:pt idx="43">
                  <c:v>0.15903218049182608</c:v>
                </c:pt>
                <c:pt idx="44">
                  <c:v>0.16588097092489429</c:v>
                </c:pt>
                <c:pt idx="45">
                  <c:v>0.17290102208767225</c:v>
                </c:pt>
                <c:pt idx="46">
                  <c:v>0.18009333399037886</c:v>
                </c:pt>
                <c:pt idx="47">
                  <c:v>0.18745893493103874</c:v>
                </c:pt>
                <c:pt idx="48">
                  <c:v>0.19499888188025374</c:v>
                </c:pt>
                <c:pt idx="49">
                  <c:v>0.202714260878469</c:v>
                </c:pt>
                <c:pt idx="50">
                  <c:v>0.21060618744602064</c:v>
                </c:pt>
                <c:pt idx="51">
                  <c:v>0.21867580700626124</c:v>
                </c:pt>
                <c:pt idx="52">
                  <c:v>0.2269242953220757</c:v>
                </c:pt>
                <c:pt idx="53">
                  <c:v>0.23535285894610616</c:v>
                </c:pt>
                <c:pt idx="54">
                  <c:v>0.24396273568501931</c:v>
                </c:pt>
                <c:pt idx="55">
                  <c:v>0.25275519507816191</c:v>
                </c:pt>
                <c:pt idx="56">
                  <c:v>0.26173153889096257</c:v>
                </c:pt>
                <c:pt idx="57">
                  <c:v>0.27089310162345159</c:v>
                </c:pt>
                <c:pt idx="58">
                  <c:v>0.28024125103428249</c:v>
                </c:pt>
                <c:pt idx="59">
                  <c:v>0.28977738868065606</c:v>
                </c:pt>
                <c:pt idx="60">
                  <c:v>0.29950295047456099</c:v>
                </c:pt>
                <c:pt idx="61">
                  <c:v>0.30941940725575967</c:v>
                </c:pt>
                <c:pt idx="62">
                  <c:v>0.31952826538196272</c:v>
                </c:pt>
                <c:pt idx="63">
                  <c:v>0.32983106733665912</c:v>
                </c:pt>
                <c:pt idx="64">
                  <c:v>0.3403293923550737</c:v>
                </c:pt>
                <c:pt idx="65">
                  <c:v>0.35102485706875025</c:v>
                </c:pt>
                <c:pt idx="66">
                  <c:v>0.36191911616927774</c:v>
                </c:pt>
                <c:pt idx="67">
                  <c:v>0.3730138630916886</c:v>
                </c:pt>
                <c:pt idx="68">
                  <c:v>0.38431083071808347</c:v>
                </c:pt>
                <c:pt idx="69">
                  <c:v>0.39581179210205503</c:v>
                </c:pt>
                <c:pt idx="70">
                  <c:v>0.40751856121450658</c:v>
                </c:pt>
                <c:pt idx="71">
                  <c:v>0.41943299371148002</c:v>
                </c:pt>
                <c:pt idx="72">
                  <c:v>0.43155698772463352</c:v>
                </c:pt>
                <c:pt idx="73">
                  <c:v>0.44389248467503167</c:v>
                </c:pt>
                <c:pt idx="74">
                  <c:v>0.45644147011093456</c:v>
                </c:pt>
                <c:pt idx="75">
                  <c:v>0.46920597457029933</c:v>
                </c:pt>
                <c:pt idx="76">
                  <c:v>0.48218807446873607</c:v>
                </c:pt>
                <c:pt idx="77">
                  <c:v>0.49538989301368191</c:v>
                </c:pt>
                <c:pt idx="78">
                  <c:v>0.50881360114559349</c:v>
                </c:pt>
                <c:pt idx="79">
                  <c:v>0.52246141850697903</c:v>
                </c:pt>
                <c:pt idx="80">
                  <c:v>0.53633561444013522</c:v>
                </c:pt>
                <c:pt idx="81">
                  <c:v>0.55043850901447056</c:v>
                </c:pt>
                <c:pt idx="82">
                  <c:v>0.56477247408434372</c:v>
                </c:pt>
                <c:pt idx="83">
                  <c:v>0.57933993437837639</c:v>
                </c:pt>
                <c:pt idx="84">
                  <c:v>0.59414336862123562</c:v>
                </c:pt>
                <c:pt idx="85">
                  <c:v>0.60918531068891457</c:v>
                </c:pt>
                <c:pt idx="86">
                  <c:v>0.62446835079859464</c:v>
                </c:pt>
                <c:pt idx="87">
                  <c:v>0.63999513673420094</c:v>
                </c:pt>
                <c:pt idx="88">
                  <c:v>0.65576837510879882</c:v>
                </c:pt>
                <c:pt idx="89">
                  <c:v>0.67179083266505857</c:v>
                </c:pt>
                <c:pt idx="90">
                  <c:v>0.68806533761501198</c:v>
                </c:pt>
                <c:pt idx="91">
                  <c:v>0.70459478102042505</c:v>
                </c:pt>
                <c:pt idx="92">
                  <c:v>0.72138211821511633</c:v>
                </c:pt>
                <c:pt idx="93">
                  <c:v>0.73843037027064529</c:v>
                </c:pt>
                <c:pt idx="94">
                  <c:v>0.75574262550681437</c:v>
                </c:pt>
                <c:pt idx="95">
                  <c:v>0.77332204104851687</c:v>
                </c:pt>
                <c:pt idx="96">
                  <c:v>0.79117184443049715</c:v>
                </c:pt>
                <c:pt idx="97">
                  <c:v>0.80929533525167963</c:v>
                </c:pt>
                <c:pt idx="98">
                  <c:v>0.82769588688076767</c:v>
                </c:pt>
                <c:pt idx="99">
                  <c:v>0.8463769482148904</c:v>
                </c:pt>
                <c:pt idx="100">
                  <c:v>0.86534204549315608</c:v>
                </c:pt>
              </c:numCache>
            </c:numRef>
          </c:yVal>
          <c:smooth val="0"/>
          <c:extLst>
            <c:ext xmlns:c16="http://schemas.microsoft.com/office/drawing/2014/chart" uri="{C3380CC4-5D6E-409C-BE32-E72D297353CC}">
              <c16:uniqueId val="{00000001-CD56-4A2A-9FDC-2F5EB8C6A064}"/>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xVal>
          <c:yVal>
            <c:numRef>
              <c:f>'Efficiency Calculations'!$U$9:$U$109</c:f>
              <c:numCache>
                <c:formatCode>0.000</c:formatCode>
                <c:ptCount val="101"/>
                <c:pt idx="0">
                  <c:v>0.30309700920711974</c:v>
                </c:pt>
                <c:pt idx="1">
                  <c:v>0.30322614103936085</c:v>
                </c:pt>
                <c:pt idx="2">
                  <c:v>0.30361346394613736</c:v>
                </c:pt>
                <c:pt idx="3">
                  <c:v>0.3042590247940834</c:v>
                </c:pt>
                <c:pt idx="4">
                  <c:v>0.30516290170645149</c:v>
                </c:pt>
                <c:pt idx="5">
                  <c:v>0.30632520408675096</c:v>
                </c:pt>
                <c:pt idx="6">
                  <c:v>0.30774607265185966</c:v>
                </c:pt>
                <c:pt idx="7">
                  <c:v>0.30942567947462857</c:v>
                </c:pt>
                <c:pt idx="8">
                  <c:v>0.31136422803600194</c:v>
                </c:pt>
                <c:pt idx="9">
                  <c:v>0.31356195328668329</c:v>
                </c:pt>
                <c:pt idx="10">
                  <c:v>0.31601912171838259</c:v>
                </c:pt>
                <c:pt idx="11">
                  <c:v>0.31873603144468371</c:v>
                </c:pt>
                <c:pt idx="12">
                  <c:v>0.32171301229157917</c:v>
                </c:pt>
                <c:pt idx="13">
                  <c:v>0.32495042589772316</c:v>
                </c:pt>
                <c:pt idx="14">
                  <c:v>0.32844866582445953</c:v>
                </c:pt>
                <c:pt idx="15">
                  <c:v>0.33220815767568762</c:v>
                </c:pt>
                <c:pt idx="16">
                  <c:v>0.33622935922763481</c:v>
                </c:pt>
                <c:pt idx="17">
                  <c:v>0.34051276056860802</c:v>
                </c:pt>
                <c:pt idx="18">
                  <c:v>0.34505888424880665</c:v>
                </c:pt>
                <c:pt idx="19">
                  <c:v>0.3498682854402802</c:v>
                </c:pt>
                <c:pt idx="20">
                  <c:v>0.35494155210712386</c:v>
                </c:pt>
                <c:pt idx="21">
                  <c:v>0.36027930518600981</c:v>
                </c:pt>
                <c:pt idx="22">
                  <c:v>0.36588219877715683</c:v>
                </c:pt>
                <c:pt idx="23">
                  <c:v>0.37175092034585033</c:v>
                </c:pt>
                <c:pt idx="24">
                  <c:v>0.37788619093462766</c:v>
                </c:pt>
                <c:pt idx="25">
                  <c:v>0.38428876538625323</c:v>
                </c:pt>
                <c:pt idx="26">
                  <c:v>0.39095943257761112</c:v>
                </c:pt>
                <c:pt idx="27">
                  <c:v>0.39789901566465352</c:v>
                </c:pt>
                <c:pt idx="28">
                  <c:v>0.40510837233854646</c:v>
                </c:pt>
                <c:pt idx="29">
                  <c:v>0.41258839509316364</c:v>
                </c:pt>
                <c:pt idx="30">
                  <c:v>0.42034001150408584</c:v>
                </c:pt>
                <c:pt idx="31">
                  <c:v>0.42836418451926922</c:v>
                </c:pt>
                <c:pt idx="32">
                  <c:v>0.43666191276155486</c:v>
                </c:pt>
                <c:pt idx="33">
                  <c:v>0.44523423084320002</c:v>
                </c:pt>
                <c:pt idx="34">
                  <c:v>0.45408220969261581</c:v>
                </c:pt>
                <c:pt idx="35">
                  <c:v>0.46320695689350888</c:v>
                </c:pt>
                <c:pt idx="36">
                  <c:v>0.4726096170366289</c:v>
                </c:pt>
                <c:pt idx="37">
                  <c:v>0.48229137208433248</c:v>
                </c:pt>
                <c:pt idx="38">
                  <c:v>0.49225344174818675</c:v>
                </c:pt>
                <c:pt idx="39">
                  <c:v>0.50249708387983671</c:v>
                </c:pt>
                <c:pt idx="40">
                  <c:v>0.5130235948753793</c:v>
                </c:pt>
                <c:pt idx="41">
                  <c:v>0.52383431009348513</c:v>
                </c:pt>
                <c:pt idx="42">
                  <c:v>0.53493060428753025</c:v>
                </c:pt>
                <c:pt idx="43">
                  <c:v>0.54631389205200032</c:v>
                </c:pt>
                <c:pt idx="44">
                  <c:v>0.55798562828344245</c:v>
                </c:pt>
                <c:pt idx="45">
                  <c:v>0.56994730865625587</c:v>
                </c:pt>
                <c:pt idx="46">
                  <c:v>0.58220047011361087</c:v>
                </c:pt>
                <c:pt idx="47">
                  <c:v>0.5947466913738122</c:v>
                </c:pt>
                <c:pt idx="48">
                  <c:v>0.60758759345241731</c:v>
                </c:pt>
                <c:pt idx="49">
                  <c:v>0.62072484020044627</c:v>
                </c:pt>
                <c:pt idx="50">
                  <c:v>0.63416013885902212</c:v>
                </c:pt>
                <c:pt idx="51">
                  <c:v>0.64789524063079695</c:v>
                </c:pt>
                <c:pt idx="52">
                  <c:v>0.66193194126853017</c:v>
                </c:pt>
                <c:pt idx="53">
                  <c:v>0.67627208168119946</c:v>
                </c:pt>
                <c:pt idx="54">
                  <c:v>0.69091754855803744</c:v>
                </c:pt>
                <c:pt idx="55">
                  <c:v>0.70587027501090049</c:v>
                </c:pt>
                <c:pt idx="56">
                  <c:v>0.72113224123539132</c:v>
                </c:pt>
                <c:pt idx="57">
                  <c:v>0.73670547519117113</c:v>
                </c:pt>
                <c:pt idx="58">
                  <c:v>0.75259205330191381</c:v>
                </c:pt>
                <c:pt idx="59">
                  <c:v>0.76879410117536329</c:v>
                </c:pt>
                <c:pt idx="60">
                  <c:v>0.78531379434398718</c:v>
                </c:pt>
                <c:pt idx="61">
                  <c:v>0.80215335902671348</c:v>
                </c:pt>
                <c:pt idx="62">
                  <c:v>0.81931507291227768</c:v>
                </c:pt>
                <c:pt idx="63">
                  <c:v>0.83680126596471027</c:v>
                </c:pt>
                <c:pt idx="64">
                  <c:v>0.85461432125151715</c:v>
                </c:pt>
                <c:pt idx="65">
                  <c:v>0.87275667579512506</c:v>
                </c:pt>
                <c:pt idx="66">
                  <c:v>0.89123082144818755</c:v>
                </c:pt>
                <c:pt idx="67">
                  <c:v>0.91003930579335846</c:v>
                </c:pt>
                <c:pt idx="68">
                  <c:v>0.92918473306816973</c:v>
                </c:pt>
                <c:pt idx="69">
                  <c:v>0.9486697651156677</c:v>
                </c:pt>
                <c:pt idx="70">
                  <c:v>0.96849712236148566</c:v>
                </c:pt>
                <c:pt idx="71">
                  <c:v>0.98866958481805345</c:v>
                </c:pt>
                <c:pt idx="72">
                  <c:v>1.009189993116671</c:v>
                </c:pt>
                <c:pt idx="73">
                  <c:v>1.0300612495681958</c:v>
                </c:pt>
                <c:pt idx="74">
                  <c:v>1.0512863192531205</c:v>
                </c:pt>
                <c:pt idx="75">
                  <c:v>1.0728682311418449</c:v>
                </c:pt>
                <c:pt idx="76">
                  <c:v>1.0948100792459747</c:v>
                </c:pt>
                <c:pt idx="77">
                  <c:v>1.117115023801508</c:v>
                </c:pt>
                <c:pt idx="78">
                  <c:v>1.1397862924847999</c:v>
                </c:pt>
                <c:pt idx="79">
                  <c:v>1.1628271816622249</c:v>
                </c:pt>
                <c:pt idx="80">
                  <c:v>1.1862410576745006</c:v>
                </c:pt>
                <c:pt idx="81">
                  <c:v>1.2100313581566466</c:v>
                </c:pt>
                <c:pt idx="82">
                  <c:v>1.2342015933946202</c:v>
                </c:pt>
                <c:pt idx="83">
                  <c:v>1.2587553477196678</c:v>
                </c:pt>
                <c:pt idx="84">
                  <c:v>1.2836962809415104</c:v>
                </c:pt>
                <c:pt idx="85">
                  <c:v>1.3090281298214805</c:v>
                </c:pt>
                <c:pt idx="86">
                  <c:v>1.3347547095868</c:v>
                </c:pt>
                <c:pt idx="87">
                  <c:v>1.3608799154872147</c:v>
                </c:pt>
                <c:pt idx="88">
                  <c:v>1.3874077243952434</c:v>
                </c:pt>
                <c:pt idx="89">
                  <c:v>1.4143421964513614</c:v>
                </c:pt>
                <c:pt idx="90">
                  <c:v>1.4416874767554608</c:v>
                </c:pt>
                <c:pt idx="91">
                  <c:v>1.4694477971060032</c:v>
                </c:pt>
                <c:pt idx="92">
                  <c:v>1.4976274777883176</c:v>
                </c:pt>
                <c:pt idx="93">
                  <c:v>1.5262309294135505</c:v>
                </c:pt>
                <c:pt idx="94">
                  <c:v>1.5552626548098409</c:v>
                </c:pt>
                <c:pt idx="95">
                  <c:v>1.5847272509673338</c:v>
                </c:pt>
                <c:pt idx="96">
                  <c:v>1.614629411038724</c:v>
                </c:pt>
                <c:pt idx="97">
                  <c:v>1.64497392639707</c:v>
                </c:pt>
                <c:pt idx="98">
                  <c:v>1.6757656887526893</c:v>
                </c:pt>
                <c:pt idx="99">
                  <c:v>1.7070096923310176</c:v>
                </c:pt>
                <c:pt idx="100">
                  <c:v>1.7387110361133762</c:v>
                </c:pt>
              </c:numCache>
            </c:numRef>
          </c:yVal>
          <c:smooth val="0"/>
          <c:extLst>
            <c:ext xmlns:c16="http://schemas.microsoft.com/office/drawing/2014/chart" uri="{C3380CC4-5D6E-409C-BE32-E72D297353CC}">
              <c16:uniqueId val="{00000002-CD56-4A2A-9FDC-2F5EB8C6A064}"/>
            </c:ext>
          </c:extLst>
        </c:ser>
        <c:dLbls>
          <c:showLegendKey val="0"/>
          <c:showVal val="0"/>
          <c:showCatName val="0"/>
          <c:showSerName val="0"/>
          <c:showPercent val="0"/>
          <c:showBubbleSize val="0"/>
        </c:dLbls>
        <c:axId val="196609536"/>
        <c:axId val="196611456"/>
      </c:scatterChart>
      <c:valAx>
        <c:axId val="19660953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11456"/>
        <c:crosses val="autoZero"/>
        <c:crossBetween val="midCat"/>
      </c:valAx>
      <c:valAx>
        <c:axId val="19661145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9660953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'Ch2 Efficiency Calculations'!$AW$8</c:f>
              <c:strCache>
                <c:ptCount val="1"/>
                <c:pt idx="0">
                  <c:v>Buck ''CONTROL'' MOSFET Temp Rise</c:v>
                </c:pt>
              </c:strCache>
            </c:strRef>
          </c:tx>
          <c:spPr>
            <a:ln w="31750">
              <a:solidFill>
                <a:srgbClr val="000080"/>
              </a:solidFill>
              <a:prstDash val="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Calculations'!$AW$9:$AW$109</c:f>
              <c:numCache>
                <c:formatCode>0.0</c:formatCode>
                <c:ptCount val="101"/>
                <c:pt idx="0">
                  <c:v>0.55457098364671975</c:v>
                </c:pt>
                <c:pt idx="1">
                  <c:v>0.77678384024796054</c:v>
                </c:pt>
                <c:pt idx="2">
                  <c:v>0.99972943511457835</c:v>
                </c:pt>
                <c:pt idx="3">
                  <c:v>1.4072958731998275</c:v>
                </c:pt>
                <c:pt idx="4">
                  <c:v>1.9239829661074197</c:v>
                </c:pt>
                <c:pt idx="5">
                  <c:v>2.4219939332935843</c:v>
                </c:pt>
                <c:pt idx="6">
                  <c:v>2.9013313727183951</c:v>
                </c:pt>
                <c:pt idx="7">
                  <c:v>3.3619975562302264</c:v>
                </c:pt>
                <c:pt idx="8">
                  <c:v>3.8039944293756709</c:v>
                </c:pt>
                <c:pt idx="9">
                  <c:v>4.2273236111951853</c:v>
                </c:pt>
                <c:pt idx="10">
                  <c:v>4.6319863940043735</c:v>
                </c:pt>
                <c:pt idx="11">
                  <c:v>5.0179837431609702</c:v>
                </c:pt>
                <c:pt idx="12">
                  <c:v>5.3853162968173987</c:v>
                </c:pt>
                <c:pt idx="13">
                  <c:v>5.7339843656589462</c:v>
                </c:pt>
                <c:pt idx="14">
                  <c:v>6.0639879326274677</c:v>
                </c:pt>
                <c:pt idx="15">
                  <c:v>6.3753266526306254</c:v>
                </c:pt>
                <c:pt idx="16">
                  <c:v>6.6679998522365906</c:v>
                </c:pt>
                <c:pt idx="17">
                  <c:v>6.9420065293542272</c:v>
                </c:pt>
                <c:pt idx="18">
                  <c:v>7.1973453528986342</c:v>
                </c:pt>
                <c:pt idx="19">
                  <c:v>7.4340146624420802</c:v>
                </c:pt>
                <c:pt idx="20">
                  <c:v>7.6520124678502848</c:v>
                </c:pt>
                <c:pt idx="21">
                  <c:v>7.8513364489039379</c:v>
                </c:pt>
                <c:pt idx="22">
                  <c:v>8.0319839549055043</c:v>
                </c:pt>
                <c:pt idx="23">
                  <c:v>8.1939520042711873</c:v>
                </c:pt>
                <c:pt idx="24">
                  <c:v>8.3372372841080828</c:v>
                </c:pt>
                <c:pt idx="25">
                  <c:v>8.4618361497763956</c:v>
                </c:pt>
                <c:pt idx="26">
                  <c:v>8.5677446244367559</c:v>
                </c:pt>
                <c:pt idx="27">
                  <c:v>8.6549583985824956</c:v>
                </c:pt>
                <c:pt idx="28">
                  <c:v>8.7234728295569131</c:v>
                </c:pt>
                <c:pt idx="29">
                  <c:v>8.7732829410554363</c:v>
                </c:pt>
                <c:pt idx="30">
                  <c:v>8.8043834226126148</c:v>
                </c:pt>
                <c:pt idx="31">
                  <c:v>8.8167686290739233</c:v>
                </c:pt>
                <c:pt idx="32">
                  <c:v>8.8104325800523142</c:v>
                </c:pt>
                <c:pt idx="33">
                  <c:v>8.7853689593694231</c:v>
                </c:pt>
                <c:pt idx="34">
                  <c:v>8.7415711144814185</c:v>
                </c:pt>
                <c:pt idx="35">
                  <c:v>8.6790320558893796</c:v>
                </c:pt>
                <c:pt idx="36">
                  <c:v>8.5977444565342456</c:v>
                </c:pt>
                <c:pt idx="37">
                  <c:v>8.4977006511761051</c:v>
                </c:pt>
                <c:pt idx="38">
                  <c:v>8.3788926357579481</c:v>
                </c:pt>
                <c:pt idx="39">
                  <c:v>8.4749250447077955</c:v>
                </c:pt>
                <c:pt idx="40">
                  <c:v>8.7362255406195235</c:v>
                </c:pt>
                <c:pt idx="41">
                  <c:v>8.9983051754071415</c:v>
                </c:pt>
                <c:pt idx="42">
                  <c:v>9.2611655515602482</c:v>
                </c:pt>
                <c:pt idx="43">
                  <c:v>9.5248082868544621</c:v>
                </c:pt>
                <c:pt idx="44">
                  <c:v>9.789235014418658</c:v>
                </c:pt>
                <c:pt idx="45">
                  <c:v>10.054447382802953</c:v>
                </c:pt>
                <c:pt idx="46">
                  <c:v>10.320447056047513</c:v>
                </c:pt>
                <c:pt idx="47">
                  <c:v>10.587235713752118</c:v>
                </c:pt>
                <c:pt idx="48">
                  <c:v>10.854815051146524</c:v>
                </c:pt>
                <c:pt idx="49">
                  <c:v>11.123186779161637</c:v>
                </c:pt>
                <c:pt idx="50">
                  <c:v>11.392352624501473</c:v>
                </c:pt>
                <c:pt idx="51">
                  <c:v>11.662314329715961</c:v>
                </c:pt>
                <c:pt idx="52">
                  <c:v>11.933073653274523</c:v>
                </c:pt>
                <c:pt idx="53">
                  <c:v>12.204632369640507</c:v>
                </c:pt>
                <c:pt idx="54">
                  <c:v>12.476992269346441</c:v>
                </c:pt>
                <c:pt idx="55">
                  <c:v>12.750155159070117</c:v>
                </c:pt>
                <c:pt idx="56">
                  <c:v>13.024122861711533</c:v>
                </c:pt>
                <c:pt idx="57">
                  <c:v>13.298897216470658</c:v>
                </c:pt>
                <c:pt idx="58">
                  <c:v>13.574480078926088</c:v>
                </c:pt>
                <c:pt idx="59">
                  <c:v>13.850873321114523</c:v>
                </c:pt>
                <c:pt idx="60">
                  <c:v>14.128078831611155</c:v>
                </c:pt>
                <c:pt idx="61">
                  <c:v>14.4060985156109</c:v>
                </c:pt>
                <c:pt idx="62">
                  <c:v>14.684934295010514</c:v>
                </c:pt>
                <c:pt idx="63">
                  <c:v>14.96458810849164</c:v>
                </c:pt>
                <c:pt idx="64">
                  <c:v>15.245061911604683</c:v>
                </c:pt>
                <c:pt idx="65">
                  <c:v>15.526357676853655</c:v>
                </c:pt>
                <c:pt idx="66">
                  <c:v>15.808477393781878</c:v>
                </c:pt>
                <c:pt idx="67">
                  <c:v>16.091423069058646</c:v>
                </c:pt>
                <c:pt idx="68">
                  <c:v>16.375196726566806</c:v>
                </c:pt>
                <c:pt idx="69">
                  <c:v>16.659800407491222</c:v>
                </c:pt>
                <c:pt idx="70">
                  <c:v>16.94523617040829</c:v>
                </c:pt>
                <c:pt idx="71">
                  <c:v>17.231506091376257</c:v>
                </c:pt>
                <c:pt idx="72">
                  <c:v>17.51861226402664</c:v>
                </c:pt>
                <c:pt idx="73">
                  <c:v>17.806556799656491</c:v>
                </c:pt>
                <c:pt idx="74">
                  <c:v>18.095341827321739</c:v>
                </c:pt>
                <c:pt idx="75">
                  <c:v>18.384969493931404</c:v>
                </c:pt>
                <c:pt idx="76">
                  <c:v>18.675441964342923</c:v>
                </c:pt>
                <c:pt idx="77">
                  <c:v>18.966761421458347</c:v>
                </c:pt>
                <c:pt idx="78">
                  <c:v>19.258930066321646</c:v>
                </c:pt>
                <c:pt idx="79">
                  <c:v>19.551950118216983</c:v>
                </c:pt>
                <c:pt idx="80">
                  <c:v>19.845823814768011</c:v>
                </c:pt>
                <c:pt idx="81">
                  <c:v>20.140553412038194</c:v>
                </c:pt>
                <c:pt idx="82">
                  <c:v>20.436141184632216</c:v>
                </c:pt>
                <c:pt idx="83">
                  <c:v>20.732589425798409</c:v>
                </c:pt>
                <c:pt idx="84">
                  <c:v>21.029900447532185</c:v>
                </c:pt>
                <c:pt idx="85">
                  <c:v>21.328076580680658</c:v>
                </c:pt>
                <c:pt idx="86">
                  <c:v>21.627120175048262</c:v>
                </c:pt>
                <c:pt idx="87">
                  <c:v>21.927033599503435</c:v>
                </c:pt>
                <c:pt idx="88">
                  <c:v>22.227819242086479</c:v>
                </c:pt>
                <c:pt idx="89">
                  <c:v>22.52947951011847</c:v>
                </c:pt>
                <c:pt idx="90">
                  <c:v>22.832016830311293</c:v>
                </c:pt>
                <c:pt idx="91">
                  <c:v>23.135433648878838</c:v>
                </c:pt>
                <c:pt idx="92">
                  <c:v>23.439732431649269</c:v>
                </c:pt>
                <c:pt idx="93">
                  <c:v>23.744915664178517</c:v>
                </c:pt>
                <c:pt idx="94">
                  <c:v>24.050985851864851</c:v>
                </c:pt>
                <c:pt idx="95">
                  <c:v>24.357945520064682</c:v>
                </c:pt>
                <c:pt idx="96">
                  <c:v>24.665797214209526</c:v>
                </c:pt>
                <c:pt idx="97">
                  <c:v>24.974543499924128</c:v>
                </c:pt>
                <c:pt idx="98">
                  <c:v>25.284186963145821</c:v>
                </c:pt>
                <c:pt idx="99">
                  <c:v>25.594730210245093</c:v>
                </c:pt>
                <c:pt idx="100">
                  <c:v>25.906175868147347</c:v>
                </c:pt>
              </c:numCache>
            </c:numRef>
          </c:yVal>
          <c:smooth val="0"/>
          <c:extLst>
            <c:ext xmlns:c16="http://schemas.microsoft.com/office/drawing/2014/chart" uri="{C3380CC4-5D6E-409C-BE32-E72D297353CC}">
              <c16:uniqueId val="{00000000-F506-44FF-8C40-0061493B9501}"/>
            </c:ext>
          </c:extLst>
        </c:ser>
        <c:ser>
          <c:idx val="1"/>
          <c:order val="1"/>
          <c:tx>
            <c:strRef>
              <c:f>'Ch2 Efficiency Calculations'!$AX$8</c:f>
              <c:strCache>
                <c:ptCount val="1"/>
                <c:pt idx="0">
                  <c:v>Buck ''SYNC'' MOSFET Temp Rise</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Calculations'!$AX$9:$AX$109</c:f>
              <c:numCache>
                <c:formatCode>0.0</c:formatCode>
                <c:ptCount val="101"/>
                <c:pt idx="0">
                  <c:v>0.97258064765746044</c:v>
                </c:pt>
                <c:pt idx="1">
                  <c:v>1.0583152535114897</c:v>
                </c:pt>
                <c:pt idx="2">
                  <c:v>1.1465023426457854</c:v>
                </c:pt>
                <c:pt idx="3">
                  <c:v>1.2371424597714029</c:v>
                </c:pt>
                <c:pt idx="4">
                  <c:v>1.3302363386017675</c:v>
                </c:pt>
                <c:pt idx="5">
                  <c:v>1.4257849019612032</c:v>
                </c:pt>
                <c:pt idx="6">
                  <c:v>1.5237892619299054</c:v>
                </c:pt>
                <c:pt idx="7">
                  <c:v>1.6242507200254048</c:v>
                </c:pt>
                <c:pt idx="8">
                  <c:v>1.7271707674205676</c:v>
                </c:pt>
                <c:pt idx="9">
                  <c:v>1.8325510851982236</c:v>
                </c:pt>
                <c:pt idx="10">
                  <c:v>1.9403935446424949</c:v>
                </c:pt>
                <c:pt idx="11">
                  <c:v>2.0507002075669267</c:v>
                </c:pt>
                <c:pt idx="12">
                  <c:v>2.1634733266795396</c:v>
                </c:pt>
                <c:pt idx="13">
                  <c:v>2.278715345984915</c:v>
                </c:pt>
                <c:pt idx="14">
                  <c:v>2.3964289012234707</c:v>
                </c:pt>
                <c:pt idx="15">
                  <c:v>2.516616820348061</c:v>
                </c:pt>
                <c:pt idx="16">
                  <c:v>2.6392821240380817</c:v>
                </c:pt>
                <c:pt idx="17">
                  <c:v>2.7644280262512564</c:v>
                </c:pt>
                <c:pt idx="18">
                  <c:v>2.8920579348132831</c:v>
                </c:pt>
                <c:pt idx="19">
                  <c:v>3.0221754520455861</c:v>
                </c:pt>
                <c:pt idx="20">
                  <c:v>3.1547843754313427</c:v>
                </c:pt>
                <c:pt idx="21">
                  <c:v>3.289888698320067</c:v>
                </c:pt>
                <c:pt idx="22">
                  <c:v>3.4274926106709787</c:v>
                </c:pt>
                <c:pt idx="23">
                  <c:v>3.567600499835418</c:v>
                </c:pt>
                <c:pt idx="24">
                  <c:v>3.7102169513786079</c:v>
                </c:pt>
                <c:pt idx="25">
                  <c:v>3.8553467499410186</c:v>
                </c:pt>
                <c:pt idx="26">
                  <c:v>4.0029948801396973</c:v>
                </c:pt>
                <c:pt idx="27">
                  <c:v>4.1531665275098355</c:v>
                </c:pt>
                <c:pt idx="28">
                  <c:v>4.305867079486938</c:v>
                </c:pt>
                <c:pt idx="29">
                  <c:v>4.4611021264299557</c:v>
                </c:pt>
                <c:pt idx="30">
                  <c:v>4.6188774626857327</c:v>
                </c:pt>
                <c:pt idx="31">
                  <c:v>4.7791990876951633</c:v>
                </c:pt>
                <c:pt idx="32">
                  <c:v>4.9420732071414735</c:v>
                </c:pt>
                <c:pt idx="33">
                  <c:v>5.1075062341410211</c:v>
                </c:pt>
                <c:pt idx="34">
                  <c:v>5.2755047904770676</c:v>
                </c:pt>
                <c:pt idx="35">
                  <c:v>5.446075707876969</c:v>
                </c:pt>
                <c:pt idx="36">
                  <c:v>5.6192260293332694</c:v>
                </c:pt>
                <c:pt idx="37">
                  <c:v>5.7949630104691483</c:v>
                </c:pt>
                <c:pt idx="38">
                  <c:v>5.9732941209487684</c:v>
                </c:pt>
                <c:pt idx="39">
                  <c:v>6.1599882217287014</c:v>
                </c:pt>
                <c:pt idx="40">
                  <c:v>6.3534576750355143</c:v>
                </c:pt>
                <c:pt idx="41">
                  <c:v>6.5495554829530755</c:v>
                </c:pt>
                <c:pt idx="42">
                  <c:v>6.7482903892668578</c:v>
                </c:pt>
                <c:pt idx="43">
                  <c:v>6.9496713612283578</c:v>
                </c:pt>
                <c:pt idx="44">
                  <c:v>7.1537075913033101</c:v>
                </c:pt>
                <c:pt idx="45">
                  <c:v>7.3604084989693677</c:v>
                </c:pt>
                <c:pt idx="46">
                  <c:v>7.569783732563919</c:v>
                </c:pt>
                <c:pt idx="47">
                  <c:v>7.7818431711827394</c:v>
                </c:pt>
                <c:pt idx="48">
                  <c:v>7.9965969266301897</c:v>
                </c:pt>
                <c:pt idx="49">
                  <c:v>8.2140553454217091</c:v>
                </c:pt>
                <c:pt idx="50">
                  <c:v>8.4342290108393776</c:v>
                </c:pt>
                <c:pt idx="51">
                  <c:v>8.6571287450413053</c:v>
                </c:pt>
                <c:pt idx="52">
                  <c:v>8.8827656112256896</c:v>
                </c:pt>
                <c:pt idx="53">
                  <c:v>9.1111509158503612</c:v>
                </c:pt>
                <c:pt idx="54">
                  <c:v>9.3422962109086676</c:v>
                </c:pt>
                <c:pt idx="55">
                  <c:v>9.5762132962626065</c:v>
                </c:pt>
                <c:pt idx="56">
                  <c:v>9.8129142220340881</c:v>
                </c:pt>
                <c:pt idx="57">
                  <c:v>10.052411291055289</c:v>
                </c:pt>
                <c:pt idx="58">
                  <c:v>10.294717061379027</c:v>
                </c:pt>
                <c:pt idx="59">
                  <c:v>10.539844348850185</c:v>
                </c:pt>
                <c:pt idx="60">
                  <c:v>10.787806229739195</c:v>
                </c:pt>
                <c:pt idx="61">
                  <c:v>11.038616043438591</c:v>
                </c:pt>
                <c:pt idx="62">
                  <c:v>11.292287395223751</c:v>
                </c:pt>
                <c:pt idx="63">
                  <c:v>11.548834159078934</c:v>
                </c:pt>
                <c:pt idx="64">
                  <c:v>11.808270480589728</c:v>
                </c:pt>
                <c:pt idx="65">
                  <c:v>12.070610779903058</c:v>
                </c:pt>
                <c:pt idx="66">
                  <c:v>12.335869754756024</c:v>
                </c:pt>
                <c:pt idx="67">
                  <c:v>12.604062383574776</c:v>
                </c:pt>
                <c:pt idx="68">
                  <c:v>12.875203928644622</c:v>
                </c:pt>
                <c:pt idx="69">
                  <c:v>13.149309939352806</c:v>
                </c:pt>
                <c:pt idx="70">
                  <c:v>13.426396255505173</c:v>
                </c:pt>
                <c:pt idx="71">
                  <c:v>13.706479010718205</c:v>
                </c:pt>
                <c:pt idx="72">
                  <c:v>13.989574635887729</c:v>
                </c:pt>
                <c:pt idx="73">
                  <c:v>14.275699862735848</c:v>
                </c:pt>
                <c:pt idx="74">
                  <c:v>14.56487172743757</c:v>
                </c:pt>
                <c:pt idx="75">
                  <c:v>14.857107574328582</c:v>
                </c:pt>
                <c:pt idx="76">
                  <c:v>15.152425059695897</c:v>
                </c:pt>
                <c:pt idx="77">
                  <c:v>15.450842155652825</c:v>
                </c:pt>
                <c:pt idx="78">
                  <c:v>15.752377154100079</c:v>
                </c:pt>
                <c:pt idx="79">
                  <c:v>16.057048670774645</c:v>
                </c:pt>
                <c:pt idx="80">
                  <c:v>16.364875649388129</c:v>
                </c:pt>
                <c:pt idx="81">
                  <c:v>16.675877365856532</c:v>
                </c:pt>
                <c:pt idx="82">
                  <c:v>16.990073432623145</c:v>
                </c:pt>
                <c:pt idx="83">
                  <c:v>17.307483803076526</c:v>
                </c:pt>
                <c:pt idx="84">
                  <c:v>17.628128776065569</c:v>
                </c:pt>
                <c:pt idx="85">
                  <c:v>17.952029000513605</c:v>
                </c:pt>
                <c:pt idx="86">
                  <c:v>18.27920548013358</c:v>
                </c:pt>
                <c:pt idx="87">
                  <c:v>18.60967957824646</c:v>
                </c:pt>
                <c:pt idx="88">
                  <c:v>18.943473022705142</c:v>
                </c:pt>
                <c:pt idx="89">
                  <c:v>19.280607910925841</c:v>
                </c:pt>
                <c:pt idx="90">
                  <c:v>19.621106715029544</c:v>
                </c:pt>
                <c:pt idx="91">
                  <c:v>19.964992287095725</c:v>
                </c:pt>
                <c:pt idx="92">
                  <c:v>20.312287864530717</c:v>
                </c:pt>
                <c:pt idx="93">
                  <c:v>20.663017075553419</c:v>
                </c:pt>
                <c:pt idx="94">
                  <c:v>21.017203944800634</c:v>
                </c:pt>
                <c:pt idx="95">
                  <c:v>21.374872899054935</c:v>
                </c:pt>
                <c:pt idx="96">
                  <c:v>21.736048773097529</c:v>
                </c:pt>
                <c:pt idx="97">
                  <c:v>22.100756815689095</c:v>
                </c:pt>
                <c:pt idx="98">
                  <c:v>22.46902269568125</c:v>
                </c:pt>
                <c:pt idx="99">
                  <c:v>22.840872508261874</c:v>
                </c:pt>
                <c:pt idx="100">
                  <c:v>23.216332781336856</c:v>
                </c:pt>
              </c:numCache>
            </c:numRef>
          </c:yVal>
          <c:smooth val="0"/>
          <c:extLst>
            <c:ext xmlns:c16="http://schemas.microsoft.com/office/drawing/2014/chart" uri="{C3380CC4-5D6E-409C-BE32-E72D297353CC}">
              <c16:uniqueId val="{00000001-F506-44FF-8C40-0061493B9501}"/>
            </c:ext>
          </c:extLst>
        </c:ser>
        <c:dLbls>
          <c:showLegendKey val="0"/>
          <c:showVal val="0"/>
          <c:showCatName val="0"/>
          <c:showSerName val="0"/>
          <c:showPercent val="0"/>
          <c:showBubbleSize val="0"/>
        </c:dLbls>
        <c:axId val="152240896"/>
        <c:axId val="152242816"/>
      </c:scatterChart>
      <c:valAx>
        <c:axId val="152240896"/>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2816"/>
        <c:crosses val="autoZero"/>
        <c:crossBetween val="midCat"/>
      </c:valAx>
      <c:valAx>
        <c:axId val="152242816"/>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5224089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'Ch2 Efficiency Calculations'!$BC$8</c:f>
              <c:strCache>
                <c:ptCount val="1"/>
                <c:pt idx="0">
                  <c:v>Control MOSFET Loss</c:v>
                </c:pt>
              </c:strCache>
            </c:strRef>
          </c:tx>
          <c:spPr>
            <a:ln w="25400">
              <a:solidFill>
                <a:srgbClr val="000080"/>
              </a:solidFill>
              <a:prstDash val="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Calculations'!$BC$9:$BC$109</c:f>
              <c:numCache>
                <c:formatCode>0.000</c:formatCode>
                <c:ptCount val="101"/>
                <c:pt idx="0">
                  <c:v>1.4593973253861045E-2</c:v>
                </c:pt>
                <c:pt idx="1">
                  <c:v>2.0441680006525277E-2</c:v>
                </c:pt>
                <c:pt idx="2">
                  <c:v>2.6308669345120484E-2</c:v>
                </c:pt>
                <c:pt idx="3">
                  <c:v>3.703410192631125E-2</c:v>
                </c:pt>
                <c:pt idx="4">
                  <c:v>5.0631130687037361E-2</c:v>
                </c:pt>
                <c:pt idx="5">
                  <c:v>6.3736682455094326E-2</c:v>
                </c:pt>
                <c:pt idx="6">
                  <c:v>7.6350825597852501E-2</c:v>
                </c:pt>
                <c:pt idx="7">
                  <c:v>8.8473619900795428E-2</c:v>
                </c:pt>
                <c:pt idx="8">
                  <c:v>0.10010511656251765</c:v>
                </c:pt>
                <c:pt idx="9">
                  <c:v>0.11124535818934697</c:v>
                </c:pt>
                <c:pt idx="10">
                  <c:v>0.12189437878958877</c:v>
                </c:pt>
                <c:pt idx="11">
                  <c:v>0.13205220376739396</c:v>
                </c:pt>
                <c:pt idx="12">
                  <c:v>0.14171884991624734</c:v>
                </c:pt>
                <c:pt idx="13">
                  <c:v>0.15089432541207753</c:v>
                </c:pt>
                <c:pt idx="14">
                  <c:v>0.159578629805986</c:v>
                </c:pt>
                <c:pt idx="15">
                  <c:v>0.16777175401659541</c:v>
                </c:pt>
                <c:pt idx="16">
                  <c:v>0.17547368032201555</c:v>
                </c:pt>
                <c:pt idx="17">
                  <c:v>0.18268438235142703</c:v>
                </c:pt>
                <c:pt idx="18">
                  <c:v>0.18940382507627984</c:v>
                </c:pt>
                <c:pt idx="19">
                  <c:v>0.19563196480110737</c:v>
                </c:pt>
                <c:pt idx="20">
                  <c:v>0.20136874915395486</c:v>
                </c:pt>
                <c:pt idx="21">
                  <c:v>0.20661411707641941</c:v>
                </c:pt>
                <c:pt idx="22">
                  <c:v>0.21136799881330276</c:v>
                </c:pt>
                <c:pt idx="23">
                  <c:v>0.21563031590187334</c:v>
                </c:pt>
                <c:pt idx="24">
                  <c:v>0.21940098116073903</c:v>
                </c:pt>
                <c:pt idx="25">
                  <c:v>0.22267989867832622</c:v>
                </c:pt>
                <c:pt idx="26">
                  <c:v>0.22546696380096726</c:v>
                </c:pt>
                <c:pt idx="27">
                  <c:v>0.22776206312059197</c:v>
                </c:pt>
                <c:pt idx="28">
                  <c:v>0.22956507446202404</c:v>
                </c:pt>
                <c:pt idx="29">
                  <c:v>0.2308758668698799</c:v>
                </c:pt>
                <c:pt idx="30">
                  <c:v>0.23169430059506879</c:v>
                </c:pt>
                <c:pt idx="31">
                  <c:v>0.23202022708089273</c:v>
                </c:pt>
                <c:pt idx="32">
                  <c:v>0.23185348894874511</c:v>
                </c:pt>
                <c:pt idx="33">
                  <c:v>0.23119391998340585</c:v>
                </c:pt>
                <c:pt idx="34">
                  <c:v>0.23004134511793206</c:v>
                </c:pt>
                <c:pt idx="35">
                  <c:v>0.22839558041814156</c:v>
                </c:pt>
                <c:pt idx="36">
                  <c:v>0.22625643306669066</c:v>
                </c:pt>
                <c:pt idx="37">
                  <c:v>0.22362370134673959</c:v>
                </c:pt>
                <c:pt idx="38">
                  <c:v>0.22049717462520918</c:v>
                </c:pt>
                <c:pt idx="39">
                  <c:v>0.22302434328178408</c:v>
                </c:pt>
                <c:pt idx="40">
                  <c:v>0.2299006721215664</c:v>
                </c:pt>
                <c:pt idx="41">
                  <c:v>0.23679750461597743</c:v>
                </c:pt>
                <c:pt idx="42">
                  <c:v>0.24371488293579602</c:v>
                </c:pt>
                <c:pt idx="43">
                  <c:v>0.25065284965406481</c:v>
                </c:pt>
                <c:pt idx="44">
                  <c:v>0.25761144774785943</c:v>
                </c:pt>
                <c:pt idx="45">
                  <c:v>0.26459072060007771</c:v>
                </c:pt>
                <c:pt idx="46">
                  <c:v>0.27159071200125035</c:v>
                </c:pt>
                <c:pt idx="47">
                  <c:v>0.27861146615137156</c:v>
                </c:pt>
                <c:pt idx="48">
                  <c:v>0.2856530276617506</c:v>
                </c:pt>
                <c:pt idx="49">
                  <c:v>0.29271544155688517</c:v>
                </c:pt>
                <c:pt idx="50">
                  <c:v>0.29979875327635458</c:v>
                </c:pt>
                <c:pt idx="51">
                  <c:v>0.30690300867673581</c:v>
                </c:pt>
                <c:pt idx="52">
                  <c:v>0.31402825403354007</c:v>
                </c:pt>
                <c:pt idx="53">
                  <c:v>0.32117453604317125</c:v>
                </c:pt>
                <c:pt idx="54">
                  <c:v>0.32834190182490636</c:v>
                </c:pt>
                <c:pt idx="55">
                  <c:v>0.33553039892289782</c:v>
                </c:pt>
                <c:pt idx="56">
                  <c:v>0.34274007530819822</c:v>
                </c:pt>
                <c:pt idx="57">
                  <c:v>0.34997097938080679</c:v>
                </c:pt>
                <c:pt idx="58">
                  <c:v>0.35722315997173915</c:v>
                </c:pt>
                <c:pt idx="59">
                  <c:v>0.36449666634511901</c:v>
                </c:pt>
                <c:pt idx="60">
                  <c:v>0.37179154820029359</c:v>
                </c:pt>
                <c:pt idx="61">
                  <c:v>0.37910785567397104</c:v>
                </c:pt>
                <c:pt idx="62">
                  <c:v>0.38644563934238196</c:v>
                </c:pt>
                <c:pt idx="63">
                  <c:v>0.39380495022346418</c:v>
                </c:pt>
                <c:pt idx="64">
                  <c:v>0.40118583977907063</c:v>
                </c:pt>
                <c:pt idx="65">
                  <c:v>0.40858835991720144</c:v>
                </c:pt>
                <c:pt idx="66">
                  <c:v>0.41601256299425993</c:v>
                </c:pt>
                <c:pt idx="67">
                  <c:v>0.4234585018173328</c:v>
                </c:pt>
                <c:pt idx="68">
                  <c:v>0.43092622964649485</c:v>
                </c:pt>
                <c:pt idx="69">
                  <c:v>0.43841580019713744</c:v>
                </c:pt>
                <c:pt idx="70">
                  <c:v>0.44592726764232338</c:v>
                </c:pt>
                <c:pt idx="71">
                  <c:v>0.4534606866151647</c:v>
                </c:pt>
                <c:pt idx="72">
                  <c:v>0.46101611221122735</c:v>
                </c:pt>
                <c:pt idx="73">
                  <c:v>0.46859359999096029</c:v>
                </c:pt>
                <c:pt idx="74">
                  <c:v>0.47619320598215104</c:v>
                </c:pt>
                <c:pt idx="75">
                  <c:v>0.48381498668240541</c:v>
                </c:pt>
                <c:pt idx="76">
                  <c:v>0.49145899906165585</c:v>
                </c:pt>
                <c:pt idx="77">
                  <c:v>0.49912530056469334</c:v>
                </c:pt>
                <c:pt idx="78">
                  <c:v>0.50681394911372757</c:v>
                </c:pt>
                <c:pt idx="79">
                  <c:v>0.51452500311097327</c:v>
                </c:pt>
                <c:pt idx="80">
                  <c:v>0.52225852144126339</c:v>
                </c:pt>
                <c:pt idx="81">
                  <c:v>0.53001456347468934</c:v>
                </c:pt>
                <c:pt idx="82">
                  <c:v>0.53779318906926887</c:v>
                </c:pt>
                <c:pt idx="83">
                  <c:v>0.5455944585736423</c:v>
                </c:pt>
                <c:pt idx="84">
                  <c:v>0.5534184328297943</c:v>
                </c:pt>
                <c:pt idx="85">
                  <c:v>0.56126517317580682</c:v>
                </c:pt>
                <c:pt idx="86">
                  <c:v>0.56913474144863851</c:v>
                </c:pt>
                <c:pt idx="87">
                  <c:v>0.57702719998693253</c:v>
                </c:pt>
                <c:pt idx="88">
                  <c:v>0.58494261163385475</c:v>
                </c:pt>
                <c:pt idx="89">
                  <c:v>0.59288103973995976</c:v>
                </c:pt>
                <c:pt idx="90">
                  <c:v>0.60084254816608662</c:v>
                </c:pt>
                <c:pt idx="91">
                  <c:v>0.6088272012862852</c:v>
                </c:pt>
                <c:pt idx="92">
                  <c:v>0.61683506399077026</c:v>
                </c:pt>
                <c:pt idx="93">
                  <c:v>0.62486620168890838</c:v>
                </c:pt>
                <c:pt idx="94">
                  <c:v>0.63292068031223292</c:v>
                </c:pt>
                <c:pt idx="95">
                  <c:v>0.64099856631749164</c:v>
                </c:pt>
                <c:pt idx="96">
                  <c:v>0.64909992668972438</c:v>
                </c:pt>
                <c:pt idx="97">
                  <c:v>0.65722482894537182</c:v>
                </c:pt>
                <c:pt idx="98">
                  <c:v>0.66537334113541635</c:v>
                </c:pt>
                <c:pt idx="99">
                  <c:v>0.67354553184855503</c:v>
                </c:pt>
                <c:pt idx="100">
                  <c:v>0.6817414702144039</c:v>
                </c:pt>
              </c:numCache>
            </c:numRef>
          </c:yVal>
          <c:smooth val="0"/>
          <c:extLst>
            <c:ext xmlns:c16="http://schemas.microsoft.com/office/drawing/2014/chart" uri="{C3380CC4-5D6E-409C-BE32-E72D297353CC}">
              <c16:uniqueId val="{00000000-43BE-4445-8235-AC1A889A3262}"/>
            </c:ext>
          </c:extLst>
        </c:ser>
        <c:ser>
          <c:idx val="3"/>
          <c:order val="1"/>
          <c:tx>
            <c:strRef>
              <c:f>'Ch2 Efficiency Calculations'!$BD$8</c:f>
              <c:strCache>
                <c:ptCount val="1"/>
                <c:pt idx="0">
                  <c:v>SYNC MOSFET Loss</c:v>
                </c:pt>
              </c:strCache>
            </c:strRef>
          </c:tx>
          <c:spPr>
            <a:ln w="25400">
              <a:solidFill>
                <a:srgbClr val="FF000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Calculations'!$BD$9:$BD$109</c:f>
              <c:numCache>
                <c:formatCode>0.000</c:formatCode>
                <c:ptCount val="101"/>
                <c:pt idx="0">
                  <c:v>2.5594227569933171E-2</c:v>
                </c:pt>
                <c:pt idx="1">
                  <c:v>2.7850401408197098E-2</c:v>
                </c:pt>
                <c:pt idx="2">
                  <c:v>3.0171114280152247E-2</c:v>
                </c:pt>
                <c:pt idx="3">
                  <c:v>3.2556380520300077E-2</c:v>
                </c:pt>
                <c:pt idx="4">
                  <c:v>3.5006219436888621E-2</c:v>
                </c:pt>
                <c:pt idx="5">
                  <c:v>3.7520655314768503E-2</c:v>
                </c:pt>
                <c:pt idx="6">
                  <c:v>4.0099717419208036E-2</c:v>
                </c:pt>
                <c:pt idx="7">
                  <c:v>4.2743440000668549E-2</c:v>
                </c:pt>
                <c:pt idx="8">
                  <c:v>4.5451862300541254E-2</c:v>
                </c:pt>
                <c:pt idx="9">
                  <c:v>4.8225028557847993E-2</c:v>
                </c:pt>
                <c:pt idx="10">
                  <c:v>5.1062988016907764E-2</c:v>
                </c:pt>
                <c:pt idx="11">
                  <c:v>5.3965794935971756E-2</c:v>
                </c:pt>
                <c:pt idx="12">
                  <c:v>5.6933508596829989E-2</c:v>
                </c:pt>
                <c:pt idx="13">
                  <c:v>5.9966193315392498E-2</c:v>
                </c:pt>
                <c:pt idx="14">
                  <c:v>6.3063918453249226E-2</c:v>
                </c:pt>
                <c:pt idx="15">
                  <c:v>6.6226758430212126E-2</c:v>
                </c:pt>
                <c:pt idx="16">
                  <c:v>6.9454792737844259E-2</c:v>
                </c:pt>
                <c:pt idx="17">
                  <c:v>7.274810595398043E-2</c:v>
                </c:pt>
                <c:pt idx="18">
                  <c:v>7.6106787758244296E-2</c:v>
                </c:pt>
                <c:pt idx="19">
                  <c:v>7.9530932948568056E-2</c:v>
                </c:pt>
                <c:pt idx="20">
                  <c:v>8.3020641458719541E-2</c:v>
                </c:pt>
                <c:pt idx="21">
                  <c:v>8.6576018376843866E-2</c:v>
                </c:pt>
                <c:pt idx="22">
                  <c:v>9.0197173965025759E-2</c:v>
                </c:pt>
                <c:pt idx="23">
                  <c:v>9.3884223679879419E-2</c:v>
                </c:pt>
                <c:pt idx="24">
                  <c:v>9.7637288194173888E-2</c:v>
                </c:pt>
                <c:pt idx="25">
                  <c:v>0.10145649341950048</c:v>
                </c:pt>
                <c:pt idx="26">
                  <c:v>0.10534197052999204</c:v>
                </c:pt>
                <c:pt idx="27">
                  <c:v>0.10929385598710094</c:v>
                </c:pt>
                <c:pt idx="28">
                  <c:v>0.11331229156544573</c:v>
                </c:pt>
                <c:pt idx="29">
                  <c:v>0.11739742437973569</c:v>
                </c:pt>
                <c:pt idx="30">
                  <c:v>0.12154940691278243</c:v>
                </c:pt>
                <c:pt idx="31">
                  <c:v>0.12576839704460957</c:v>
                </c:pt>
                <c:pt idx="32">
                  <c:v>0.13005455808267036</c:v>
                </c:pt>
                <c:pt idx="33">
                  <c:v>0.13440805879318476</c:v>
                </c:pt>
                <c:pt idx="34">
                  <c:v>0.13882907343360704</c:v>
                </c:pt>
                <c:pt idx="35">
                  <c:v>0.14331778178623603</c:v>
                </c:pt>
                <c:pt idx="36">
                  <c:v>0.14787436919298078</c:v>
                </c:pt>
                <c:pt idx="37">
                  <c:v>0.15249902659129339</c:v>
                </c:pt>
                <c:pt idx="38">
                  <c:v>0.15719195055128338</c:v>
                </c:pt>
                <c:pt idx="39">
                  <c:v>0.16210495320338689</c:v>
                </c:pt>
                <c:pt idx="40">
                  <c:v>0.16719625460619775</c:v>
                </c:pt>
                <c:pt idx="41">
                  <c:v>0.17235672323560725</c:v>
                </c:pt>
                <c:pt idx="42">
                  <c:v>0.1775865891912331</c:v>
                </c:pt>
                <c:pt idx="43">
                  <c:v>0.18288608845337784</c:v>
                </c:pt>
                <c:pt idx="44">
                  <c:v>0.18825546292903447</c:v>
                </c:pt>
                <c:pt idx="45">
                  <c:v>0.19369496049919388</c:v>
                </c:pt>
                <c:pt idx="46">
                  <c:v>0.19920483506747155</c:v>
                </c:pt>
                <c:pt idx="47">
                  <c:v>0.20478534661007208</c:v>
                </c:pt>
                <c:pt idx="48">
                  <c:v>0.21043676122711025</c:v>
                </c:pt>
                <c:pt idx="49">
                  <c:v>0.21615935119530816</c:v>
                </c:pt>
                <c:pt idx="50">
                  <c:v>0.22195339502208888</c:v>
                </c:pt>
                <c:pt idx="51">
                  <c:v>0.22781917750108699</c:v>
                </c:pt>
                <c:pt idx="52">
                  <c:v>0.23375698976909709</c:v>
                </c:pt>
                <c:pt idx="53">
                  <c:v>0.23976712936448319</c:v>
                </c:pt>
                <c:pt idx="54">
                  <c:v>0.24584990028707021</c:v>
                </c:pt>
                <c:pt idx="55">
                  <c:v>0.25200561305954228</c:v>
                </c:pt>
                <c:pt idx="56">
                  <c:v>0.25823458479037076</c:v>
                </c:pt>
                <c:pt idx="57">
                  <c:v>0.26453713923829708</c:v>
                </c:pt>
                <c:pt idx="58">
                  <c:v>0.27091360687839544</c:v>
                </c:pt>
                <c:pt idx="59">
                  <c:v>0.27736432496974173</c:v>
                </c:pt>
                <c:pt idx="60">
                  <c:v>0.28388963762471564</c:v>
                </c:pt>
                <c:pt idx="61">
                  <c:v>0.29048989587996293</c:v>
                </c:pt>
                <c:pt idx="62">
                  <c:v>0.29716545776904607</c:v>
                </c:pt>
                <c:pt idx="63">
                  <c:v>0.30391668839681407</c:v>
                </c:pt>
                <c:pt idx="64">
                  <c:v>0.31074396001551918</c:v>
                </c:pt>
                <c:pt idx="65">
                  <c:v>0.31764765210271206</c:v>
                </c:pt>
                <c:pt idx="66">
                  <c:v>0.32462815144094798</c:v>
                </c:pt>
                <c:pt idx="67">
                  <c:v>0.33168585219933622</c:v>
                </c:pt>
                <c:pt idx="68">
                  <c:v>0.33882115601696372</c:v>
                </c:pt>
                <c:pt idx="69">
                  <c:v>0.34603447208823174</c:v>
                </c:pt>
                <c:pt idx="70">
                  <c:v>0.35332621725013613</c:v>
                </c:pt>
                <c:pt idx="71">
                  <c:v>0.3606968160715317</c:v>
                </c:pt>
                <c:pt idx="72">
                  <c:v>0.36814670094441393</c:v>
                </c:pt>
                <c:pt idx="73">
                  <c:v>0.37567631217725916</c:v>
                </c:pt>
                <c:pt idx="74">
                  <c:v>0.38328609809046238</c:v>
                </c:pt>
                <c:pt idx="75">
                  <c:v>0.39097651511391007</c:v>
                </c:pt>
                <c:pt idx="76">
                  <c:v>0.39874802788673414</c:v>
                </c:pt>
                <c:pt idx="77">
                  <c:v>0.4066011093592849</c:v>
                </c:pt>
                <c:pt idx="78">
                  <c:v>0.41453624089737051</c:v>
                </c:pt>
                <c:pt idx="79">
                  <c:v>0.42255391238880641</c:v>
                </c:pt>
                <c:pt idx="80">
                  <c:v>0.43065462235231922</c:v>
                </c:pt>
                <c:pt idx="81">
                  <c:v>0.43883887804885613</c:v>
                </c:pt>
                <c:pt idx="82">
                  <c:v>0.4471071955953459</c:v>
                </c:pt>
                <c:pt idx="83">
                  <c:v>0.45546010008096116</c:v>
                </c:pt>
                <c:pt idx="84">
                  <c:v>0.46389812568593608</c:v>
                </c:pt>
                <c:pt idx="85">
                  <c:v>0.47242181580298959</c:v>
                </c:pt>
                <c:pt idx="86">
                  <c:v>0.48103172316140996</c:v>
                </c:pt>
                <c:pt idx="87">
                  <c:v>0.48972840995385425</c:v>
                </c:pt>
                <c:pt idx="88">
                  <c:v>0.49851244796592475</c:v>
                </c:pt>
                <c:pt idx="89">
                  <c:v>0.50738441870857476</c:v>
                </c:pt>
                <c:pt idx="90">
                  <c:v>0.51634491355340906</c:v>
                </c:pt>
                <c:pt idx="91">
                  <c:v>0.52539453387094015</c:v>
                </c:pt>
                <c:pt idx="92">
                  <c:v>0.53453389117186101</c:v>
                </c:pt>
                <c:pt idx="93">
                  <c:v>0.54376360725140582</c:v>
                </c:pt>
                <c:pt idx="94">
                  <c:v>0.55308431433685878</c:v>
                </c:pt>
                <c:pt idx="95">
                  <c:v>0.56249665523828773</c:v>
                </c:pt>
                <c:pt idx="96">
                  <c:v>0.57200128350256652</c:v>
                </c:pt>
                <c:pt idx="97">
                  <c:v>0.58159886357076562</c:v>
                </c:pt>
                <c:pt idx="98">
                  <c:v>0.59129007093898023</c:v>
                </c:pt>
                <c:pt idx="99">
                  <c:v>0.60107559232268093</c:v>
                </c:pt>
                <c:pt idx="100">
                  <c:v>0.61095612582465408</c:v>
                </c:pt>
              </c:numCache>
            </c:numRef>
          </c:yVal>
          <c:smooth val="0"/>
          <c:extLst>
            <c:ext xmlns:c16="http://schemas.microsoft.com/office/drawing/2014/chart" uri="{C3380CC4-5D6E-409C-BE32-E72D297353CC}">
              <c16:uniqueId val="{00000001-43BE-4445-8235-AC1A889A3262}"/>
            </c:ext>
          </c:extLst>
        </c:ser>
        <c:ser>
          <c:idx val="0"/>
          <c:order val="2"/>
          <c:tx>
            <c:v>Inductor Loss</c:v>
          </c:tx>
          <c:spPr>
            <a:ln w="31750">
              <a:solidFill>
                <a:srgbClr val="FF6600"/>
              </a:solidFill>
              <a:prstDash val="lgDash"/>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Calculations'!$U$9:$U$109</c:f>
              <c:numCache>
                <c:formatCode>0.000</c:formatCode>
                <c:ptCount val="101"/>
                <c:pt idx="0">
                  <c:v>0.33607907292567174</c:v>
                </c:pt>
                <c:pt idx="1">
                  <c:v>0.3361609989655488</c:v>
                </c:pt>
                <c:pt idx="2">
                  <c:v>0.33639122002963096</c:v>
                </c:pt>
                <c:pt idx="3">
                  <c:v>0.33676975207638121</c:v>
                </c:pt>
                <c:pt idx="4">
                  <c:v>0.33729662134690475</c:v>
                </c:pt>
                <c:pt idx="5">
                  <c:v>0.33797186436949678</c:v>
                </c:pt>
                <c:pt idx="6">
                  <c:v>0.33879552796597517</c:v>
                </c:pt>
                <c:pt idx="7">
                  <c:v>0.33976766925979829</c:v>
                </c:pt>
                <c:pt idx="8">
                  <c:v>0.34088835568597231</c:v>
                </c:pt>
                <c:pt idx="9">
                  <c:v>0.34215766500274913</c:v>
                </c:pt>
                <c:pt idx="10">
                  <c:v>0.34357568530512139</c:v>
                </c:pt>
                <c:pt idx="11">
                  <c:v>0.34514251504011689</c:v>
                </c:pt>
                <c:pt idx="12">
                  <c:v>0.34685826302389722</c:v>
                </c:pt>
                <c:pt idx="13">
                  <c:v>0.34872304846066848</c:v>
                </c:pt>
                <c:pt idx="14">
                  <c:v>0.35073700096340765</c:v>
                </c:pt>
                <c:pt idx="15">
                  <c:v>0.35290026057641205</c:v>
                </c:pt>
                <c:pt idx="16">
                  <c:v>0.3552129777996807</c:v>
                </c:pt>
                <c:pt idx="17">
                  <c:v>0.35767531361513355</c:v>
                </c:pt>
                <c:pt idx="18">
                  <c:v>0.36028743951467779</c:v>
                </c:pt>
                <c:pt idx="19">
                  <c:v>0.36304953753013131</c:v>
                </c:pt>
                <c:pt idx="20">
                  <c:v>0.36596180026501129</c:v>
                </c:pt>
                <c:pt idx="21">
                  <c:v>0.36902443092820031</c:v>
                </c:pt>
                <c:pt idx="22">
                  <c:v>0.37223764336949916</c:v>
                </c:pt>
                <c:pt idx="23">
                  <c:v>0.3756016621170794</c:v>
                </c:pt>
                <c:pt idx="24">
                  <c:v>0.37911672241684707</c:v>
                </c:pt>
                <c:pt idx="25">
                  <c:v>0.38278307027373099</c:v>
                </c:pt>
                <c:pt idx="26">
                  <c:v>0.38660096249490877</c:v>
                </c:pt>
                <c:pt idx="27">
                  <c:v>0.39057066673498531</c:v>
                </c:pt>
                <c:pt idx="28">
                  <c:v>0.39469246154313831</c:v>
                </c:pt>
                <c:pt idx="29">
                  <c:v>0.39896663641224656</c:v>
                </c:pt>
                <c:pt idx="30">
                  <c:v>0.4033934918300166</c:v>
                </c:pt>
                <c:pt idx="31">
                  <c:v>0.40797333933212643</c:v>
                </c:pt>
                <c:pt idx="32">
                  <c:v>0.41270650155740157</c:v>
                </c:pt>
                <c:pt idx="33">
                  <c:v>0.41759331230504393</c:v>
                </c:pt>
                <c:pt idx="34">
                  <c:v>0.42263411659393141</c:v>
                </c:pt>
                <c:pt idx="35">
                  <c:v>0.4278292707240075</c:v>
                </c:pt>
                <c:pt idx="36">
                  <c:v>0.43317914233978394</c:v>
                </c:pt>
                <c:pt idx="37">
                  <c:v>0.43868411049597444</c:v>
                </c:pt>
                <c:pt idx="38">
                  <c:v>0.44434456572528391</c:v>
                </c:pt>
                <c:pt idx="39">
                  <c:v>0.45016091010837539</c:v>
                </c:pt>
                <c:pt idx="40">
                  <c:v>0.45613355734603744</c:v>
                </c:pt>
                <c:pt idx="41">
                  <c:v>0.46226293283357817</c:v>
                </c:pt>
                <c:pt idx="42">
                  <c:v>0.46854947373746902</c:v>
                </c:pt>
                <c:pt idx="43">
                  <c:v>0.47499362907426657</c:v>
                </c:pt>
                <c:pt idx="44">
                  <c:v>0.48159585979183755</c:v>
                </c:pt>
                <c:pt idx="45">
                  <c:v>0.48835663885291586</c:v>
                </c:pt>
                <c:pt idx="46">
                  <c:v>0.49527645132101922</c:v>
                </c:pt>
                <c:pt idx="47">
                  <c:v>0.50235579444875667</c:v>
                </c:pt>
                <c:pt idx="48">
                  <c:v>0.50959517776855545</c:v>
                </c:pt>
                <c:pt idx="49">
                  <c:v>0.51699512318583973</c:v>
                </c:pt>
                <c:pt idx="50">
                  <c:v>0.5245561650746936</c:v>
                </c:pt>
                <c:pt idx="51">
                  <c:v>0.53227885037604084</c:v>
                </c:pt>
                <c:pt idx="52">
                  <c:v>0.54016373869837642</c:v>
                </c:pt>
                <c:pt idx="53">
                  <c:v>0.54821140242108413</c:v>
                </c:pt>
                <c:pt idx="54">
                  <c:v>0.55642242680037779</c:v>
                </c:pt>
                <c:pt idx="55">
                  <c:v>0.56479741007790241</c:v>
                </c:pt>
                <c:pt idx="56">
                  <c:v>0.57333696359203368</c:v>
                </c:pt>
                <c:pt idx="57">
                  <c:v>0.58204171189191523</c:v>
                </c:pt>
                <c:pt idx="58">
                  <c:v>0.59091229285427527</c:v>
                </c:pt>
                <c:pt idx="59">
                  <c:v>0.59994935780306302</c:v>
                </c:pt>
                <c:pt idx="60">
                  <c:v>0.60915357163194739</c:v>
                </c:pt>
                <c:pt idx="61">
                  <c:v>0.61852561292972308</c:v>
                </c:pt>
                <c:pt idx="62">
                  <c:v>0.62806617410867005</c:v>
                </c:pt>
                <c:pt idx="63">
                  <c:v>0.63777596153590921</c:v>
                </c:pt>
                <c:pt idx="64">
                  <c:v>0.64765569566780679</c:v>
                </c:pt>
                <c:pt idx="65">
                  <c:v>0.6577061111874718</c:v>
                </c:pt>
                <c:pt idx="66">
                  <c:v>0.66792795714540076</c:v>
                </c:pt>
                <c:pt idx="67">
                  <c:v>0.67832199710331864</c:v>
                </c:pt>
                <c:pt idx="68">
                  <c:v>0.68888900928126995</c:v>
                </c:pt>
                <c:pt idx="69">
                  <c:v>0.69962978670801468</c:v>
                </c:pt>
                <c:pt idx="70">
                  <c:v>0.71054513737478475</c:v>
                </c:pt>
                <c:pt idx="71">
                  <c:v>0.72163588439245785</c:v>
                </c:pt>
                <c:pt idx="72">
                  <c:v>0.73290286615220801</c:v>
                </c:pt>
                <c:pt idx="73">
                  <c:v>0.74434693648969297</c:v>
                </c:pt>
                <c:pt idx="74">
                  <c:v>0.75596896485284126</c:v>
                </c:pt>
                <c:pt idx="75">
                  <c:v>0.76776983647330066</c:v>
                </c:pt>
                <c:pt idx="76">
                  <c:v>0.77975045254161524</c:v>
                </c:pt>
                <c:pt idx="77">
                  <c:v>0.79191173038619733</c:v>
                </c:pt>
                <c:pt idx="78">
                  <c:v>0.80425460365616253</c:v>
                </c:pt>
                <c:pt idx="79">
                  <c:v>0.81678002250809845</c:v>
                </c:pt>
                <c:pt idx="80">
                  <c:v>0.82948895379684018</c:v>
                </c:pt>
                <c:pt idx="81">
                  <c:v>0.8423823812703275</c:v>
                </c:pt>
                <c:pt idx="82">
                  <c:v>0.85546130576861601</c:v>
                </c:pt>
                <c:pt idx="83">
                  <c:v>0.86872674542712658</c:v>
                </c:pt>
                <c:pt idx="84">
                  <c:v>0.88217973588420606</c:v>
                </c:pt>
                <c:pt idx="85">
                  <c:v>0.89582133049308843</c:v>
                </c:pt>
                <c:pt idx="86">
                  <c:v>0.90965260053833707</c:v>
                </c:pt>
                <c:pt idx="87">
                  <c:v>0.92367463545685236</c:v>
                </c:pt>
                <c:pt idx="88">
                  <c:v>0.93788854306354086</c:v>
                </c:pt>
                <c:pt idx="89">
                  <c:v>0.95229544978172898</c:v>
                </c:pt>
                <c:pt idx="90">
                  <c:v>0.96689650087842116</c:v>
                </c:pt>
                <c:pt idx="91">
                  <c:v>0.98169286070449246</c:v>
                </c:pt>
                <c:pt idx="92">
                  <c:v>0.99668571293992159</c:v>
                </c:pt>
                <c:pt idx="93">
                  <c:v>1.0118762608441567</c:v>
                </c:pt>
                <c:pt idx="94">
                  <c:v>1.0272657275117245</c:v>
                </c:pt>
                <c:pt idx="95">
                  <c:v>1.0428553561331879</c:v>
                </c:pt>
                <c:pt idx="96">
                  <c:v>1.0586464102615543</c:v>
                </c:pt>
                <c:pt idx="97">
                  <c:v>1.0746401740842595</c:v>
                </c:pt>
                <c:pt idx="98">
                  <c:v>1.0908379527008278</c:v>
                </c:pt>
                <c:pt idx="99">
                  <c:v>1.1072410724063435</c:v>
                </c:pt>
                <c:pt idx="100">
                  <c:v>1.1238508809808283</c:v>
                </c:pt>
              </c:numCache>
            </c:numRef>
          </c:yVal>
          <c:smooth val="0"/>
          <c:extLst>
            <c:ext xmlns:c16="http://schemas.microsoft.com/office/drawing/2014/chart" uri="{C3380CC4-5D6E-409C-BE32-E72D297353CC}">
              <c16:uniqueId val="{00000002-43BE-4445-8235-AC1A889A3262}"/>
            </c:ext>
          </c:extLst>
        </c:ser>
        <c:dLbls>
          <c:showLegendKey val="0"/>
          <c:showVal val="0"/>
          <c:showCatName val="0"/>
          <c:showSerName val="0"/>
          <c:showPercent val="0"/>
          <c:showBubbleSize val="0"/>
        </c:dLbls>
        <c:axId val="152298240"/>
        <c:axId val="152300160"/>
      </c:scatterChart>
      <c:valAx>
        <c:axId val="152298240"/>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300160"/>
        <c:crosses val="autoZero"/>
        <c:crossBetween val="midCat"/>
      </c:valAx>
      <c:valAx>
        <c:axId val="15230016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52298240"/>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xVal>
          <c:yVal>
            <c:numRef>
              <c:f>'Ch2 Efficiency Calculations'!$AV$9:$AV$109</c:f>
              <c:numCache>
                <c:formatCode>0.0%</c:formatCode>
                <c:ptCount val="101"/>
                <c:pt idx="0">
                  <c:v>0</c:v>
                </c:pt>
                <c:pt idx="1">
                  <c:v>0.44228986436556184</c:v>
                </c:pt>
                <c:pt idx="2">
                  <c:v>0.61045098097102002</c:v>
                </c:pt>
                <c:pt idx="3">
                  <c:v>0.69763819414252037</c:v>
                </c:pt>
                <c:pt idx="4">
                  <c:v>0.75053660910507769</c:v>
                </c:pt>
                <c:pt idx="5">
                  <c:v>0.78634254861947872</c:v>
                </c:pt>
                <c:pt idx="6">
                  <c:v>0.81220263515696645</c:v>
                </c:pt>
                <c:pt idx="7">
                  <c:v>0.83176668831481637</c:v>
                </c:pt>
                <c:pt idx="8">
                  <c:v>0.84709333131422915</c:v>
                </c:pt>
                <c:pt idx="9">
                  <c:v>0.85943190266489355</c:v>
                </c:pt>
                <c:pt idx="10">
                  <c:v>0.86958455095890896</c:v>
                </c:pt>
                <c:pt idx="11">
                  <c:v>0.8780898851661284</c:v>
                </c:pt>
                <c:pt idx="12">
                  <c:v>0.88532298937000431</c:v>
                </c:pt>
                <c:pt idx="13">
                  <c:v>0.89155310334054938</c:v>
                </c:pt>
                <c:pt idx="14">
                  <c:v>0.89697849700862609</c:v>
                </c:pt>
                <c:pt idx="15">
                  <c:v>0.90174840853576255</c:v>
                </c:pt>
                <c:pt idx="16">
                  <c:v>0.90597731844672125</c:v>
                </c:pt>
                <c:pt idx="17">
                  <c:v>0.90975451154118159</c:v>
                </c:pt>
                <c:pt idx="18">
                  <c:v>0.91315064681811364</c:v>
                </c:pt>
                <c:pt idx="19">
                  <c:v>0.91622237352289604</c:v>
                </c:pt>
                <c:pt idx="20">
                  <c:v>0.91901563922582108</c:v>
                </c:pt>
                <c:pt idx="21">
                  <c:v>0.92156810281875212</c:v>
                </c:pt>
                <c:pt idx="22">
                  <c:v>0.9239109227886102</c:v>
                </c:pt>
                <c:pt idx="23">
                  <c:v>0.92607010165931547</c:v>
                </c:pt>
                <c:pt idx="24">
                  <c:v>0.92806751001095955</c:v>
                </c:pt>
                <c:pt idx="25">
                  <c:v>0.92992167576698326</c:v>
                </c:pt>
                <c:pt idx="26">
                  <c:v>0.93164839921381215</c:v>
                </c:pt>
                <c:pt idx="27">
                  <c:v>0.93326123704917485</c:v>
                </c:pt>
                <c:pt idx="28">
                  <c:v>0.93477188688319457</c:v>
                </c:pt>
                <c:pt idx="29">
                  <c:v>0.93619049528520404</c:v>
                </c:pt>
                <c:pt idx="30">
                  <c:v>0.93752590654321588</c:v>
                </c:pt>
                <c:pt idx="31">
                  <c:v>0.93878586503459982</c:v>
                </c:pt>
                <c:pt idx="32">
                  <c:v>0.93997718099609617</c:v>
                </c:pt>
                <c:pt idx="33">
                  <c:v>0.94110586718999523</c:v>
                </c:pt>
                <c:pt idx="34">
                  <c:v>0.94217725225828752</c:v>
                </c:pt>
                <c:pt idx="35">
                  <c:v>0.94319607527573979</c:v>
                </c:pt>
                <c:pt idx="36">
                  <c:v>0.94416656504211183</c:v>
                </c:pt>
                <c:pt idx="37">
                  <c:v>0.94509250691183033</c:v>
                </c:pt>
                <c:pt idx="38">
                  <c:v>0.94597729938799147</c:v>
                </c:pt>
                <c:pt idx="39">
                  <c:v>0.94658273097873102</c:v>
                </c:pt>
                <c:pt idx="40">
                  <c:v>0.94697909840413697</c:v>
                </c:pt>
                <c:pt idx="41">
                  <c:v>0.94734308898272968</c:v>
                </c:pt>
                <c:pt idx="42">
                  <c:v>0.9476769402266757</c:v>
                </c:pt>
                <c:pt idx="43">
                  <c:v>0.94798268627691618</c:v>
                </c:pt>
                <c:pt idx="44">
                  <c:v>0.94826218042769972</c:v>
                </c:pt>
                <c:pt idx="45">
                  <c:v>0.94851711472188149</c:v>
                </c:pt>
                <c:pt idx="46">
                  <c:v>0.94874903705196545</c:v>
                </c:pt>
                <c:pt idx="47">
                  <c:v>0.9489593661295882</c:v>
                </c:pt>
                <c:pt idx="48">
                  <c:v>0.94914940462708708</c:v>
                </c:pt>
                <c:pt idx="49">
                  <c:v>0.94932035074635068</c:v>
                </c:pt>
                <c:pt idx="50">
                  <c:v>0.94947330843022815</c:v>
                </c:pt>
                <c:pt idx="51">
                  <c:v>0.94960929639873992</c:v>
                </c:pt>
                <c:pt idx="52">
                  <c:v>0.94972925616489867</c:v>
                </c:pt>
                <c:pt idx="53">
                  <c:v>0.94983405916207142</c:v>
                </c:pt>
                <c:pt idx="54">
                  <c:v>0.94992451309567394</c:v>
                </c:pt>
                <c:pt idx="55">
                  <c:v>0.95000136761591525</c:v>
                </c:pt>
                <c:pt idx="56">
                  <c:v>0.95006531939476557</c:v>
                </c:pt>
                <c:pt idx="57">
                  <c:v>0.95011701667888204</c:v>
                </c:pt>
                <c:pt idx="58">
                  <c:v>0.95015706338051664</c:v>
                </c:pt>
                <c:pt idx="59">
                  <c:v>0.95018602276018382</c:v>
                </c:pt>
                <c:pt idx="60">
                  <c:v>0.95020442074782774</c:v>
                </c:pt>
                <c:pt idx="61">
                  <c:v>0.95021274894321006</c:v>
                </c:pt>
                <c:pt idx="62">
                  <c:v>0.95021146733108142</c:v>
                </c:pt>
                <c:pt idx="63">
                  <c:v>0.95020100674226371</c:v>
                </c:pt>
                <c:pt idx="64">
                  <c:v>0.95018177108794566</c:v>
                </c:pt>
                <c:pt idx="65">
                  <c:v>0.95015413939119431</c:v>
                </c:pt>
                <c:pt idx="66">
                  <c:v>0.95011846763682339</c:v>
                </c:pt>
                <c:pt idx="67">
                  <c:v>0.95007509045827654</c:v>
                </c:pt>
                <c:pt idx="68">
                  <c:v>0.95002432267802694</c:v>
                </c:pt>
                <c:pt idx="69">
                  <c:v>0.9499664607161119</c:v>
                </c:pt>
                <c:pt idx="70">
                  <c:v>0.94990178387977298</c:v>
                </c:pt>
                <c:pt idx="71">
                  <c:v>0.94983055554574214</c:v>
                </c:pt>
                <c:pt idx="72">
                  <c:v>0.94975302424544228</c:v>
                </c:pt>
                <c:pt idx="73">
                  <c:v>0.94966942466227189</c:v>
                </c:pt>
                <c:pt idx="74">
                  <c:v>0.94957997854915877</c:v>
                </c:pt>
                <c:pt idx="75">
                  <c:v>0.94948489557371363</c:v>
                </c:pt>
                <c:pt idx="76">
                  <c:v>0.94938437409755216</c:v>
                </c:pt>
                <c:pt idx="77">
                  <c:v>0.94927860189568081</c:v>
                </c:pt>
                <c:pt idx="78">
                  <c:v>0.94916775682124599</c:v>
                </c:pt>
                <c:pt idx="79">
                  <c:v>0.94905200742041884</c:v>
                </c:pt>
                <c:pt idx="80">
                  <c:v>0.94893151350171479</c:v>
                </c:pt>
                <c:pt idx="81">
                  <c:v>0.94880642666362991</c:v>
                </c:pt>
                <c:pt idx="82">
                  <c:v>0.94867689078410078</c:v>
                </c:pt>
                <c:pt idx="83">
                  <c:v>0.9485430424749659</c:v>
                </c:pt>
                <c:pt idx="84">
                  <c:v>0.94840501150429934</c:v>
                </c:pt>
                <c:pt idx="85">
                  <c:v>0.94826292118923061</c:v>
                </c:pt>
                <c:pt idx="86">
                  <c:v>0.94811688876161626</c:v>
                </c:pt>
                <c:pt idx="87">
                  <c:v>0.9479670257087206</c:v>
                </c:pt>
                <c:pt idx="88">
                  <c:v>0.94781343809086394</c:v>
                </c:pt>
                <c:pt idx="89">
                  <c:v>0.94765622683782613</c:v>
                </c:pt>
                <c:pt idx="90">
                  <c:v>0.94749548802563566</c:v>
                </c:pt>
                <c:pt idx="91">
                  <c:v>0.94733131313523267</c:v>
                </c:pt>
                <c:pt idx="92">
                  <c:v>0.94716378929436429</c:v>
                </c:pt>
                <c:pt idx="93">
                  <c:v>0.9469929995039611</c:v>
                </c:pt>
                <c:pt idx="94">
                  <c:v>0.94681902285013064</c:v>
                </c:pt>
                <c:pt idx="95">
                  <c:v>0.94664193470281499</c:v>
                </c:pt>
                <c:pt idx="96">
                  <c:v>0.94646180690207293</c:v>
                </c:pt>
                <c:pt idx="97">
                  <c:v>0.94627870793286428</c:v>
                </c:pt>
                <c:pt idx="98">
                  <c:v>0.94609270308914806</c:v>
                </c:pt>
                <c:pt idx="99">
                  <c:v>0.94590385462803939</c:v>
                </c:pt>
                <c:pt idx="100">
                  <c:v>0.94571222191471094</c:v>
                </c:pt>
              </c:numCache>
            </c:numRef>
          </c:yVal>
          <c:smooth val="0"/>
          <c:extLst>
            <c:ext xmlns:c16="http://schemas.microsoft.com/office/drawing/2014/chart" uri="{C3380CC4-5D6E-409C-BE32-E72D297353CC}">
              <c16:uniqueId val="{00000000-D9E8-45F2-A795-7D30E126B9E6}"/>
            </c:ext>
          </c:extLst>
        </c:ser>
        <c:dLbls>
          <c:showLegendKey val="0"/>
          <c:showVal val="0"/>
          <c:showCatName val="0"/>
          <c:showSerName val="0"/>
          <c:showPercent val="0"/>
          <c:showBubbleSize val="0"/>
        </c:dLbls>
        <c:axId val="196013056"/>
        <c:axId val="196195456"/>
      </c:scatterChart>
      <c:valAx>
        <c:axId val="19601305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195456"/>
        <c:crosses val="autoZero"/>
        <c:crossBetween val="midCat"/>
      </c:valAx>
      <c:valAx>
        <c:axId val="196195456"/>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9601305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0.6</c:v>
                </c:pt>
                <c:pt idx="2">
                  <c:v>1.2</c:v>
                </c:pt>
                <c:pt idx="3">
                  <c:v>1.8</c:v>
                </c:pt>
                <c:pt idx="4">
                  <c:v>2.4</c:v>
                </c:pt>
                <c:pt idx="5">
                  <c:v>3</c:v>
                </c:pt>
                <c:pt idx="6">
                  <c:v>3.6</c:v>
                </c:pt>
                <c:pt idx="7">
                  <c:v>4.2</c:v>
                </c:pt>
                <c:pt idx="8">
                  <c:v>4.8</c:v>
                </c:pt>
                <c:pt idx="9">
                  <c:v>5.4</c:v>
                </c:pt>
                <c:pt idx="10">
                  <c:v>6</c:v>
                </c:pt>
                <c:pt idx="11">
                  <c:v>6.6</c:v>
                </c:pt>
                <c:pt idx="12">
                  <c:v>7.2</c:v>
                </c:pt>
                <c:pt idx="13">
                  <c:v>7.8</c:v>
                </c:pt>
                <c:pt idx="14">
                  <c:v>8.4</c:v>
                </c:pt>
                <c:pt idx="15">
                  <c:v>9</c:v>
                </c:pt>
                <c:pt idx="16">
                  <c:v>9.6</c:v>
                </c:pt>
                <c:pt idx="17">
                  <c:v>10.199999999999999</c:v>
                </c:pt>
                <c:pt idx="18">
                  <c:v>10.8</c:v>
                </c:pt>
                <c:pt idx="19">
                  <c:v>11.4</c:v>
                </c:pt>
                <c:pt idx="20">
                  <c:v>12</c:v>
                </c:pt>
                <c:pt idx="21">
                  <c:v>12.6</c:v>
                </c:pt>
                <c:pt idx="22">
                  <c:v>13.2</c:v>
                </c:pt>
                <c:pt idx="23">
                  <c:v>13.8</c:v>
                </c:pt>
                <c:pt idx="24">
                  <c:v>14.4</c:v>
                </c:pt>
                <c:pt idx="25">
                  <c:v>15</c:v>
                </c:pt>
                <c:pt idx="26">
                  <c:v>15.6</c:v>
                </c:pt>
                <c:pt idx="27">
                  <c:v>16.2</c:v>
                </c:pt>
                <c:pt idx="28">
                  <c:v>16.8</c:v>
                </c:pt>
                <c:pt idx="29">
                  <c:v>17.399999999999999</c:v>
                </c:pt>
                <c:pt idx="30">
                  <c:v>18</c:v>
                </c:pt>
                <c:pt idx="31">
                  <c:v>18.600000000000001</c:v>
                </c:pt>
                <c:pt idx="32">
                  <c:v>19.2</c:v>
                </c:pt>
                <c:pt idx="33">
                  <c:v>19.8</c:v>
                </c:pt>
                <c:pt idx="34">
                  <c:v>20.399999999999999</c:v>
                </c:pt>
                <c:pt idx="35">
                  <c:v>21</c:v>
                </c:pt>
                <c:pt idx="36">
                  <c:v>21.6</c:v>
                </c:pt>
                <c:pt idx="37">
                  <c:v>22.2</c:v>
                </c:pt>
                <c:pt idx="38">
                  <c:v>22.8</c:v>
                </c:pt>
                <c:pt idx="39">
                  <c:v>23.4</c:v>
                </c:pt>
                <c:pt idx="40">
                  <c:v>24</c:v>
                </c:pt>
                <c:pt idx="41">
                  <c:v>24.6</c:v>
                </c:pt>
                <c:pt idx="42">
                  <c:v>25.2</c:v>
                </c:pt>
                <c:pt idx="43">
                  <c:v>25.8</c:v>
                </c:pt>
                <c:pt idx="44">
                  <c:v>26.4</c:v>
                </c:pt>
                <c:pt idx="45">
                  <c:v>27</c:v>
                </c:pt>
                <c:pt idx="46">
                  <c:v>27.6</c:v>
                </c:pt>
                <c:pt idx="47">
                  <c:v>28.2</c:v>
                </c:pt>
                <c:pt idx="48">
                  <c:v>28.8</c:v>
                </c:pt>
                <c:pt idx="49">
                  <c:v>29.4</c:v>
                </c:pt>
                <c:pt idx="50">
                  <c:v>30</c:v>
                </c:pt>
                <c:pt idx="51">
                  <c:v>30.6</c:v>
                </c:pt>
                <c:pt idx="52">
                  <c:v>31.2</c:v>
                </c:pt>
                <c:pt idx="53">
                  <c:v>31.8</c:v>
                </c:pt>
                <c:pt idx="54">
                  <c:v>32.4</c:v>
                </c:pt>
                <c:pt idx="55">
                  <c:v>33</c:v>
                </c:pt>
                <c:pt idx="56">
                  <c:v>33.6</c:v>
                </c:pt>
                <c:pt idx="57">
                  <c:v>34.200000000000003</c:v>
                </c:pt>
                <c:pt idx="58">
                  <c:v>34.799999999999997</c:v>
                </c:pt>
                <c:pt idx="59">
                  <c:v>35.4</c:v>
                </c:pt>
                <c:pt idx="60">
                  <c:v>36</c:v>
                </c:pt>
                <c:pt idx="61">
                  <c:v>36.6</c:v>
                </c:pt>
                <c:pt idx="62">
                  <c:v>37.200000000000003</c:v>
                </c:pt>
                <c:pt idx="63">
                  <c:v>37.799999999999997</c:v>
                </c:pt>
                <c:pt idx="64">
                  <c:v>38.4</c:v>
                </c:pt>
                <c:pt idx="65">
                  <c:v>39</c:v>
                </c:pt>
                <c:pt idx="66">
                  <c:v>39.6</c:v>
                </c:pt>
                <c:pt idx="67">
                  <c:v>40.200000000000003</c:v>
                </c:pt>
                <c:pt idx="68">
                  <c:v>40.799999999999997</c:v>
                </c:pt>
                <c:pt idx="69">
                  <c:v>41.4</c:v>
                </c:pt>
                <c:pt idx="70">
                  <c:v>42</c:v>
                </c:pt>
                <c:pt idx="71">
                  <c:v>42.6</c:v>
                </c:pt>
                <c:pt idx="72">
                  <c:v>43.2</c:v>
                </c:pt>
                <c:pt idx="73">
                  <c:v>43.8</c:v>
                </c:pt>
                <c:pt idx="74">
                  <c:v>44.4</c:v>
                </c:pt>
                <c:pt idx="75">
                  <c:v>45</c:v>
                </c:pt>
                <c:pt idx="76">
                  <c:v>45.6</c:v>
                </c:pt>
                <c:pt idx="77">
                  <c:v>46.2</c:v>
                </c:pt>
                <c:pt idx="78">
                  <c:v>46.8</c:v>
                </c:pt>
                <c:pt idx="79">
                  <c:v>47.4</c:v>
                </c:pt>
                <c:pt idx="80">
                  <c:v>48</c:v>
                </c:pt>
                <c:pt idx="81">
                  <c:v>48.6</c:v>
                </c:pt>
                <c:pt idx="82">
                  <c:v>49.2</c:v>
                </c:pt>
                <c:pt idx="83">
                  <c:v>49.8</c:v>
                </c:pt>
                <c:pt idx="84">
                  <c:v>50.4</c:v>
                </c:pt>
                <c:pt idx="85">
                  <c:v>51</c:v>
                </c:pt>
                <c:pt idx="86">
                  <c:v>51.6</c:v>
                </c:pt>
                <c:pt idx="87">
                  <c:v>52.2</c:v>
                </c:pt>
                <c:pt idx="88">
                  <c:v>52.8</c:v>
                </c:pt>
                <c:pt idx="89">
                  <c:v>53.4</c:v>
                </c:pt>
                <c:pt idx="90">
                  <c:v>54</c:v>
                </c:pt>
                <c:pt idx="91">
                  <c:v>54.6</c:v>
                </c:pt>
                <c:pt idx="92">
                  <c:v>55.2</c:v>
                </c:pt>
                <c:pt idx="93">
                  <c:v>55.8</c:v>
                </c:pt>
                <c:pt idx="94">
                  <c:v>56.4</c:v>
                </c:pt>
                <c:pt idx="95">
                  <c:v>57</c:v>
                </c:pt>
                <c:pt idx="96">
                  <c:v>57.6</c:v>
                </c:pt>
                <c:pt idx="97">
                  <c:v>58.2</c:v>
                </c:pt>
                <c:pt idx="98">
                  <c:v>58.8</c:v>
                </c:pt>
                <c:pt idx="99">
                  <c:v>59.4</c:v>
                </c:pt>
                <c:pt idx="100">
                  <c:v>60</c:v>
                </c:pt>
              </c:numCache>
            </c:numRef>
          </c:cat>
          <c:val>
            <c:numRef>
              <c:f>'Efficiency Calculations'!$AZ$9:$AZ$109</c:f>
              <c:numCache>
                <c:formatCode>0.00</c:formatCode>
                <c:ptCount val="101"/>
                <c:pt idx="0">
                  <c:v>0</c:v>
                </c:pt>
                <c:pt idx="1">
                  <c:v>91.608908419347145</c:v>
                </c:pt>
                <c:pt idx="2">
                  <c:v>95.260533185268741</c:v>
                </c:pt>
                <c:pt idx="3">
                  <c:v>96.538755464834026</c:v>
                </c:pt>
                <c:pt idx="4">
                  <c:v>97.187344446352284</c:v>
                </c:pt>
                <c:pt idx="5">
                  <c:v>97.577885510956634</c:v>
                </c:pt>
                <c:pt idx="6">
                  <c:v>97.837628184826372</c:v>
                </c:pt>
                <c:pt idx="7">
                  <c:v>98.021961873534664</c:v>
                </c:pt>
                <c:pt idx="8">
                  <c:v>98.15886617984961</c:v>
                </c:pt>
                <c:pt idx="9">
                  <c:v>98.299576807184238</c:v>
                </c:pt>
                <c:pt idx="10">
                  <c:v>98.441283949671771</c:v>
                </c:pt>
                <c:pt idx="11">
                  <c:v>98.556222827625334</c:v>
                </c:pt>
                <c:pt idx="12">
                  <c:v>98.651007874376617</c:v>
                </c:pt>
                <c:pt idx="13">
                  <c:v>98.730239642245891</c:v>
                </c:pt>
                <c:pt idx="14">
                  <c:v>98.797217011749268</c:v>
                </c:pt>
                <c:pt idx="15">
                  <c:v>98.854367118984186</c:v>
                </c:pt>
                <c:pt idx="16">
                  <c:v>98.90351544145193</c:v>
                </c:pt>
                <c:pt idx="17">
                  <c:v>98.946061328461582</c:v>
                </c:pt>
                <c:pt idx="18">
                  <c:v>98.983095467373644</c:v>
                </c:pt>
                <c:pt idx="19">
                  <c:v>99.015480523199543</c:v>
                </c:pt>
                <c:pt idx="20">
                  <c:v>99.043907752389785</c:v>
                </c:pt>
                <c:pt idx="21">
                  <c:v>99.068937547032476</c:v>
                </c:pt>
                <c:pt idx="22">
                  <c:v>99.09102899058017</c:v>
                </c:pt>
                <c:pt idx="23">
                  <c:v>99.110561749438759</c:v>
                </c:pt>
                <c:pt idx="24">
                  <c:v>99.12785252298805</c:v>
                </c:pt>
                <c:pt idx="25">
                  <c:v>99.143167567292394</c:v>
                </c:pt>
                <c:pt idx="26">
                  <c:v>99.156732343993809</c:v>
                </c:pt>
                <c:pt idx="27">
                  <c:v>99.168739035912225</c:v>
                </c:pt>
                <c:pt idx="28">
                  <c:v>99.179352460056108</c:v>
                </c:pt>
                <c:pt idx="29">
                  <c:v>99.188714763039215</c:v>
                </c:pt>
                <c:pt idx="30">
                  <c:v>99.196949181705122</c:v>
                </c:pt>
                <c:pt idx="31">
                  <c:v>99.204163079104248</c:v>
                </c:pt>
                <c:pt idx="32">
                  <c:v>99.210450413657625</c:v>
                </c:pt>
                <c:pt idx="33">
                  <c:v>99.215893761238746</c:v>
                </c:pt>
                <c:pt idx="34">
                  <c:v>99.220565981846462</c:v>
                </c:pt>
                <c:pt idx="35">
                  <c:v>99.224531601670989</c:v>
                </c:pt>
                <c:pt idx="36">
                  <c:v>99.22784796568105</c:v>
                </c:pt>
                <c:pt idx="37">
                  <c:v>99.23056620398512</c:v>
                </c:pt>
                <c:pt idx="38">
                  <c:v>99.232732046147049</c:v>
                </c:pt>
                <c:pt idx="39">
                  <c:v>99.234386510649287</c:v>
                </c:pt>
                <c:pt idx="40">
                  <c:v>99.235566491277623</c:v>
                </c:pt>
                <c:pt idx="41">
                  <c:v>99.236305257966421</c:v>
                </c:pt>
                <c:pt idx="42">
                  <c:v>99.236632886314098</c:v>
                </c:pt>
                <c:pt idx="43">
                  <c:v>99.236576627342814</c:v>
                </c:pt>
                <c:pt idx="44">
                  <c:v>99.236161226979263</c:v>
                </c:pt>
                <c:pt idx="45">
                  <c:v>99.235409203052953</c:v>
                </c:pt>
                <c:pt idx="46">
                  <c:v>99.234341086257288</c:v>
                </c:pt>
                <c:pt idx="47">
                  <c:v>99.232975630424562</c:v>
                </c:pt>
                <c:pt idx="48">
                  <c:v>99.231329996576576</c:v>
                </c:pt>
                <c:pt idx="49">
                  <c:v>99.229419914486414</c:v>
                </c:pt>
                <c:pt idx="50">
                  <c:v>99.22725982489068</c:v>
                </c:pt>
                <c:pt idx="51">
                  <c:v>99.224863005000557</c:v>
                </c:pt>
                <c:pt idx="52">
                  <c:v>99.22224167955342</c:v>
                </c:pt>
                <c:pt idx="53">
                  <c:v>99.219407119309494</c:v>
                </c:pt>
                <c:pt idx="54">
                  <c:v>99.216369728616542</c:v>
                </c:pt>
                <c:pt idx="55">
                  <c:v>99.21313912342967</c:v>
                </c:pt>
                <c:pt idx="56">
                  <c:v>99.209724200976609</c:v>
                </c:pt>
                <c:pt idx="57">
                  <c:v>99.206133202090925</c:v>
                </c:pt>
                <c:pt idx="58">
                  <c:v>99.202373767095892</c:v>
                </c:pt>
                <c:pt idx="59">
                  <c:v>99.198452986002039</c:v>
                </c:pt>
                <c:pt idx="60">
                  <c:v>99.194377443679301</c:v>
                </c:pt>
                <c:pt idx="61">
                  <c:v>99.190153260579407</c:v>
                </c:pt>
                <c:pt idx="62">
                  <c:v>99.185786129508585</c:v>
                </c:pt>
                <c:pt idx="63">
                  <c:v>99.181281348888632</c:v>
                </c:pt>
                <c:pt idx="64">
                  <c:v>99.176643852888574</c:v>
                </c:pt>
                <c:pt idx="65">
                  <c:v>99.171878238763057</c:v>
                </c:pt>
                <c:pt idx="66">
                  <c:v>99.166988791692518</c:v>
                </c:pt>
                <c:pt idx="67">
                  <c:v>99.161979507384942</c:v>
                </c:pt>
                <c:pt idx="68">
                  <c:v>99.156854112668853</c:v>
                </c:pt>
                <c:pt idx="69">
                  <c:v>99.15161608428005</c:v>
                </c:pt>
                <c:pt idx="70">
                  <c:v>99.146268666022209</c:v>
                </c:pt>
                <c:pt idx="71">
                  <c:v>99.140814884460383</c:v>
                </c:pt>
                <c:pt idx="72">
                  <c:v>99.135257563289414</c:v>
                </c:pt>
                <c:pt idx="73">
                  <c:v>99.129599336503389</c:v>
                </c:pt>
                <c:pt idx="74">
                  <c:v>99.123842660478786</c:v>
                </c:pt>
                <c:pt idx="75">
                  <c:v>99.117989825071746</c:v>
                </c:pt>
                <c:pt idx="76">
                  <c:v>99.112042963819604</c:v>
                </c:pt>
                <c:pt idx="77">
                  <c:v>99.106004063327219</c:v>
                </c:pt>
                <c:pt idx="78">
                  <c:v>99.099874971910452</c:v>
                </c:pt>
                <c:pt idx="79">
                  <c:v>99.093657407561849</c:v>
                </c:pt>
                <c:pt idx="80">
                  <c:v>99.087352965296873</c:v>
                </c:pt>
                <c:pt idx="81">
                  <c:v>99.0809631239336</c:v>
                </c:pt>
                <c:pt idx="82">
                  <c:v>99.074489252353175</c:v>
                </c:pt>
                <c:pt idx="83">
                  <c:v>99.067932615284136</c:v>
                </c:pt>
                <c:pt idx="84">
                  <c:v>99.061294378649407</c:v>
                </c:pt>
                <c:pt idx="85">
                  <c:v>99.054575614510838</c:v>
                </c:pt>
                <c:pt idx="86">
                  <c:v>99.047777305643564</c:v>
                </c:pt>
                <c:pt idx="87">
                  <c:v>99.040900349768663</c:v>
                </c:pt>
                <c:pt idx="88">
                  <c:v>99.033945563470681</c:v>
                </c:pt>
                <c:pt idx="89">
                  <c:v>99.026913685823516</c:v>
                </c:pt>
                <c:pt idx="90">
                  <c:v>99.019805381746622</c:v>
                </c:pt>
                <c:pt idx="91">
                  <c:v>99.012621245111148</c:v>
                </c:pt>
                <c:pt idx="92">
                  <c:v>99.005361801614072</c:v>
                </c:pt>
                <c:pt idx="93">
                  <c:v>98.998027511436518</c:v>
                </c:pt>
                <c:pt idx="94">
                  <c:v>98.990618771701648</c:v>
                </c:pt>
                <c:pt idx="95">
                  <c:v>98.983135918745234</c:v>
                </c:pt>
                <c:pt idx="96">
                  <c:v>98.975579230211935</c:v>
                </c:pt>
                <c:pt idx="97">
                  <c:v>98.967948926988157</c:v>
                </c:pt>
                <c:pt idx="98">
                  <c:v>98.960245174982504</c:v>
                </c:pt>
                <c:pt idx="99">
                  <c:v>98.952468086762707</c:v>
                </c:pt>
                <c:pt idx="100">
                  <c:v>98.944617723058329</c:v>
                </c:pt>
              </c:numCache>
            </c:numRef>
          </c:val>
          <c:smooth val="0"/>
          <c:extLst>
            <c:ext xmlns:c16="http://schemas.microsoft.com/office/drawing/2014/chart" uri="{C3380CC4-5D6E-409C-BE32-E72D297353CC}">
              <c16:uniqueId val="{00000000-C1B6-475C-810B-3C43E5BC6454}"/>
            </c:ext>
          </c:extLst>
        </c:ser>
        <c:dLbls>
          <c:showLegendKey val="0"/>
          <c:showVal val="0"/>
          <c:showCatName val="0"/>
          <c:showSerName val="0"/>
          <c:showPercent val="0"/>
          <c:showBubbleSize val="0"/>
        </c:dLbls>
        <c:marker val="1"/>
        <c:smooth val="0"/>
        <c:axId val="201996160"/>
        <c:axId val="202006528"/>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Calculations'!$BC$9:$BC$109</c:f>
              <c:numCache>
                <c:formatCode>0.000</c:formatCode>
                <c:ptCount val="101"/>
                <c:pt idx="0">
                  <c:v>3.4495537228181862E-2</c:v>
                </c:pt>
                <c:pt idx="1">
                  <c:v>8.8619548269116E-2</c:v>
                </c:pt>
                <c:pt idx="2">
                  <c:v>0.14292085576855473</c:v>
                </c:pt>
                <c:pt idx="3">
                  <c:v>0.19740379010521414</c:v>
                </c:pt>
                <c:pt idx="4">
                  <c:v>0.25207271212060756</c:v>
                </c:pt>
                <c:pt idx="5">
                  <c:v>0.30693201428324263</c:v>
                </c:pt>
                <c:pt idx="6">
                  <c:v>0.36198612186620732</c:v>
                </c:pt>
                <c:pt idx="7">
                  <c:v>0.41723949413881428</c:v>
                </c:pt>
                <c:pt idx="8">
                  <c:v>0.47269662557297293</c:v>
                </c:pt>
                <c:pt idx="9">
                  <c:v>0.50449454757080381</c:v>
                </c:pt>
                <c:pt idx="10">
                  <c:v>0.51397825904127781</c:v>
                </c:pt>
                <c:pt idx="11">
                  <c:v>0.52365314264192475</c:v>
                </c:pt>
                <c:pt idx="12">
                  <c:v>0.53352015181792456</c:v>
                </c:pt>
                <c:pt idx="13">
                  <c:v>0.54358027168913914</c:v>
                </c:pt>
                <c:pt idx="14">
                  <c:v>0.55383451936613126</c:v>
                </c:pt>
                <c:pt idx="15">
                  <c:v>0.56428394427953621</c:v>
                </c:pt>
                <c:pt idx="16">
                  <c:v>0.57492962852300467</c:v>
                </c:pt>
                <c:pt idx="17">
                  <c:v>0.58577268720994358</c:v>
                </c:pt>
                <c:pt idx="18">
                  <c:v>0.59681426884429822</c:v>
                </c:pt>
                <c:pt idx="19">
                  <c:v>0.60805555570562331</c:v>
                </c:pt>
                <c:pt idx="20">
                  <c:v>0.61949776424870828</c:v>
                </c:pt>
                <c:pt idx="21">
                  <c:v>0.63114214551803072</c:v>
                </c:pt>
                <c:pt idx="22">
                  <c:v>0.64298998557732345</c:v>
                </c:pt>
                <c:pt idx="23">
                  <c:v>0.65504260595455555</c:v>
                </c:pt>
                <c:pt idx="24">
                  <c:v>0.66730136410263985</c:v>
                </c:pt>
                <c:pt idx="25">
                  <c:v>0.67976765387619076</c:v>
                </c:pt>
                <c:pt idx="26">
                  <c:v>0.69244290602467184</c:v>
                </c:pt>
                <c:pt idx="27">
                  <c:v>0.70532858870228599</c:v>
                </c:pt>
                <c:pt idx="28">
                  <c:v>0.71842620799497559</c:v>
                </c:pt>
                <c:pt idx="29">
                  <c:v>0.73173730846491436</c:v>
                </c:pt>
                <c:pt idx="30">
                  <c:v>0.74526347371288792</c:v>
                </c:pt>
                <c:pt idx="31">
                  <c:v>0.75900632695897763</c:v>
                </c:pt>
                <c:pt idx="32">
                  <c:v>0.77296753164197496</c:v>
                </c:pt>
                <c:pt idx="33">
                  <c:v>0.78714879203797528</c:v>
                </c:pt>
                <c:pt idx="34">
                  <c:v>0.80155185389861294</c:v>
                </c:pt>
                <c:pt idx="35">
                  <c:v>0.81617850510942025</c:v>
                </c:pt>
                <c:pt idx="36">
                  <c:v>0.83103057636880973</c:v>
                </c:pt>
                <c:pt idx="37">
                  <c:v>0.84610994188820043</c:v>
                </c:pt>
                <c:pt idx="38">
                  <c:v>0.8614185201138278</c:v>
                </c:pt>
                <c:pt idx="39">
                  <c:v>0.87695827447079522</c:v>
                </c:pt>
                <c:pt idx="40">
                  <c:v>0.89273121412995149</c:v>
                </c:pt>
                <c:pt idx="41">
                  <c:v>0.90873939479819354</c:v>
                </c:pt>
                <c:pt idx="42">
                  <c:v>0.9249849195328268</c:v>
                </c:pt>
                <c:pt idx="43">
                  <c:v>0.94146993958062741</c:v>
                </c:pt>
                <c:pt idx="44">
                  <c:v>0.95819665524228403</c:v>
                </c:pt>
                <c:pt idx="45">
                  <c:v>0.97516731676291923</c:v>
                </c:pt>
                <c:pt idx="46">
                  <c:v>0.99238422524941472</c:v>
                </c:pt>
                <c:pt idx="47">
                  <c:v>1.0098497336152992</c:v>
                </c:pt>
                <c:pt idx="48">
                  <c:v>1.0275662475539764</c:v>
                </c:pt>
                <c:pt idx="49">
                  <c:v>1.0455362265411088</c:v>
                </c:pt>
                <c:pt idx="50">
                  <c:v>1.0637621848669963</c:v>
                </c:pt>
                <c:pt idx="51">
                  <c:v>1.0822466926998315</c:v>
                </c:pt>
                <c:pt idx="52">
                  <c:v>1.1009923771807306</c:v>
                </c:pt>
                <c:pt idx="53">
                  <c:v>1.1200019235514891</c:v>
                </c:pt>
                <c:pt idx="54">
                  <c:v>1.1392780763160388</c:v>
                </c:pt>
                <c:pt idx="55">
                  <c:v>1.1588236404366188</c:v>
                </c:pt>
                <c:pt idx="56">
                  <c:v>1.1786414825657197</c:v>
                </c:pt>
                <c:pt idx="57">
                  <c:v>1.1987345323148919</c:v>
                </c:pt>
                <c:pt idx="58">
                  <c:v>1.2191057835615566</c:v>
                </c:pt>
                <c:pt idx="59">
                  <c:v>1.239758295794998</c:v>
                </c:pt>
                <c:pt idx="60">
                  <c:v>1.2606951955027641</c:v>
                </c:pt>
                <c:pt idx="61">
                  <c:v>1.2819196775987509</c:v>
                </c:pt>
                <c:pt idx="62">
                  <c:v>1.3034350068942866</c:v>
                </c:pt>
                <c:pt idx="63">
                  <c:v>1.3252445196135978</c:v>
                </c:pt>
                <c:pt idx="64">
                  <c:v>1.3473516249550814</c:v>
                </c:pt>
                <c:pt idx="65">
                  <c:v>1.3697598066998595</c:v>
                </c:pt>
                <c:pt idx="66">
                  <c:v>1.3924726248691739</c:v>
                </c:pt>
                <c:pt idx="67">
                  <c:v>1.41549371743221</c:v>
                </c:pt>
                <c:pt idx="68">
                  <c:v>1.4388268020660182</c:v>
                </c:pt>
                <c:pt idx="69">
                  <c:v>1.4624756779692731</c:v>
                </c:pt>
                <c:pt idx="70">
                  <c:v>1.4864442277316594</c:v>
                </c:pt>
                <c:pt idx="71">
                  <c:v>1.5107364192607668</c:v>
                </c:pt>
                <c:pt idx="72">
                  <c:v>1.5353563077684413</c:v>
                </c:pt>
                <c:pt idx="73">
                  <c:v>1.5603080378186145</c:v>
                </c:pt>
                <c:pt idx="74">
                  <c:v>1.5855958454387282</c:v>
                </c:pt>
                <c:pt idx="75">
                  <c:v>1.6112240602969397</c:v>
                </c:pt>
                <c:pt idx="76">
                  <c:v>1.637197107947405</c:v>
                </c:pt>
                <c:pt idx="77">
                  <c:v>1.6635195121460047</c:v>
                </c:pt>
                <c:pt idx="78">
                  <c:v>1.6901958972390028</c:v>
                </c:pt>
                <c:pt idx="79">
                  <c:v>1.7172309906272025</c:v>
                </c:pt>
                <c:pt idx="80">
                  <c:v>1.7446296253082998</c:v>
                </c:pt>
                <c:pt idx="81">
                  <c:v>1.7723967425002256</c:v>
                </c:pt>
                <c:pt idx="82">
                  <c:v>1.8005373943483938</c:v>
                </c:pt>
                <c:pt idx="83">
                  <c:v>1.8290567467198919</c:v>
                </c:pt>
                <c:pt idx="84">
                  <c:v>1.8579600820877937</c:v>
                </c:pt>
                <c:pt idx="85">
                  <c:v>1.8872528025088764</c:v>
                </c:pt>
                <c:pt idx="86">
                  <c:v>1.9169404326982091</c:v>
                </c:pt>
                <c:pt idx="87">
                  <c:v>1.9470286232041882</c:v>
                </c:pt>
                <c:pt idx="88">
                  <c:v>1.9775231536877778</c:v>
                </c:pt>
                <c:pt idx="89">
                  <c:v>2.0084299363098586</c:v>
                </c:pt>
                <c:pt idx="90">
                  <c:v>2.0397550192307738</c:v>
                </c:pt>
                <c:pt idx="91">
                  <c:v>2.0715045902263265</c:v>
                </c:pt>
                <c:pt idx="92">
                  <c:v>2.1036849804246822</c:v>
                </c:pt>
                <c:pt idx="93">
                  <c:v>2.1363026681688209</c:v>
                </c:pt>
                <c:pt idx="94">
                  <c:v>2.1693642830093864</c:v>
                </c:pt>
                <c:pt idx="95">
                  <c:v>2.2028766098330217</c:v>
                </c:pt>
                <c:pt idx="96">
                  <c:v>2.2368465931314634</c:v>
                </c:pt>
                <c:pt idx="97">
                  <c:v>2.2712813414169646</c:v>
                </c:pt>
                <c:pt idx="98">
                  <c:v>2.3061881317898103</c:v>
                </c:pt>
                <c:pt idx="99">
                  <c:v>2.3415744146640098</c:v>
                </c:pt>
                <c:pt idx="100">
                  <c:v>2.377447818657485</c:v>
                </c:pt>
              </c:numCache>
            </c:numRef>
          </c:val>
          <c:smooth val="0"/>
          <c:extLst>
            <c:ext xmlns:c16="http://schemas.microsoft.com/office/drawing/2014/chart" uri="{C3380CC4-5D6E-409C-BE32-E72D297353CC}">
              <c16:uniqueId val="{00000001-C1B6-475C-810B-3C43E5BC6454}"/>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Calculations'!$BA$9:$BA$109</c:f>
              <c:numCache>
                <c:formatCode>0.000</c:formatCode>
                <c:ptCount val="101"/>
                <c:pt idx="0">
                  <c:v>0.30309700920711974</c:v>
                </c:pt>
                <c:pt idx="1">
                  <c:v>0.30322614103936085</c:v>
                </c:pt>
                <c:pt idx="2">
                  <c:v>0.30361346394613736</c:v>
                </c:pt>
                <c:pt idx="3">
                  <c:v>0.3042590247940834</c:v>
                </c:pt>
                <c:pt idx="4">
                  <c:v>0.30516290170645149</c:v>
                </c:pt>
                <c:pt idx="5">
                  <c:v>0.30632520408675096</c:v>
                </c:pt>
                <c:pt idx="6">
                  <c:v>0.30774607265185966</c:v>
                </c:pt>
                <c:pt idx="7">
                  <c:v>0.30942567947462857</c:v>
                </c:pt>
                <c:pt idx="8">
                  <c:v>0.31136422803600194</c:v>
                </c:pt>
                <c:pt idx="9">
                  <c:v>0.31356195328668329</c:v>
                </c:pt>
                <c:pt idx="10">
                  <c:v>0.31601912171838259</c:v>
                </c:pt>
                <c:pt idx="11">
                  <c:v>0.31873603144468371</c:v>
                </c:pt>
                <c:pt idx="12">
                  <c:v>0.32171301229157917</c:v>
                </c:pt>
                <c:pt idx="13">
                  <c:v>0.32495042589772316</c:v>
                </c:pt>
                <c:pt idx="14">
                  <c:v>0.32844866582445953</c:v>
                </c:pt>
                <c:pt idx="15">
                  <c:v>0.33220815767568762</c:v>
                </c:pt>
                <c:pt idx="16">
                  <c:v>0.33622935922763481</c:v>
                </c:pt>
                <c:pt idx="17">
                  <c:v>0.34051276056860802</c:v>
                </c:pt>
                <c:pt idx="18">
                  <c:v>0.34505888424880665</c:v>
                </c:pt>
                <c:pt idx="19">
                  <c:v>0.3498682854402802</c:v>
                </c:pt>
                <c:pt idx="20">
                  <c:v>0.35494155210712386</c:v>
                </c:pt>
                <c:pt idx="21">
                  <c:v>0.36027930518600981</c:v>
                </c:pt>
                <c:pt idx="22">
                  <c:v>0.36588219877715683</c:v>
                </c:pt>
                <c:pt idx="23">
                  <c:v>0.37175092034585033</c:v>
                </c:pt>
                <c:pt idx="24">
                  <c:v>0.37788619093462766</c:v>
                </c:pt>
                <c:pt idx="25">
                  <c:v>0.38428876538625323</c:v>
                </c:pt>
                <c:pt idx="26">
                  <c:v>0.39095943257761112</c:v>
                </c:pt>
                <c:pt idx="27">
                  <c:v>0.39789901566465352</c:v>
                </c:pt>
                <c:pt idx="28">
                  <c:v>0.40510837233854646</c:v>
                </c:pt>
                <c:pt idx="29">
                  <c:v>0.41258839509316364</c:v>
                </c:pt>
                <c:pt idx="30">
                  <c:v>0.42034001150408584</c:v>
                </c:pt>
                <c:pt idx="31">
                  <c:v>0.42836418451926922</c:v>
                </c:pt>
                <c:pt idx="32">
                  <c:v>0.43666191276155486</c:v>
                </c:pt>
                <c:pt idx="33">
                  <c:v>0.44523423084320002</c:v>
                </c:pt>
                <c:pt idx="34">
                  <c:v>0.45408220969261581</c:v>
                </c:pt>
                <c:pt idx="35">
                  <c:v>0.46320695689350888</c:v>
                </c:pt>
                <c:pt idx="36">
                  <c:v>0.4726096170366289</c:v>
                </c:pt>
                <c:pt idx="37">
                  <c:v>0.48229137208433248</c:v>
                </c:pt>
                <c:pt idx="38">
                  <c:v>0.49225344174818675</c:v>
                </c:pt>
                <c:pt idx="39">
                  <c:v>0.50249708387983671</c:v>
                </c:pt>
                <c:pt idx="40">
                  <c:v>0.5130235948753793</c:v>
                </c:pt>
                <c:pt idx="41">
                  <c:v>0.52383431009348513</c:v>
                </c:pt>
                <c:pt idx="42">
                  <c:v>0.53493060428753025</c:v>
                </c:pt>
                <c:pt idx="43">
                  <c:v>0.54631389205200032</c:v>
                </c:pt>
                <c:pt idx="44">
                  <c:v>0.55798562828344245</c:v>
                </c:pt>
                <c:pt idx="45">
                  <c:v>0.56994730865625587</c:v>
                </c:pt>
                <c:pt idx="46">
                  <c:v>0.58220047011361087</c:v>
                </c:pt>
                <c:pt idx="47">
                  <c:v>0.5947466913738122</c:v>
                </c:pt>
                <c:pt idx="48">
                  <c:v>0.60758759345241731</c:v>
                </c:pt>
                <c:pt idx="49">
                  <c:v>0.62072484020044627</c:v>
                </c:pt>
                <c:pt idx="50">
                  <c:v>0.63416013885902212</c:v>
                </c:pt>
                <c:pt idx="51">
                  <c:v>0.64789524063079695</c:v>
                </c:pt>
                <c:pt idx="52">
                  <c:v>0.66193194126853017</c:v>
                </c:pt>
                <c:pt idx="53">
                  <c:v>0.67627208168119946</c:v>
                </c:pt>
                <c:pt idx="54">
                  <c:v>0.69091754855803744</c:v>
                </c:pt>
                <c:pt idx="55">
                  <c:v>0.70587027501090049</c:v>
                </c:pt>
                <c:pt idx="56">
                  <c:v>0.72113224123539132</c:v>
                </c:pt>
                <c:pt idx="57">
                  <c:v>0.73670547519117113</c:v>
                </c:pt>
                <c:pt idx="58">
                  <c:v>0.75259205330191381</c:v>
                </c:pt>
                <c:pt idx="59">
                  <c:v>0.76879410117536329</c:v>
                </c:pt>
                <c:pt idx="60">
                  <c:v>0.78531379434398718</c:v>
                </c:pt>
                <c:pt idx="61">
                  <c:v>0.80215335902671348</c:v>
                </c:pt>
                <c:pt idx="62">
                  <c:v>0.81931507291227768</c:v>
                </c:pt>
                <c:pt idx="63">
                  <c:v>0.83680126596471027</c:v>
                </c:pt>
                <c:pt idx="64">
                  <c:v>0.85461432125151715</c:v>
                </c:pt>
                <c:pt idx="65">
                  <c:v>0.87275667579512506</c:v>
                </c:pt>
                <c:pt idx="66">
                  <c:v>0.89123082144818755</c:v>
                </c:pt>
                <c:pt idx="67">
                  <c:v>0.91003930579335846</c:v>
                </c:pt>
                <c:pt idx="68">
                  <c:v>0.92918473306816973</c:v>
                </c:pt>
                <c:pt idx="69">
                  <c:v>0.9486697651156677</c:v>
                </c:pt>
                <c:pt idx="70">
                  <c:v>0.96849712236148566</c:v>
                </c:pt>
                <c:pt idx="71">
                  <c:v>0.98866958481805345</c:v>
                </c:pt>
                <c:pt idx="72">
                  <c:v>1.009189993116671</c:v>
                </c:pt>
                <c:pt idx="73">
                  <c:v>1.0300612495681958</c:v>
                </c:pt>
                <c:pt idx="74">
                  <c:v>1.0512863192531205</c:v>
                </c:pt>
                <c:pt idx="75">
                  <c:v>1.0728682311418449</c:v>
                </c:pt>
                <c:pt idx="76">
                  <c:v>1.0948100792459747</c:v>
                </c:pt>
                <c:pt idx="77">
                  <c:v>1.117115023801508</c:v>
                </c:pt>
                <c:pt idx="78">
                  <c:v>1.1397862924847999</c:v>
                </c:pt>
                <c:pt idx="79">
                  <c:v>1.1628271816622249</c:v>
                </c:pt>
                <c:pt idx="80">
                  <c:v>1.1862410576745006</c:v>
                </c:pt>
                <c:pt idx="81">
                  <c:v>1.2100313581566466</c:v>
                </c:pt>
                <c:pt idx="82">
                  <c:v>1.2342015933946202</c:v>
                </c:pt>
                <c:pt idx="83">
                  <c:v>1.2587553477196678</c:v>
                </c:pt>
                <c:pt idx="84">
                  <c:v>1.2836962809415104</c:v>
                </c:pt>
                <c:pt idx="85">
                  <c:v>1.3090281298214805</c:v>
                </c:pt>
                <c:pt idx="86">
                  <c:v>1.3347547095868</c:v>
                </c:pt>
                <c:pt idx="87">
                  <c:v>1.3608799154872147</c:v>
                </c:pt>
                <c:pt idx="88">
                  <c:v>1.3874077243952434</c:v>
                </c:pt>
                <c:pt idx="89">
                  <c:v>1.4143421964513614</c:v>
                </c:pt>
                <c:pt idx="90">
                  <c:v>1.4416874767554608</c:v>
                </c:pt>
                <c:pt idx="91">
                  <c:v>1.4694477971060032</c:v>
                </c:pt>
                <c:pt idx="92">
                  <c:v>1.4976274777883176</c:v>
                </c:pt>
                <c:pt idx="93">
                  <c:v>1.5262309294135505</c:v>
                </c:pt>
                <c:pt idx="94">
                  <c:v>1.5552626548098409</c:v>
                </c:pt>
                <c:pt idx="95">
                  <c:v>1.5847272509673338</c:v>
                </c:pt>
                <c:pt idx="96">
                  <c:v>1.614629411038724</c:v>
                </c:pt>
                <c:pt idx="97">
                  <c:v>1.64497392639707</c:v>
                </c:pt>
                <c:pt idx="98">
                  <c:v>1.6757656887526893</c:v>
                </c:pt>
                <c:pt idx="99">
                  <c:v>1.7070096923310176</c:v>
                </c:pt>
                <c:pt idx="100">
                  <c:v>1.7387110361133762</c:v>
                </c:pt>
              </c:numCache>
            </c:numRef>
          </c:val>
          <c:smooth val="0"/>
          <c:extLst>
            <c:ext xmlns:c16="http://schemas.microsoft.com/office/drawing/2014/chart" uri="{C3380CC4-5D6E-409C-BE32-E72D297353CC}">
              <c16:uniqueId val="{00000002-C1B6-475C-810B-3C43E5BC6454}"/>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'Efficiency Calculations'!$BD$9:$BD$109</c:f>
              <c:numCache>
                <c:formatCode>0.000</c:formatCode>
                <c:ptCount val="101"/>
                <c:pt idx="0">
                  <c:v>1.6516215303124859E-2</c:v>
                </c:pt>
                <c:pt idx="1">
                  <c:v>1.6591769544884189E-2</c:v>
                </c:pt>
                <c:pt idx="2">
                  <c:v>1.6818591943588295E-2</c:v>
                </c:pt>
                <c:pt idx="3">
                  <c:v>1.719668637616218E-2</c:v>
                </c:pt>
                <c:pt idx="4">
                  <c:v>1.7726077578406087E-2</c:v>
                </c:pt>
                <c:pt idx="5">
                  <c:v>1.8406811150373171E-2</c:v>
                </c:pt>
                <c:pt idx="6">
                  <c:v>1.9238953568940755E-2</c:v>
                </c:pt>
                <c:pt idx="7">
                  <c:v>2.0222592207582209E-2</c:v>
                </c:pt>
                <c:pt idx="8">
                  <c:v>2.135783536335116E-2</c:v>
                </c:pt>
                <c:pt idx="9">
                  <c:v>2.2644812291094437E-2</c:v>
                </c:pt>
                <c:pt idx="10">
                  <c:v>2.4083673244914755E-2</c:v>
                </c:pt>
                <c:pt idx="11">
                  <c:v>2.5674589526908841E-2</c:v>
                </c:pt>
                <c:pt idx="12">
                  <c:v>2.7417753543211437E-2</c:v>
                </c:pt>
                <c:pt idx="13">
                  <c:v>2.9313378867380318E-2</c:v>
                </c:pt>
                <c:pt idx="14">
                  <c:v>3.1361700311162401E-2</c:v>
                </c:pt>
                <c:pt idx="15">
                  <c:v>3.3562974002685451E-2</c:v>
                </c:pt>
                <c:pt idx="16">
                  <c:v>3.5917477472125293E-2</c:v>
                </c:pt>
                <c:pt idx="17">
                  <c:v>3.8425509744902969E-2</c:v>
                </c:pt>
                <c:pt idx="18">
                  <c:v>4.1087391442471179E-2</c:v>
                </c:pt>
                <c:pt idx="19">
                  <c:v>4.390346489075498E-2</c:v>
                </c:pt>
                <c:pt idx="20">
                  <c:v>4.6874094236315896E-2</c:v>
                </c:pt>
                <c:pt idx="21">
                  <c:v>4.9999665570314739E-2</c:v>
                </c:pt>
                <c:pt idx="22">
                  <c:v>5.3280587060352845E-2</c:v>
                </c:pt>
                <c:pt idx="23">
                  <c:v>5.6717289090277435E-2</c:v>
                </c:pt>
                <c:pt idx="24">
                  <c:v>6.0310224408041617E-2</c:v>
                </c:pt>
                <c:pt idx="25">
                  <c:v>6.4059868281715879E-2</c:v>
                </c:pt>
                <c:pt idx="26">
                  <c:v>6.7966718663752548E-2</c:v>
                </c:pt>
                <c:pt idx="27">
                  <c:v>7.2031296363611233E-2</c:v>
                </c:pt>
                <c:pt idx="28">
                  <c:v>7.6254145228858858E-2</c:v>
                </c:pt>
                <c:pt idx="29">
                  <c:v>8.0635832334863447E-2</c:v>
                </c:pt>
                <c:pt idx="30">
                  <c:v>8.5176948183208021E-2</c:v>
                </c:pt>
                <c:pt idx="31">
                  <c:v>8.9878106908955493E-2</c:v>
                </c:pt>
                <c:pt idx="32">
                  <c:v>9.4739946496903579E-2</c:v>
                </c:pt>
                <c:pt idx="33">
                  <c:v>9.9763129006974594E-2</c:v>
                </c:pt>
                <c:pt idx="34">
                  <c:v>0.10494834080889023</c:v>
                </c:pt>
                <c:pt idx="35">
                  <c:v>0.1102962928262918</c:v>
                </c:pt>
                <c:pt idx="36">
                  <c:v>0.11580772079046905</c:v>
                </c:pt>
                <c:pt idx="37">
                  <c:v>0.12148338550387157</c:v>
                </c:pt>
                <c:pt idx="38">
                  <c:v>0.12732407311358251</c:v>
                </c:pt>
                <c:pt idx="39">
                  <c:v>0.13333059539494052</c:v>
                </c:pt>
                <c:pt idx="40">
                  <c:v>0.13950379004550859</c:v>
                </c:pt>
                <c:pt idx="41">
                  <c:v>0.14584452098958878</c:v>
                </c:pt>
                <c:pt idx="42">
                  <c:v>0.15235367869349858</c:v>
                </c:pt>
                <c:pt idx="43">
                  <c:v>0.15903218049182608</c:v>
                </c:pt>
                <c:pt idx="44">
                  <c:v>0.16588097092489429</c:v>
                </c:pt>
                <c:pt idx="45">
                  <c:v>0.17290102208767225</c:v>
                </c:pt>
                <c:pt idx="46">
                  <c:v>0.18009333399037886</c:v>
                </c:pt>
                <c:pt idx="47">
                  <c:v>0.18745893493103874</c:v>
                </c:pt>
                <c:pt idx="48">
                  <c:v>0.19499888188025374</c:v>
                </c:pt>
                <c:pt idx="49">
                  <c:v>0.202714260878469</c:v>
                </c:pt>
                <c:pt idx="50">
                  <c:v>0.21060618744602064</c:v>
                </c:pt>
                <c:pt idx="51">
                  <c:v>0.21867580700626124</c:v>
                </c:pt>
                <c:pt idx="52">
                  <c:v>0.2269242953220757</c:v>
                </c:pt>
                <c:pt idx="53">
                  <c:v>0.23535285894610616</c:v>
                </c:pt>
                <c:pt idx="54">
                  <c:v>0.24396273568501931</c:v>
                </c:pt>
                <c:pt idx="55">
                  <c:v>0.25275519507816191</c:v>
                </c:pt>
                <c:pt idx="56">
                  <c:v>0.26173153889096257</c:v>
                </c:pt>
                <c:pt idx="57">
                  <c:v>0.27089310162345159</c:v>
                </c:pt>
                <c:pt idx="58">
                  <c:v>0.28024125103428249</c:v>
                </c:pt>
                <c:pt idx="59">
                  <c:v>0.28977738868065606</c:v>
                </c:pt>
                <c:pt idx="60">
                  <c:v>0.29950295047456099</c:v>
                </c:pt>
                <c:pt idx="61">
                  <c:v>0.30941940725575967</c:v>
                </c:pt>
                <c:pt idx="62">
                  <c:v>0.31952826538196272</c:v>
                </c:pt>
                <c:pt idx="63">
                  <c:v>0.32983106733665912</c:v>
                </c:pt>
                <c:pt idx="64">
                  <c:v>0.3403293923550737</c:v>
                </c:pt>
                <c:pt idx="65">
                  <c:v>0.35102485706875025</c:v>
                </c:pt>
                <c:pt idx="66">
                  <c:v>0.36191911616927774</c:v>
                </c:pt>
                <c:pt idx="67">
                  <c:v>0.3730138630916886</c:v>
                </c:pt>
                <c:pt idx="68">
                  <c:v>0.38431083071808347</c:v>
                </c:pt>
                <c:pt idx="69">
                  <c:v>0.39581179210205503</c:v>
                </c:pt>
                <c:pt idx="70">
                  <c:v>0.40751856121450658</c:v>
                </c:pt>
                <c:pt idx="71">
                  <c:v>0.41943299371148002</c:v>
                </c:pt>
                <c:pt idx="72">
                  <c:v>0.43155698772463352</c:v>
                </c:pt>
                <c:pt idx="73">
                  <c:v>0.44389248467503167</c:v>
                </c:pt>
                <c:pt idx="74">
                  <c:v>0.45644147011093456</c:v>
                </c:pt>
                <c:pt idx="75">
                  <c:v>0.46920597457029933</c:v>
                </c:pt>
                <c:pt idx="76">
                  <c:v>0.48218807446873607</c:v>
                </c:pt>
                <c:pt idx="77">
                  <c:v>0.49538989301368191</c:v>
                </c:pt>
                <c:pt idx="78">
                  <c:v>0.50881360114559349</c:v>
                </c:pt>
                <c:pt idx="79">
                  <c:v>0.52246141850697903</c:v>
                </c:pt>
                <c:pt idx="80">
                  <c:v>0.53633561444013522</c:v>
                </c:pt>
                <c:pt idx="81">
                  <c:v>0.55043850901447056</c:v>
                </c:pt>
                <c:pt idx="82">
                  <c:v>0.56477247408434372</c:v>
                </c:pt>
                <c:pt idx="83">
                  <c:v>0.57933993437837639</c:v>
                </c:pt>
                <c:pt idx="84">
                  <c:v>0.59414336862123562</c:v>
                </c:pt>
                <c:pt idx="85">
                  <c:v>0.60918531068891457</c:v>
                </c:pt>
                <c:pt idx="86">
                  <c:v>0.62446835079859464</c:v>
                </c:pt>
                <c:pt idx="87">
                  <c:v>0.63999513673420094</c:v>
                </c:pt>
                <c:pt idx="88">
                  <c:v>0.65576837510879882</c:v>
                </c:pt>
                <c:pt idx="89">
                  <c:v>0.67179083266505857</c:v>
                </c:pt>
                <c:pt idx="90">
                  <c:v>0.68806533761501198</c:v>
                </c:pt>
                <c:pt idx="91">
                  <c:v>0.70459478102042505</c:v>
                </c:pt>
                <c:pt idx="92">
                  <c:v>0.72138211821511633</c:v>
                </c:pt>
                <c:pt idx="93">
                  <c:v>0.73843037027064529</c:v>
                </c:pt>
                <c:pt idx="94">
                  <c:v>0.75574262550681437</c:v>
                </c:pt>
                <c:pt idx="95">
                  <c:v>0.77332204104851687</c:v>
                </c:pt>
                <c:pt idx="96">
                  <c:v>0.79117184443049715</c:v>
                </c:pt>
                <c:pt idx="97">
                  <c:v>0.80929533525167963</c:v>
                </c:pt>
                <c:pt idx="98">
                  <c:v>0.82769588688076767</c:v>
                </c:pt>
                <c:pt idx="99">
                  <c:v>0.8463769482148904</c:v>
                </c:pt>
                <c:pt idx="100">
                  <c:v>0.86534204549315608</c:v>
                </c:pt>
              </c:numCache>
            </c:numRef>
          </c:val>
          <c:smooth val="0"/>
          <c:extLst>
            <c:ext xmlns:c16="http://schemas.microsoft.com/office/drawing/2014/chart" uri="{C3380CC4-5D6E-409C-BE32-E72D297353CC}">
              <c16:uniqueId val="{00000003-C1B6-475C-810B-3C43E5BC6454}"/>
            </c:ext>
          </c:extLst>
        </c:ser>
        <c:dLbls>
          <c:showLegendKey val="0"/>
          <c:showVal val="0"/>
          <c:showCatName val="0"/>
          <c:showSerName val="0"/>
          <c:showPercent val="0"/>
          <c:showBubbleSize val="0"/>
        </c:dLbls>
        <c:marker val="1"/>
        <c:smooth val="0"/>
        <c:axId val="202010624"/>
        <c:axId val="202008448"/>
      </c:lineChart>
      <c:catAx>
        <c:axId val="201996160"/>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02006528"/>
        <c:crosses val="autoZero"/>
        <c:auto val="1"/>
        <c:lblAlgn val="ctr"/>
        <c:lblOffset val="100"/>
        <c:tickLblSkip val="20"/>
        <c:tickMarkSkip val="20"/>
        <c:noMultiLvlLbl val="1"/>
      </c:catAx>
      <c:valAx>
        <c:axId val="202006528"/>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01996160"/>
        <c:crosses val="autoZero"/>
        <c:crossBetween val="between"/>
        <c:majorUnit val="5"/>
        <c:minorUnit val="2.5"/>
      </c:valAx>
      <c:valAx>
        <c:axId val="202008448"/>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02010624"/>
        <c:crosses val="max"/>
        <c:crossBetween val="between"/>
      </c:valAx>
      <c:catAx>
        <c:axId val="202010624"/>
        <c:scaling>
          <c:orientation val="minMax"/>
        </c:scaling>
        <c:delete val="1"/>
        <c:axPos val="b"/>
        <c:numFmt formatCode="0.000" sourceLinked="1"/>
        <c:majorTickMark val="out"/>
        <c:minorTickMark val="none"/>
        <c:tickLblPos val="nextTo"/>
        <c:crossAx val="202008448"/>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'Ch2 Efficiency Calculations'!$J$9:$J$109</c:f>
              <c:numCache>
                <c:formatCode>0.000</c:formatCode>
                <c:ptCount val="101"/>
                <c:pt idx="0" formatCode="General">
                  <c:v>0</c:v>
                </c:pt>
                <c:pt idx="1">
                  <c:v>0.12</c:v>
                </c:pt>
                <c:pt idx="2">
                  <c:v>0.24</c:v>
                </c:pt>
                <c:pt idx="3">
                  <c:v>0.36</c:v>
                </c:pt>
                <c:pt idx="4">
                  <c:v>0.48</c:v>
                </c:pt>
                <c:pt idx="5">
                  <c:v>0.6</c:v>
                </c:pt>
                <c:pt idx="6">
                  <c:v>0.72</c:v>
                </c:pt>
                <c:pt idx="7">
                  <c:v>0.84</c:v>
                </c:pt>
                <c:pt idx="8">
                  <c:v>0.96</c:v>
                </c:pt>
                <c:pt idx="9">
                  <c:v>1.08</c:v>
                </c:pt>
                <c:pt idx="10">
                  <c:v>1.2</c:v>
                </c:pt>
                <c:pt idx="11">
                  <c:v>1.32</c:v>
                </c:pt>
                <c:pt idx="12">
                  <c:v>1.44</c:v>
                </c:pt>
                <c:pt idx="13">
                  <c:v>1.56</c:v>
                </c:pt>
                <c:pt idx="14">
                  <c:v>1.68</c:v>
                </c:pt>
                <c:pt idx="15">
                  <c:v>1.8</c:v>
                </c:pt>
                <c:pt idx="16">
                  <c:v>1.92</c:v>
                </c:pt>
                <c:pt idx="17">
                  <c:v>2.04</c:v>
                </c:pt>
                <c:pt idx="18">
                  <c:v>2.16</c:v>
                </c:pt>
                <c:pt idx="19">
                  <c:v>2.2799999999999998</c:v>
                </c:pt>
                <c:pt idx="20">
                  <c:v>2.4</c:v>
                </c:pt>
                <c:pt idx="21">
                  <c:v>2.52</c:v>
                </c:pt>
                <c:pt idx="22">
                  <c:v>2.64</c:v>
                </c:pt>
                <c:pt idx="23">
                  <c:v>2.76</c:v>
                </c:pt>
                <c:pt idx="24">
                  <c:v>2.88</c:v>
                </c:pt>
                <c:pt idx="25">
                  <c:v>3</c:v>
                </c:pt>
                <c:pt idx="26">
                  <c:v>3.12</c:v>
                </c:pt>
                <c:pt idx="27">
                  <c:v>3.24</c:v>
                </c:pt>
                <c:pt idx="28">
                  <c:v>3.36</c:v>
                </c:pt>
                <c:pt idx="29">
                  <c:v>3.48</c:v>
                </c:pt>
                <c:pt idx="30">
                  <c:v>3.6</c:v>
                </c:pt>
                <c:pt idx="31">
                  <c:v>3.72</c:v>
                </c:pt>
                <c:pt idx="32">
                  <c:v>3.84</c:v>
                </c:pt>
                <c:pt idx="33">
                  <c:v>3.96</c:v>
                </c:pt>
                <c:pt idx="34">
                  <c:v>4.08</c:v>
                </c:pt>
                <c:pt idx="35">
                  <c:v>4.2</c:v>
                </c:pt>
                <c:pt idx="36">
                  <c:v>4.32</c:v>
                </c:pt>
                <c:pt idx="37">
                  <c:v>4.4400000000000004</c:v>
                </c:pt>
                <c:pt idx="38">
                  <c:v>4.5599999999999996</c:v>
                </c:pt>
                <c:pt idx="39">
                  <c:v>4.68</c:v>
                </c:pt>
                <c:pt idx="40">
                  <c:v>4.8</c:v>
                </c:pt>
                <c:pt idx="41">
                  <c:v>4.92</c:v>
                </c:pt>
                <c:pt idx="42">
                  <c:v>5.04</c:v>
                </c:pt>
                <c:pt idx="43">
                  <c:v>5.16</c:v>
                </c:pt>
                <c:pt idx="44">
                  <c:v>5.28</c:v>
                </c:pt>
                <c:pt idx="45">
                  <c:v>5.4</c:v>
                </c:pt>
                <c:pt idx="46">
                  <c:v>5.52</c:v>
                </c:pt>
                <c:pt idx="47">
                  <c:v>5.64</c:v>
                </c:pt>
                <c:pt idx="48">
                  <c:v>5.76</c:v>
                </c:pt>
                <c:pt idx="49">
                  <c:v>5.88</c:v>
                </c:pt>
                <c:pt idx="50">
                  <c:v>6</c:v>
                </c:pt>
                <c:pt idx="51">
                  <c:v>6.12</c:v>
                </c:pt>
                <c:pt idx="52">
                  <c:v>6.24</c:v>
                </c:pt>
                <c:pt idx="53">
                  <c:v>6.36</c:v>
                </c:pt>
                <c:pt idx="54">
                  <c:v>6.48</c:v>
                </c:pt>
                <c:pt idx="55">
                  <c:v>6.6</c:v>
                </c:pt>
                <c:pt idx="56">
                  <c:v>6.72</c:v>
                </c:pt>
                <c:pt idx="57">
                  <c:v>6.84</c:v>
                </c:pt>
                <c:pt idx="58">
                  <c:v>6.96</c:v>
                </c:pt>
                <c:pt idx="59">
                  <c:v>7.08</c:v>
                </c:pt>
                <c:pt idx="60">
                  <c:v>7.2</c:v>
                </c:pt>
                <c:pt idx="61">
                  <c:v>7.32</c:v>
                </c:pt>
                <c:pt idx="62">
                  <c:v>7.44</c:v>
                </c:pt>
                <c:pt idx="63">
                  <c:v>7.56</c:v>
                </c:pt>
                <c:pt idx="64">
                  <c:v>7.68</c:v>
                </c:pt>
                <c:pt idx="65">
                  <c:v>7.8</c:v>
                </c:pt>
                <c:pt idx="66">
                  <c:v>7.92</c:v>
                </c:pt>
                <c:pt idx="67">
                  <c:v>8.0399999999999991</c:v>
                </c:pt>
                <c:pt idx="68">
                  <c:v>8.16</c:v>
                </c:pt>
                <c:pt idx="69">
                  <c:v>8.2799999999999994</c:v>
                </c:pt>
                <c:pt idx="70">
                  <c:v>8.4</c:v>
                </c:pt>
                <c:pt idx="71">
                  <c:v>8.52</c:v>
                </c:pt>
                <c:pt idx="72">
                  <c:v>8.64</c:v>
                </c:pt>
                <c:pt idx="73">
                  <c:v>8.76</c:v>
                </c:pt>
                <c:pt idx="74">
                  <c:v>8.8800000000000008</c:v>
                </c:pt>
                <c:pt idx="75">
                  <c:v>9</c:v>
                </c:pt>
                <c:pt idx="76">
                  <c:v>9.1199999999999992</c:v>
                </c:pt>
                <c:pt idx="77">
                  <c:v>9.24</c:v>
                </c:pt>
                <c:pt idx="78">
                  <c:v>9.36</c:v>
                </c:pt>
                <c:pt idx="79">
                  <c:v>9.48</c:v>
                </c:pt>
                <c:pt idx="80">
                  <c:v>9.6</c:v>
                </c:pt>
                <c:pt idx="81">
                  <c:v>9.7200000000000006</c:v>
                </c:pt>
                <c:pt idx="82">
                  <c:v>9.84</c:v>
                </c:pt>
                <c:pt idx="83">
                  <c:v>9.9600000000000009</c:v>
                </c:pt>
                <c:pt idx="84">
                  <c:v>10.08</c:v>
                </c:pt>
                <c:pt idx="85">
                  <c:v>10.199999999999999</c:v>
                </c:pt>
                <c:pt idx="86">
                  <c:v>10.32</c:v>
                </c:pt>
                <c:pt idx="87">
                  <c:v>10.44</c:v>
                </c:pt>
                <c:pt idx="88">
                  <c:v>10.56</c:v>
                </c:pt>
                <c:pt idx="89">
                  <c:v>10.68</c:v>
                </c:pt>
                <c:pt idx="90">
                  <c:v>10.8</c:v>
                </c:pt>
                <c:pt idx="91">
                  <c:v>10.92</c:v>
                </c:pt>
                <c:pt idx="92">
                  <c:v>11.04</c:v>
                </c:pt>
                <c:pt idx="93">
                  <c:v>11.16</c:v>
                </c:pt>
                <c:pt idx="94">
                  <c:v>11.28</c:v>
                </c:pt>
                <c:pt idx="95">
                  <c:v>11.4</c:v>
                </c:pt>
                <c:pt idx="96">
                  <c:v>11.52</c:v>
                </c:pt>
                <c:pt idx="97">
                  <c:v>11.64</c:v>
                </c:pt>
                <c:pt idx="98">
                  <c:v>11.76</c:v>
                </c:pt>
                <c:pt idx="99">
                  <c:v>11.88</c:v>
                </c:pt>
                <c:pt idx="100">
                  <c:v>12</c:v>
                </c:pt>
              </c:numCache>
            </c:numRef>
          </c:cat>
          <c:val>
            <c:numRef>
              <c:f>'Ch2 Efficiency Calculations'!$AZ$9:$AZ$109</c:f>
              <c:numCache>
                <c:formatCode>0.00</c:formatCode>
                <c:ptCount val="101"/>
                <c:pt idx="0">
                  <c:v>0</c:v>
                </c:pt>
                <c:pt idx="1">
                  <c:v>44.228986436556184</c:v>
                </c:pt>
                <c:pt idx="2">
                  <c:v>61.045098097101999</c:v>
                </c:pt>
                <c:pt idx="3">
                  <c:v>69.76381941425204</c:v>
                </c:pt>
                <c:pt idx="4">
                  <c:v>75.053660910507773</c:v>
                </c:pt>
                <c:pt idx="5">
                  <c:v>78.634254861947866</c:v>
                </c:pt>
                <c:pt idx="6">
                  <c:v>81.220263515696644</c:v>
                </c:pt>
                <c:pt idx="7">
                  <c:v>83.176668831481635</c:v>
                </c:pt>
                <c:pt idx="8">
                  <c:v>84.709333131422909</c:v>
                </c:pt>
                <c:pt idx="9">
                  <c:v>85.943190266489353</c:v>
                </c:pt>
                <c:pt idx="10">
                  <c:v>86.958455095890898</c:v>
                </c:pt>
                <c:pt idx="11">
                  <c:v>87.808988516612843</c:v>
                </c:pt>
                <c:pt idx="12">
                  <c:v>88.532298937000434</c:v>
                </c:pt>
                <c:pt idx="13">
                  <c:v>89.155310334054931</c:v>
                </c:pt>
                <c:pt idx="14">
                  <c:v>89.697849700862605</c:v>
                </c:pt>
                <c:pt idx="15">
                  <c:v>90.174840853576256</c:v>
                </c:pt>
                <c:pt idx="16">
                  <c:v>90.597731844672126</c:v>
                </c:pt>
                <c:pt idx="17">
                  <c:v>90.975451154118161</c:v>
                </c:pt>
                <c:pt idx="18">
                  <c:v>91.315064681811364</c:v>
                </c:pt>
                <c:pt idx="19">
                  <c:v>91.622237352289602</c:v>
                </c:pt>
                <c:pt idx="20">
                  <c:v>91.901563922582113</c:v>
                </c:pt>
                <c:pt idx="21">
                  <c:v>92.15681028187521</c:v>
                </c:pt>
                <c:pt idx="22">
                  <c:v>92.391092278861024</c:v>
                </c:pt>
                <c:pt idx="23">
                  <c:v>92.607010165931541</c:v>
                </c:pt>
                <c:pt idx="24">
                  <c:v>92.806751001095961</c:v>
                </c:pt>
                <c:pt idx="25">
                  <c:v>92.992167576698321</c:v>
                </c:pt>
                <c:pt idx="26">
                  <c:v>93.164839921381216</c:v>
                </c:pt>
                <c:pt idx="27">
                  <c:v>93.326123704917478</c:v>
                </c:pt>
                <c:pt idx="28">
                  <c:v>93.477188688319458</c:v>
                </c:pt>
                <c:pt idx="29">
                  <c:v>93.619049528520407</c:v>
                </c:pt>
                <c:pt idx="30">
                  <c:v>93.752590654321594</c:v>
                </c:pt>
                <c:pt idx="31">
                  <c:v>93.878586503459985</c:v>
                </c:pt>
                <c:pt idx="32">
                  <c:v>93.997718099609614</c:v>
                </c:pt>
                <c:pt idx="33">
                  <c:v>94.110586718999528</c:v>
                </c:pt>
                <c:pt idx="34">
                  <c:v>94.217725225828758</c:v>
                </c:pt>
                <c:pt idx="35">
                  <c:v>94.319607527573979</c:v>
                </c:pt>
                <c:pt idx="36">
                  <c:v>94.416656504211176</c:v>
                </c:pt>
                <c:pt idx="37">
                  <c:v>94.509250691183027</c:v>
                </c:pt>
                <c:pt idx="38">
                  <c:v>94.597729938799148</c:v>
                </c:pt>
                <c:pt idx="39">
                  <c:v>94.658273097873106</c:v>
                </c:pt>
                <c:pt idx="40">
                  <c:v>94.697909840413701</c:v>
                </c:pt>
                <c:pt idx="41">
                  <c:v>94.734308898272971</c:v>
                </c:pt>
                <c:pt idx="42">
                  <c:v>94.76769402266757</c:v>
                </c:pt>
                <c:pt idx="43">
                  <c:v>94.798268627691613</c:v>
                </c:pt>
                <c:pt idx="44">
                  <c:v>94.826218042769966</c:v>
                </c:pt>
                <c:pt idx="45">
                  <c:v>94.851711472188143</c:v>
                </c:pt>
                <c:pt idx="46">
                  <c:v>94.874903705196544</c:v>
                </c:pt>
                <c:pt idx="47">
                  <c:v>94.89593661295882</c:v>
                </c:pt>
                <c:pt idx="48">
                  <c:v>94.914940462708714</c:v>
                </c:pt>
                <c:pt idx="49">
                  <c:v>94.932035074635067</c:v>
                </c:pt>
                <c:pt idx="50">
                  <c:v>94.947330843022812</c:v>
                </c:pt>
                <c:pt idx="51">
                  <c:v>94.960929639873996</c:v>
                </c:pt>
                <c:pt idx="52">
                  <c:v>94.972925616489874</c:v>
                </c:pt>
                <c:pt idx="53">
                  <c:v>94.983405916207147</c:v>
                </c:pt>
                <c:pt idx="54">
                  <c:v>94.9924513095674</c:v>
                </c:pt>
                <c:pt idx="55">
                  <c:v>95.00013676159152</c:v>
                </c:pt>
                <c:pt idx="56">
                  <c:v>95.00653193947656</c:v>
                </c:pt>
                <c:pt idx="57">
                  <c:v>95.011701667888204</c:v>
                </c:pt>
                <c:pt idx="58">
                  <c:v>95.015706338051658</c:v>
                </c:pt>
                <c:pt idx="59">
                  <c:v>95.018602276018385</c:v>
                </c:pt>
                <c:pt idx="60">
                  <c:v>95.020442074782778</c:v>
                </c:pt>
                <c:pt idx="61">
                  <c:v>95.02127489432101</c:v>
                </c:pt>
                <c:pt idx="62">
                  <c:v>95.021146733108139</c:v>
                </c:pt>
                <c:pt idx="63">
                  <c:v>95.02010067422637</c:v>
                </c:pt>
                <c:pt idx="64">
                  <c:v>95.018177108794561</c:v>
                </c:pt>
                <c:pt idx="65">
                  <c:v>95.015413939119426</c:v>
                </c:pt>
                <c:pt idx="66">
                  <c:v>95.011846763682342</c:v>
                </c:pt>
                <c:pt idx="67">
                  <c:v>95.007509045827661</c:v>
                </c:pt>
                <c:pt idx="68">
                  <c:v>95.002432267802689</c:v>
                </c:pt>
                <c:pt idx="69">
                  <c:v>94.996646071611195</c:v>
                </c:pt>
                <c:pt idx="70">
                  <c:v>94.990178387977295</c:v>
                </c:pt>
                <c:pt idx="71">
                  <c:v>94.983055554574207</c:v>
                </c:pt>
                <c:pt idx="72">
                  <c:v>94.975302424544225</c:v>
                </c:pt>
                <c:pt idx="73">
                  <c:v>94.966942466227195</c:v>
                </c:pt>
                <c:pt idx="74">
                  <c:v>94.957997854915874</c:v>
                </c:pt>
                <c:pt idx="75">
                  <c:v>94.94848955737136</c:v>
                </c:pt>
                <c:pt idx="76">
                  <c:v>94.93843740975521</c:v>
                </c:pt>
                <c:pt idx="77">
                  <c:v>94.927860189568079</c:v>
                </c:pt>
                <c:pt idx="78">
                  <c:v>94.916775682124594</c:v>
                </c:pt>
                <c:pt idx="79">
                  <c:v>94.905200742041885</c:v>
                </c:pt>
                <c:pt idx="80">
                  <c:v>94.893151350171479</c:v>
                </c:pt>
                <c:pt idx="81">
                  <c:v>94.880642666362988</c:v>
                </c:pt>
                <c:pt idx="82">
                  <c:v>94.867689078410081</c:v>
                </c:pt>
                <c:pt idx="83">
                  <c:v>94.854304247496586</c:v>
                </c:pt>
                <c:pt idx="84">
                  <c:v>94.84050115042993</c:v>
                </c:pt>
                <c:pt idx="85">
                  <c:v>94.826292118923064</c:v>
                </c:pt>
                <c:pt idx="86">
                  <c:v>94.811688876161625</c:v>
                </c:pt>
                <c:pt idx="87">
                  <c:v>94.796702570872057</c:v>
                </c:pt>
                <c:pt idx="88">
                  <c:v>94.781343809086394</c:v>
                </c:pt>
                <c:pt idx="89">
                  <c:v>94.76562268378261</c:v>
                </c:pt>
                <c:pt idx="90">
                  <c:v>94.749548802563567</c:v>
                </c:pt>
                <c:pt idx="91">
                  <c:v>94.733131313523273</c:v>
                </c:pt>
                <c:pt idx="92">
                  <c:v>94.716378929436431</c:v>
                </c:pt>
                <c:pt idx="93">
                  <c:v>94.69929995039611</c:v>
                </c:pt>
                <c:pt idx="94">
                  <c:v>94.681902285013066</c:v>
                </c:pt>
                <c:pt idx="95">
                  <c:v>94.664193470281504</c:v>
                </c:pt>
                <c:pt idx="96">
                  <c:v>94.646180690207288</c:v>
                </c:pt>
                <c:pt idx="97">
                  <c:v>94.627870793286434</c:v>
                </c:pt>
                <c:pt idx="98">
                  <c:v>94.609270308914802</c:v>
                </c:pt>
                <c:pt idx="99">
                  <c:v>94.590385462803937</c:v>
                </c:pt>
                <c:pt idx="100">
                  <c:v>94.571222191471094</c:v>
                </c:pt>
              </c:numCache>
            </c:numRef>
          </c:val>
          <c:smooth val="0"/>
          <c:extLst>
            <c:ext xmlns:c16="http://schemas.microsoft.com/office/drawing/2014/chart" uri="{C3380CC4-5D6E-409C-BE32-E72D297353CC}">
              <c16:uniqueId val="{00000000-BBE1-43E5-BAF3-C6A1FB34B6E7}"/>
            </c:ext>
          </c:extLst>
        </c:ser>
        <c:dLbls>
          <c:showLegendKey val="0"/>
          <c:showVal val="0"/>
          <c:showCatName val="0"/>
          <c:showSerName val="0"/>
          <c:showPercent val="0"/>
          <c:showBubbleSize val="0"/>
        </c:dLbls>
        <c:marker val="1"/>
        <c:smooth val="0"/>
        <c:axId val="220216704"/>
        <c:axId val="220227072"/>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Calculations'!$BC$9:$BC$109</c:f>
              <c:numCache>
                <c:formatCode>0.000</c:formatCode>
                <c:ptCount val="101"/>
                <c:pt idx="0">
                  <c:v>1.4593973253861045E-2</c:v>
                </c:pt>
                <c:pt idx="1">
                  <c:v>2.0441680006525277E-2</c:v>
                </c:pt>
                <c:pt idx="2">
                  <c:v>2.6308669345120484E-2</c:v>
                </c:pt>
                <c:pt idx="3">
                  <c:v>3.703410192631125E-2</c:v>
                </c:pt>
                <c:pt idx="4">
                  <c:v>5.0631130687037361E-2</c:v>
                </c:pt>
                <c:pt idx="5">
                  <c:v>6.3736682455094326E-2</c:v>
                </c:pt>
                <c:pt idx="6">
                  <c:v>7.6350825597852501E-2</c:v>
                </c:pt>
                <c:pt idx="7">
                  <c:v>8.8473619900795428E-2</c:v>
                </c:pt>
                <c:pt idx="8">
                  <c:v>0.10010511656251765</c:v>
                </c:pt>
                <c:pt idx="9">
                  <c:v>0.11124535818934697</c:v>
                </c:pt>
                <c:pt idx="10">
                  <c:v>0.12189437878958877</c:v>
                </c:pt>
                <c:pt idx="11">
                  <c:v>0.13205220376739396</c:v>
                </c:pt>
                <c:pt idx="12">
                  <c:v>0.14171884991624734</c:v>
                </c:pt>
                <c:pt idx="13">
                  <c:v>0.15089432541207753</c:v>
                </c:pt>
                <c:pt idx="14">
                  <c:v>0.159578629805986</c:v>
                </c:pt>
                <c:pt idx="15">
                  <c:v>0.16777175401659541</c:v>
                </c:pt>
                <c:pt idx="16">
                  <c:v>0.17547368032201555</c:v>
                </c:pt>
                <c:pt idx="17">
                  <c:v>0.18268438235142703</c:v>
                </c:pt>
                <c:pt idx="18">
                  <c:v>0.18940382507627984</c:v>
                </c:pt>
                <c:pt idx="19">
                  <c:v>0.19563196480110737</c:v>
                </c:pt>
                <c:pt idx="20">
                  <c:v>0.20136874915395486</c:v>
                </c:pt>
                <c:pt idx="21">
                  <c:v>0.20661411707641941</c:v>
                </c:pt>
                <c:pt idx="22">
                  <c:v>0.21136799881330276</c:v>
                </c:pt>
                <c:pt idx="23">
                  <c:v>0.21563031590187334</c:v>
                </c:pt>
                <c:pt idx="24">
                  <c:v>0.21940098116073903</c:v>
                </c:pt>
                <c:pt idx="25">
                  <c:v>0.22267989867832622</c:v>
                </c:pt>
                <c:pt idx="26">
                  <c:v>0.22546696380096726</c:v>
                </c:pt>
                <c:pt idx="27">
                  <c:v>0.22776206312059197</c:v>
                </c:pt>
                <c:pt idx="28">
                  <c:v>0.22956507446202404</c:v>
                </c:pt>
                <c:pt idx="29">
                  <c:v>0.2308758668698799</c:v>
                </c:pt>
                <c:pt idx="30">
                  <c:v>0.23169430059506879</c:v>
                </c:pt>
                <c:pt idx="31">
                  <c:v>0.23202022708089273</c:v>
                </c:pt>
                <c:pt idx="32">
                  <c:v>0.23185348894874511</c:v>
                </c:pt>
                <c:pt idx="33">
                  <c:v>0.23119391998340585</c:v>
                </c:pt>
                <c:pt idx="34">
                  <c:v>0.23004134511793206</c:v>
                </c:pt>
                <c:pt idx="35">
                  <c:v>0.22839558041814156</c:v>
                </c:pt>
                <c:pt idx="36">
                  <c:v>0.22625643306669066</c:v>
                </c:pt>
                <c:pt idx="37">
                  <c:v>0.22362370134673959</c:v>
                </c:pt>
                <c:pt idx="38">
                  <c:v>0.22049717462520918</c:v>
                </c:pt>
                <c:pt idx="39">
                  <c:v>0.22302434328178408</c:v>
                </c:pt>
                <c:pt idx="40">
                  <c:v>0.2299006721215664</c:v>
                </c:pt>
                <c:pt idx="41">
                  <c:v>0.23679750461597743</c:v>
                </c:pt>
                <c:pt idx="42">
                  <c:v>0.24371488293579602</c:v>
                </c:pt>
                <c:pt idx="43">
                  <c:v>0.25065284965406481</c:v>
                </c:pt>
                <c:pt idx="44">
                  <c:v>0.25761144774785943</c:v>
                </c:pt>
                <c:pt idx="45">
                  <c:v>0.26459072060007771</c:v>
                </c:pt>
                <c:pt idx="46">
                  <c:v>0.27159071200125035</c:v>
                </c:pt>
                <c:pt idx="47">
                  <c:v>0.27861146615137156</c:v>
                </c:pt>
                <c:pt idx="48">
                  <c:v>0.2856530276617506</c:v>
                </c:pt>
                <c:pt idx="49">
                  <c:v>0.29271544155688517</c:v>
                </c:pt>
                <c:pt idx="50">
                  <c:v>0.29979875327635458</c:v>
                </c:pt>
                <c:pt idx="51">
                  <c:v>0.30690300867673581</c:v>
                </c:pt>
                <c:pt idx="52">
                  <c:v>0.31402825403354007</c:v>
                </c:pt>
                <c:pt idx="53">
                  <c:v>0.32117453604317125</c:v>
                </c:pt>
                <c:pt idx="54">
                  <c:v>0.32834190182490636</c:v>
                </c:pt>
                <c:pt idx="55">
                  <c:v>0.33553039892289782</c:v>
                </c:pt>
                <c:pt idx="56">
                  <c:v>0.34274007530819822</c:v>
                </c:pt>
                <c:pt idx="57">
                  <c:v>0.34997097938080679</c:v>
                </c:pt>
                <c:pt idx="58">
                  <c:v>0.35722315997173915</c:v>
                </c:pt>
                <c:pt idx="59">
                  <c:v>0.36449666634511901</c:v>
                </c:pt>
                <c:pt idx="60">
                  <c:v>0.37179154820029359</c:v>
                </c:pt>
                <c:pt idx="61">
                  <c:v>0.37910785567397104</c:v>
                </c:pt>
                <c:pt idx="62">
                  <c:v>0.38644563934238196</c:v>
                </c:pt>
                <c:pt idx="63">
                  <c:v>0.39380495022346418</c:v>
                </c:pt>
                <c:pt idx="64">
                  <c:v>0.40118583977907063</c:v>
                </c:pt>
                <c:pt idx="65">
                  <c:v>0.40858835991720144</c:v>
                </c:pt>
                <c:pt idx="66">
                  <c:v>0.41601256299425993</c:v>
                </c:pt>
                <c:pt idx="67">
                  <c:v>0.4234585018173328</c:v>
                </c:pt>
                <c:pt idx="68">
                  <c:v>0.43092622964649485</c:v>
                </c:pt>
                <c:pt idx="69">
                  <c:v>0.43841580019713744</c:v>
                </c:pt>
                <c:pt idx="70">
                  <c:v>0.44592726764232338</c:v>
                </c:pt>
                <c:pt idx="71">
                  <c:v>0.4534606866151647</c:v>
                </c:pt>
                <c:pt idx="72">
                  <c:v>0.46101611221122735</c:v>
                </c:pt>
                <c:pt idx="73">
                  <c:v>0.46859359999096029</c:v>
                </c:pt>
                <c:pt idx="74">
                  <c:v>0.47619320598215104</c:v>
                </c:pt>
                <c:pt idx="75">
                  <c:v>0.48381498668240541</c:v>
                </c:pt>
                <c:pt idx="76">
                  <c:v>0.49145899906165585</c:v>
                </c:pt>
                <c:pt idx="77">
                  <c:v>0.49912530056469334</c:v>
                </c:pt>
                <c:pt idx="78">
                  <c:v>0.50681394911372757</c:v>
                </c:pt>
                <c:pt idx="79">
                  <c:v>0.51452500311097327</c:v>
                </c:pt>
                <c:pt idx="80">
                  <c:v>0.52225852144126339</c:v>
                </c:pt>
                <c:pt idx="81">
                  <c:v>0.53001456347468934</c:v>
                </c:pt>
                <c:pt idx="82">
                  <c:v>0.53779318906926887</c:v>
                </c:pt>
                <c:pt idx="83">
                  <c:v>0.5455944585736423</c:v>
                </c:pt>
                <c:pt idx="84">
                  <c:v>0.5534184328297943</c:v>
                </c:pt>
                <c:pt idx="85">
                  <c:v>0.56126517317580682</c:v>
                </c:pt>
                <c:pt idx="86">
                  <c:v>0.56913474144863851</c:v>
                </c:pt>
                <c:pt idx="87">
                  <c:v>0.57702719998693253</c:v>
                </c:pt>
                <c:pt idx="88">
                  <c:v>0.58494261163385475</c:v>
                </c:pt>
                <c:pt idx="89">
                  <c:v>0.59288103973995976</c:v>
                </c:pt>
                <c:pt idx="90">
                  <c:v>0.60084254816608662</c:v>
                </c:pt>
                <c:pt idx="91">
                  <c:v>0.6088272012862852</c:v>
                </c:pt>
                <c:pt idx="92">
                  <c:v>0.61683506399077026</c:v>
                </c:pt>
                <c:pt idx="93">
                  <c:v>0.62486620168890838</c:v>
                </c:pt>
                <c:pt idx="94">
                  <c:v>0.63292068031223292</c:v>
                </c:pt>
                <c:pt idx="95">
                  <c:v>0.64099856631749164</c:v>
                </c:pt>
                <c:pt idx="96">
                  <c:v>0.64909992668972438</c:v>
                </c:pt>
                <c:pt idx="97">
                  <c:v>0.65722482894537182</c:v>
                </c:pt>
                <c:pt idx="98">
                  <c:v>0.66537334113541635</c:v>
                </c:pt>
                <c:pt idx="99">
                  <c:v>0.67354553184855503</c:v>
                </c:pt>
                <c:pt idx="100">
                  <c:v>0.6817414702144039</c:v>
                </c:pt>
              </c:numCache>
            </c:numRef>
          </c:val>
          <c:smooth val="0"/>
          <c:extLst>
            <c:ext xmlns:c16="http://schemas.microsoft.com/office/drawing/2014/chart" uri="{C3380CC4-5D6E-409C-BE32-E72D297353CC}">
              <c16:uniqueId val="{00000001-BBE1-43E5-BAF3-C6A1FB34B6E7}"/>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Calculations'!$BA$9:$BA$109</c:f>
              <c:numCache>
                <c:formatCode>0.000</c:formatCode>
                <c:ptCount val="101"/>
                <c:pt idx="0">
                  <c:v>0.33607907292567174</c:v>
                </c:pt>
                <c:pt idx="1">
                  <c:v>0.3361609989655488</c:v>
                </c:pt>
                <c:pt idx="2">
                  <c:v>0.33639122002963096</c:v>
                </c:pt>
                <c:pt idx="3">
                  <c:v>0.33676975207638121</c:v>
                </c:pt>
                <c:pt idx="4">
                  <c:v>0.33729662134690475</c:v>
                </c:pt>
                <c:pt idx="5">
                  <c:v>0.33797186436949678</c:v>
                </c:pt>
                <c:pt idx="6">
                  <c:v>0.33879552796597517</c:v>
                </c:pt>
                <c:pt idx="7">
                  <c:v>0.33976766925979829</c:v>
                </c:pt>
                <c:pt idx="8">
                  <c:v>0.34088835568597231</c:v>
                </c:pt>
                <c:pt idx="9">
                  <c:v>0.34215766500274913</c:v>
                </c:pt>
                <c:pt idx="10">
                  <c:v>0.34357568530512139</c:v>
                </c:pt>
                <c:pt idx="11">
                  <c:v>0.34514251504011689</c:v>
                </c:pt>
                <c:pt idx="12">
                  <c:v>0.34685826302389722</c:v>
                </c:pt>
                <c:pt idx="13">
                  <c:v>0.34872304846066848</c:v>
                </c:pt>
                <c:pt idx="14">
                  <c:v>0.35073700096340765</c:v>
                </c:pt>
                <c:pt idx="15">
                  <c:v>0.35290026057641205</c:v>
                </c:pt>
                <c:pt idx="16">
                  <c:v>0.3552129777996807</c:v>
                </c:pt>
                <c:pt idx="17">
                  <c:v>0.35767531361513355</c:v>
                </c:pt>
                <c:pt idx="18">
                  <c:v>0.36028743951467779</c:v>
                </c:pt>
                <c:pt idx="19">
                  <c:v>0.36304953753013131</c:v>
                </c:pt>
                <c:pt idx="20">
                  <c:v>0.36596180026501129</c:v>
                </c:pt>
                <c:pt idx="21">
                  <c:v>0.36902443092820031</c:v>
                </c:pt>
                <c:pt idx="22">
                  <c:v>0.37223764336949916</c:v>
                </c:pt>
                <c:pt idx="23">
                  <c:v>0.3756016621170794</c:v>
                </c:pt>
                <c:pt idx="24">
                  <c:v>0.37911672241684707</c:v>
                </c:pt>
                <c:pt idx="25">
                  <c:v>0.38278307027373099</c:v>
                </c:pt>
                <c:pt idx="26">
                  <c:v>0.38660096249490877</c:v>
                </c:pt>
                <c:pt idx="27">
                  <c:v>0.39057066673498531</c:v>
                </c:pt>
                <c:pt idx="28">
                  <c:v>0.39469246154313831</c:v>
                </c:pt>
                <c:pt idx="29">
                  <c:v>0.39896663641224656</c:v>
                </c:pt>
                <c:pt idx="30">
                  <c:v>0.4033934918300166</c:v>
                </c:pt>
                <c:pt idx="31">
                  <c:v>0.40797333933212643</c:v>
                </c:pt>
                <c:pt idx="32">
                  <c:v>0.41270650155740157</c:v>
                </c:pt>
                <c:pt idx="33">
                  <c:v>0.41759331230504393</c:v>
                </c:pt>
                <c:pt idx="34">
                  <c:v>0.42263411659393141</c:v>
                </c:pt>
                <c:pt idx="35">
                  <c:v>0.4278292707240075</c:v>
                </c:pt>
                <c:pt idx="36">
                  <c:v>0.43317914233978394</c:v>
                </c:pt>
                <c:pt idx="37">
                  <c:v>0.43868411049597444</c:v>
                </c:pt>
                <c:pt idx="38">
                  <c:v>0.44434456572528391</c:v>
                </c:pt>
                <c:pt idx="39">
                  <c:v>0.45016091010837539</c:v>
                </c:pt>
                <c:pt idx="40">
                  <c:v>0.45613355734603744</c:v>
                </c:pt>
                <c:pt idx="41">
                  <c:v>0.46226293283357817</c:v>
                </c:pt>
                <c:pt idx="42">
                  <c:v>0.46854947373746902</c:v>
                </c:pt>
                <c:pt idx="43">
                  <c:v>0.47499362907426657</c:v>
                </c:pt>
                <c:pt idx="44">
                  <c:v>0.48159585979183755</c:v>
                </c:pt>
                <c:pt idx="45">
                  <c:v>0.48835663885291586</c:v>
                </c:pt>
                <c:pt idx="46">
                  <c:v>0.49527645132101922</c:v>
                </c:pt>
                <c:pt idx="47">
                  <c:v>0.50235579444875667</c:v>
                </c:pt>
                <c:pt idx="48">
                  <c:v>0.50959517776855545</c:v>
                </c:pt>
                <c:pt idx="49">
                  <c:v>0.51699512318583973</c:v>
                </c:pt>
                <c:pt idx="50">
                  <c:v>0.5245561650746936</c:v>
                </c:pt>
                <c:pt idx="51">
                  <c:v>0.53227885037604084</c:v>
                </c:pt>
                <c:pt idx="52">
                  <c:v>0.54016373869837642</c:v>
                </c:pt>
                <c:pt idx="53">
                  <c:v>0.54821140242108413</c:v>
                </c:pt>
                <c:pt idx="54">
                  <c:v>0.55642242680037779</c:v>
                </c:pt>
                <c:pt idx="55">
                  <c:v>0.56479741007790241</c:v>
                </c:pt>
                <c:pt idx="56">
                  <c:v>0.57333696359203368</c:v>
                </c:pt>
                <c:pt idx="57">
                  <c:v>0.58204171189191523</c:v>
                </c:pt>
                <c:pt idx="58">
                  <c:v>0.59091229285427527</c:v>
                </c:pt>
                <c:pt idx="59">
                  <c:v>0.59994935780306302</c:v>
                </c:pt>
                <c:pt idx="60">
                  <c:v>0.60915357163194739</c:v>
                </c:pt>
                <c:pt idx="61">
                  <c:v>0.61852561292972308</c:v>
                </c:pt>
                <c:pt idx="62">
                  <c:v>0.62806617410867005</c:v>
                </c:pt>
                <c:pt idx="63">
                  <c:v>0.63777596153590921</c:v>
                </c:pt>
                <c:pt idx="64">
                  <c:v>0.64765569566780679</c:v>
                </c:pt>
                <c:pt idx="65">
                  <c:v>0.6577061111874718</c:v>
                </c:pt>
                <c:pt idx="66">
                  <c:v>0.66792795714540076</c:v>
                </c:pt>
                <c:pt idx="67">
                  <c:v>0.67832199710331864</c:v>
                </c:pt>
                <c:pt idx="68">
                  <c:v>0.68888900928126995</c:v>
                </c:pt>
                <c:pt idx="69">
                  <c:v>0.69962978670801468</c:v>
                </c:pt>
                <c:pt idx="70">
                  <c:v>0.71054513737478475</c:v>
                </c:pt>
                <c:pt idx="71">
                  <c:v>0.72163588439245785</c:v>
                </c:pt>
                <c:pt idx="72">
                  <c:v>0.73290286615220801</c:v>
                </c:pt>
                <c:pt idx="73">
                  <c:v>0.74434693648969297</c:v>
                </c:pt>
                <c:pt idx="74">
                  <c:v>0.75596896485284126</c:v>
                </c:pt>
                <c:pt idx="75">
                  <c:v>0.76776983647330066</c:v>
                </c:pt>
                <c:pt idx="76">
                  <c:v>0.77975045254161524</c:v>
                </c:pt>
                <c:pt idx="77">
                  <c:v>0.79191173038619733</c:v>
                </c:pt>
                <c:pt idx="78">
                  <c:v>0.80425460365616253</c:v>
                </c:pt>
                <c:pt idx="79">
                  <c:v>0.81678002250809845</c:v>
                </c:pt>
                <c:pt idx="80">
                  <c:v>0.82948895379684018</c:v>
                </c:pt>
                <c:pt idx="81">
                  <c:v>0.8423823812703275</c:v>
                </c:pt>
                <c:pt idx="82">
                  <c:v>0.85546130576861601</c:v>
                </c:pt>
                <c:pt idx="83">
                  <c:v>0.86872674542712658</c:v>
                </c:pt>
                <c:pt idx="84">
                  <c:v>0.88217973588420606</c:v>
                </c:pt>
                <c:pt idx="85">
                  <c:v>0.89582133049308843</c:v>
                </c:pt>
                <c:pt idx="86">
                  <c:v>0.90965260053833707</c:v>
                </c:pt>
                <c:pt idx="87">
                  <c:v>0.92367463545685236</c:v>
                </c:pt>
                <c:pt idx="88">
                  <c:v>0.93788854306354086</c:v>
                </c:pt>
                <c:pt idx="89">
                  <c:v>0.95229544978172898</c:v>
                </c:pt>
                <c:pt idx="90">
                  <c:v>0.96689650087842116</c:v>
                </c:pt>
                <c:pt idx="91">
                  <c:v>0.98169286070449246</c:v>
                </c:pt>
                <c:pt idx="92">
                  <c:v>0.99668571293992159</c:v>
                </c:pt>
                <c:pt idx="93">
                  <c:v>1.0118762608441567</c:v>
                </c:pt>
                <c:pt idx="94">
                  <c:v>1.0272657275117245</c:v>
                </c:pt>
                <c:pt idx="95">
                  <c:v>1.0428553561331879</c:v>
                </c:pt>
                <c:pt idx="96">
                  <c:v>1.0586464102615543</c:v>
                </c:pt>
                <c:pt idx="97">
                  <c:v>1.0746401740842595</c:v>
                </c:pt>
                <c:pt idx="98">
                  <c:v>1.0908379527008278</c:v>
                </c:pt>
                <c:pt idx="99">
                  <c:v>1.1072410724063435</c:v>
                </c:pt>
                <c:pt idx="100">
                  <c:v>1.1238508809808283</c:v>
                </c:pt>
              </c:numCache>
            </c:numRef>
          </c:val>
          <c:smooth val="0"/>
          <c:extLst>
            <c:ext xmlns:c16="http://schemas.microsoft.com/office/drawing/2014/chart" uri="{C3380CC4-5D6E-409C-BE32-E72D297353CC}">
              <c16:uniqueId val="{00000002-BBE1-43E5-BAF3-C6A1FB34B6E7}"/>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0.3</c:v>
                </c:pt>
                <c:pt idx="2">
                  <c:v>0.6</c:v>
                </c:pt>
                <c:pt idx="3">
                  <c:v>0.9</c:v>
                </c:pt>
                <c:pt idx="4">
                  <c:v>1.2</c:v>
                </c:pt>
                <c:pt idx="5">
                  <c:v>1.5</c:v>
                </c:pt>
                <c:pt idx="6">
                  <c:v>1.8</c:v>
                </c:pt>
                <c:pt idx="7">
                  <c:v>2.1</c:v>
                </c:pt>
                <c:pt idx="8">
                  <c:v>2.4</c:v>
                </c:pt>
                <c:pt idx="9">
                  <c:v>2.7</c:v>
                </c:pt>
                <c:pt idx="10">
                  <c:v>3</c:v>
                </c:pt>
                <c:pt idx="11">
                  <c:v>3.3</c:v>
                </c:pt>
                <c:pt idx="12">
                  <c:v>3.6</c:v>
                </c:pt>
                <c:pt idx="13">
                  <c:v>3.9</c:v>
                </c:pt>
                <c:pt idx="14">
                  <c:v>4.2</c:v>
                </c:pt>
                <c:pt idx="15">
                  <c:v>4.5</c:v>
                </c:pt>
                <c:pt idx="16">
                  <c:v>4.8</c:v>
                </c:pt>
                <c:pt idx="17">
                  <c:v>5.0999999999999996</c:v>
                </c:pt>
                <c:pt idx="18">
                  <c:v>5.4</c:v>
                </c:pt>
                <c:pt idx="19">
                  <c:v>5.7</c:v>
                </c:pt>
                <c:pt idx="20">
                  <c:v>6</c:v>
                </c:pt>
                <c:pt idx="21">
                  <c:v>6.3</c:v>
                </c:pt>
                <c:pt idx="22">
                  <c:v>6.6</c:v>
                </c:pt>
                <c:pt idx="23">
                  <c:v>6.9</c:v>
                </c:pt>
                <c:pt idx="24">
                  <c:v>7.2</c:v>
                </c:pt>
                <c:pt idx="25">
                  <c:v>7.5</c:v>
                </c:pt>
                <c:pt idx="26">
                  <c:v>7.8</c:v>
                </c:pt>
                <c:pt idx="27">
                  <c:v>8.1</c:v>
                </c:pt>
                <c:pt idx="28">
                  <c:v>8.4</c:v>
                </c:pt>
                <c:pt idx="29">
                  <c:v>8.6999999999999993</c:v>
                </c:pt>
                <c:pt idx="30">
                  <c:v>9</c:v>
                </c:pt>
                <c:pt idx="31">
                  <c:v>9.3000000000000007</c:v>
                </c:pt>
                <c:pt idx="32">
                  <c:v>9.6</c:v>
                </c:pt>
                <c:pt idx="33">
                  <c:v>9.9</c:v>
                </c:pt>
                <c:pt idx="34">
                  <c:v>10.199999999999999</c:v>
                </c:pt>
                <c:pt idx="35">
                  <c:v>10.5</c:v>
                </c:pt>
                <c:pt idx="36">
                  <c:v>10.8</c:v>
                </c:pt>
                <c:pt idx="37">
                  <c:v>11.1</c:v>
                </c:pt>
                <c:pt idx="38">
                  <c:v>11.4</c:v>
                </c:pt>
                <c:pt idx="39">
                  <c:v>11.7</c:v>
                </c:pt>
                <c:pt idx="40">
                  <c:v>12</c:v>
                </c:pt>
                <c:pt idx="41">
                  <c:v>12.3</c:v>
                </c:pt>
                <c:pt idx="42">
                  <c:v>12.6</c:v>
                </c:pt>
                <c:pt idx="43">
                  <c:v>12.9</c:v>
                </c:pt>
                <c:pt idx="44">
                  <c:v>13.2</c:v>
                </c:pt>
                <c:pt idx="45">
                  <c:v>13.5</c:v>
                </c:pt>
                <c:pt idx="46">
                  <c:v>13.8</c:v>
                </c:pt>
                <c:pt idx="47">
                  <c:v>14.1</c:v>
                </c:pt>
                <c:pt idx="48">
                  <c:v>14.4</c:v>
                </c:pt>
                <c:pt idx="49">
                  <c:v>14.7</c:v>
                </c:pt>
                <c:pt idx="50">
                  <c:v>15</c:v>
                </c:pt>
                <c:pt idx="51">
                  <c:v>15.3</c:v>
                </c:pt>
                <c:pt idx="52">
                  <c:v>15.6</c:v>
                </c:pt>
                <c:pt idx="53">
                  <c:v>15.9</c:v>
                </c:pt>
                <c:pt idx="54">
                  <c:v>16.2</c:v>
                </c:pt>
                <c:pt idx="55">
                  <c:v>16.5</c:v>
                </c:pt>
                <c:pt idx="56">
                  <c:v>16.8</c:v>
                </c:pt>
                <c:pt idx="57">
                  <c:v>17.100000000000001</c:v>
                </c:pt>
                <c:pt idx="58">
                  <c:v>17.399999999999999</c:v>
                </c:pt>
                <c:pt idx="59">
                  <c:v>17.7</c:v>
                </c:pt>
                <c:pt idx="60">
                  <c:v>18</c:v>
                </c:pt>
                <c:pt idx="61">
                  <c:v>18.3</c:v>
                </c:pt>
                <c:pt idx="62">
                  <c:v>18.600000000000001</c:v>
                </c:pt>
                <c:pt idx="63">
                  <c:v>18.899999999999999</c:v>
                </c:pt>
                <c:pt idx="64">
                  <c:v>19.2</c:v>
                </c:pt>
                <c:pt idx="65">
                  <c:v>19.5</c:v>
                </c:pt>
                <c:pt idx="66">
                  <c:v>19.8</c:v>
                </c:pt>
                <c:pt idx="67">
                  <c:v>20.100000000000001</c:v>
                </c:pt>
                <c:pt idx="68">
                  <c:v>20.399999999999999</c:v>
                </c:pt>
                <c:pt idx="69">
                  <c:v>20.7</c:v>
                </c:pt>
                <c:pt idx="70">
                  <c:v>21</c:v>
                </c:pt>
                <c:pt idx="71">
                  <c:v>21.3</c:v>
                </c:pt>
                <c:pt idx="72">
                  <c:v>21.6</c:v>
                </c:pt>
                <c:pt idx="73">
                  <c:v>21.9</c:v>
                </c:pt>
                <c:pt idx="74">
                  <c:v>22.2</c:v>
                </c:pt>
                <c:pt idx="75">
                  <c:v>22.5</c:v>
                </c:pt>
                <c:pt idx="76">
                  <c:v>22.8</c:v>
                </c:pt>
                <c:pt idx="77">
                  <c:v>23.1</c:v>
                </c:pt>
                <c:pt idx="78">
                  <c:v>23.4</c:v>
                </c:pt>
                <c:pt idx="79">
                  <c:v>23.7</c:v>
                </c:pt>
                <c:pt idx="80">
                  <c:v>24</c:v>
                </c:pt>
                <c:pt idx="81">
                  <c:v>24.3</c:v>
                </c:pt>
                <c:pt idx="82">
                  <c:v>24.6</c:v>
                </c:pt>
                <c:pt idx="83">
                  <c:v>24.9</c:v>
                </c:pt>
                <c:pt idx="84">
                  <c:v>25.2</c:v>
                </c:pt>
                <c:pt idx="85">
                  <c:v>25.5</c:v>
                </c:pt>
                <c:pt idx="86">
                  <c:v>25.8</c:v>
                </c:pt>
                <c:pt idx="87">
                  <c:v>26.1</c:v>
                </c:pt>
                <c:pt idx="88">
                  <c:v>26.4</c:v>
                </c:pt>
                <c:pt idx="89">
                  <c:v>26.7</c:v>
                </c:pt>
                <c:pt idx="90">
                  <c:v>27</c:v>
                </c:pt>
                <c:pt idx="91">
                  <c:v>27.3</c:v>
                </c:pt>
                <c:pt idx="92">
                  <c:v>27.6</c:v>
                </c:pt>
                <c:pt idx="93">
                  <c:v>27.9</c:v>
                </c:pt>
                <c:pt idx="94">
                  <c:v>28.2</c:v>
                </c:pt>
                <c:pt idx="95">
                  <c:v>28.5</c:v>
                </c:pt>
                <c:pt idx="96">
                  <c:v>28.8</c:v>
                </c:pt>
                <c:pt idx="97">
                  <c:v>29.1</c:v>
                </c:pt>
                <c:pt idx="98">
                  <c:v>29.4</c:v>
                </c:pt>
                <c:pt idx="99">
                  <c:v>29.7</c:v>
                </c:pt>
                <c:pt idx="100">
                  <c:v>30</c:v>
                </c:pt>
              </c:numCache>
            </c:numRef>
          </c:cat>
          <c:val>
            <c:numRef>
              <c:f>'Ch2 Efficiency Calculations'!$BD$9:$BD$109</c:f>
              <c:numCache>
                <c:formatCode>0.000</c:formatCode>
                <c:ptCount val="101"/>
                <c:pt idx="0">
                  <c:v>2.5594227569933171E-2</c:v>
                </c:pt>
                <c:pt idx="1">
                  <c:v>2.7850401408197098E-2</c:v>
                </c:pt>
                <c:pt idx="2">
                  <c:v>3.0171114280152247E-2</c:v>
                </c:pt>
                <c:pt idx="3">
                  <c:v>3.2556380520300077E-2</c:v>
                </c:pt>
                <c:pt idx="4">
                  <c:v>3.5006219436888621E-2</c:v>
                </c:pt>
                <c:pt idx="5">
                  <c:v>3.7520655314768503E-2</c:v>
                </c:pt>
                <c:pt idx="6">
                  <c:v>4.0099717419208036E-2</c:v>
                </c:pt>
                <c:pt idx="7">
                  <c:v>4.2743440000668549E-2</c:v>
                </c:pt>
                <c:pt idx="8">
                  <c:v>4.5451862300541254E-2</c:v>
                </c:pt>
                <c:pt idx="9">
                  <c:v>4.8225028557847993E-2</c:v>
                </c:pt>
                <c:pt idx="10">
                  <c:v>5.1062988016907764E-2</c:v>
                </c:pt>
                <c:pt idx="11">
                  <c:v>5.3965794935971756E-2</c:v>
                </c:pt>
                <c:pt idx="12">
                  <c:v>5.6933508596829989E-2</c:v>
                </c:pt>
                <c:pt idx="13">
                  <c:v>5.9966193315392498E-2</c:v>
                </c:pt>
                <c:pt idx="14">
                  <c:v>6.3063918453249226E-2</c:v>
                </c:pt>
                <c:pt idx="15">
                  <c:v>6.6226758430212126E-2</c:v>
                </c:pt>
                <c:pt idx="16">
                  <c:v>6.9454792737844259E-2</c:v>
                </c:pt>
                <c:pt idx="17">
                  <c:v>7.274810595398043E-2</c:v>
                </c:pt>
                <c:pt idx="18">
                  <c:v>7.6106787758244296E-2</c:v>
                </c:pt>
                <c:pt idx="19">
                  <c:v>7.9530932948568056E-2</c:v>
                </c:pt>
                <c:pt idx="20">
                  <c:v>8.3020641458719541E-2</c:v>
                </c:pt>
                <c:pt idx="21">
                  <c:v>8.6576018376843866E-2</c:v>
                </c:pt>
                <c:pt idx="22">
                  <c:v>9.0197173965025759E-2</c:v>
                </c:pt>
                <c:pt idx="23">
                  <c:v>9.3884223679879419E-2</c:v>
                </c:pt>
                <c:pt idx="24">
                  <c:v>9.7637288194173888E-2</c:v>
                </c:pt>
                <c:pt idx="25">
                  <c:v>0.10145649341950048</c:v>
                </c:pt>
                <c:pt idx="26">
                  <c:v>0.10534197052999204</c:v>
                </c:pt>
                <c:pt idx="27">
                  <c:v>0.10929385598710094</c:v>
                </c:pt>
                <c:pt idx="28">
                  <c:v>0.11331229156544573</c:v>
                </c:pt>
                <c:pt idx="29">
                  <c:v>0.11739742437973569</c:v>
                </c:pt>
                <c:pt idx="30">
                  <c:v>0.12154940691278243</c:v>
                </c:pt>
                <c:pt idx="31">
                  <c:v>0.12576839704460957</c:v>
                </c:pt>
                <c:pt idx="32">
                  <c:v>0.13005455808267036</c:v>
                </c:pt>
                <c:pt idx="33">
                  <c:v>0.13440805879318476</c:v>
                </c:pt>
                <c:pt idx="34">
                  <c:v>0.13882907343360704</c:v>
                </c:pt>
                <c:pt idx="35">
                  <c:v>0.14331778178623603</c:v>
                </c:pt>
                <c:pt idx="36">
                  <c:v>0.14787436919298078</c:v>
                </c:pt>
                <c:pt idx="37">
                  <c:v>0.15249902659129339</c:v>
                </c:pt>
                <c:pt idx="38">
                  <c:v>0.15719195055128338</c:v>
                </c:pt>
                <c:pt idx="39">
                  <c:v>0.16210495320338689</c:v>
                </c:pt>
                <c:pt idx="40">
                  <c:v>0.16719625460619775</c:v>
                </c:pt>
                <c:pt idx="41">
                  <c:v>0.17235672323560725</c:v>
                </c:pt>
                <c:pt idx="42">
                  <c:v>0.1775865891912331</c:v>
                </c:pt>
                <c:pt idx="43">
                  <c:v>0.18288608845337784</c:v>
                </c:pt>
                <c:pt idx="44">
                  <c:v>0.18825546292903447</c:v>
                </c:pt>
                <c:pt idx="45">
                  <c:v>0.19369496049919388</c:v>
                </c:pt>
                <c:pt idx="46">
                  <c:v>0.19920483506747155</c:v>
                </c:pt>
                <c:pt idx="47">
                  <c:v>0.20478534661007208</c:v>
                </c:pt>
                <c:pt idx="48">
                  <c:v>0.21043676122711025</c:v>
                </c:pt>
                <c:pt idx="49">
                  <c:v>0.21615935119530816</c:v>
                </c:pt>
                <c:pt idx="50">
                  <c:v>0.22195339502208888</c:v>
                </c:pt>
                <c:pt idx="51">
                  <c:v>0.22781917750108699</c:v>
                </c:pt>
                <c:pt idx="52">
                  <c:v>0.23375698976909709</c:v>
                </c:pt>
                <c:pt idx="53">
                  <c:v>0.23976712936448319</c:v>
                </c:pt>
                <c:pt idx="54">
                  <c:v>0.24584990028707021</c:v>
                </c:pt>
                <c:pt idx="55">
                  <c:v>0.25200561305954228</c:v>
                </c:pt>
                <c:pt idx="56">
                  <c:v>0.25823458479037076</c:v>
                </c:pt>
                <c:pt idx="57">
                  <c:v>0.26453713923829708</c:v>
                </c:pt>
                <c:pt idx="58">
                  <c:v>0.27091360687839544</c:v>
                </c:pt>
                <c:pt idx="59">
                  <c:v>0.27736432496974173</c:v>
                </c:pt>
                <c:pt idx="60">
                  <c:v>0.28388963762471564</c:v>
                </c:pt>
                <c:pt idx="61">
                  <c:v>0.29048989587996293</c:v>
                </c:pt>
                <c:pt idx="62">
                  <c:v>0.29716545776904607</c:v>
                </c:pt>
                <c:pt idx="63">
                  <c:v>0.30391668839681407</c:v>
                </c:pt>
                <c:pt idx="64">
                  <c:v>0.31074396001551918</c:v>
                </c:pt>
                <c:pt idx="65">
                  <c:v>0.31764765210271206</c:v>
                </c:pt>
                <c:pt idx="66">
                  <c:v>0.32462815144094798</c:v>
                </c:pt>
                <c:pt idx="67">
                  <c:v>0.33168585219933622</c:v>
                </c:pt>
                <c:pt idx="68">
                  <c:v>0.33882115601696372</c:v>
                </c:pt>
                <c:pt idx="69">
                  <c:v>0.34603447208823174</c:v>
                </c:pt>
                <c:pt idx="70">
                  <c:v>0.35332621725013613</c:v>
                </c:pt>
                <c:pt idx="71">
                  <c:v>0.3606968160715317</c:v>
                </c:pt>
                <c:pt idx="72">
                  <c:v>0.36814670094441393</c:v>
                </c:pt>
                <c:pt idx="73">
                  <c:v>0.37567631217725916</c:v>
                </c:pt>
                <c:pt idx="74">
                  <c:v>0.38328609809046238</c:v>
                </c:pt>
                <c:pt idx="75">
                  <c:v>0.39097651511391007</c:v>
                </c:pt>
                <c:pt idx="76">
                  <c:v>0.39874802788673414</c:v>
                </c:pt>
                <c:pt idx="77">
                  <c:v>0.4066011093592849</c:v>
                </c:pt>
                <c:pt idx="78">
                  <c:v>0.41453624089737051</c:v>
                </c:pt>
                <c:pt idx="79">
                  <c:v>0.42255391238880641</c:v>
                </c:pt>
                <c:pt idx="80">
                  <c:v>0.43065462235231922</c:v>
                </c:pt>
                <c:pt idx="81">
                  <c:v>0.43883887804885613</c:v>
                </c:pt>
                <c:pt idx="82">
                  <c:v>0.4471071955953459</c:v>
                </c:pt>
                <c:pt idx="83">
                  <c:v>0.45546010008096116</c:v>
                </c:pt>
                <c:pt idx="84">
                  <c:v>0.46389812568593608</c:v>
                </c:pt>
                <c:pt idx="85">
                  <c:v>0.47242181580298959</c:v>
                </c:pt>
                <c:pt idx="86">
                  <c:v>0.48103172316140996</c:v>
                </c:pt>
                <c:pt idx="87">
                  <c:v>0.48972840995385425</c:v>
                </c:pt>
                <c:pt idx="88">
                  <c:v>0.49851244796592475</c:v>
                </c:pt>
                <c:pt idx="89">
                  <c:v>0.50738441870857476</c:v>
                </c:pt>
                <c:pt idx="90">
                  <c:v>0.51634491355340906</c:v>
                </c:pt>
                <c:pt idx="91">
                  <c:v>0.52539453387094015</c:v>
                </c:pt>
                <c:pt idx="92">
                  <c:v>0.53453389117186101</c:v>
                </c:pt>
                <c:pt idx="93">
                  <c:v>0.54376360725140582</c:v>
                </c:pt>
                <c:pt idx="94">
                  <c:v>0.55308431433685878</c:v>
                </c:pt>
                <c:pt idx="95">
                  <c:v>0.56249665523828773</c:v>
                </c:pt>
                <c:pt idx="96">
                  <c:v>0.57200128350256652</c:v>
                </c:pt>
                <c:pt idx="97">
                  <c:v>0.58159886357076562</c:v>
                </c:pt>
                <c:pt idx="98">
                  <c:v>0.59129007093898023</c:v>
                </c:pt>
                <c:pt idx="99">
                  <c:v>0.60107559232268093</c:v>
                </c:pt>
                <c:pt idx="100">
                  <c:v>0.61095612582465408</c:v>
                </c:pt>
              </c:numCache>
            </c:numRef>
          </c:val>
          <c:smooth val="0"/>
          <c:extLst>
            <c:ext xmlns:c16="http://schemas.microsoft.com/office/drawing/2014/chart" uri="{C3380CC4-5D6E-409C-BE32-E72D297353CC}">
              <c16:uniqueId val="{00000003-BBE1-43E5-BAF3-C6A1FB34B6E7}"/>
            </c:ext>
          </c:extLst>
        </c:ser>
        <c:dLbls>
          <c:showLegendKey val="0"/>
          <c:showVal val="0"/>
          <c:showCatName val="0"/>
          <c:showSerName val="0"/>
          <c:showPercent val="0"/>
          <c:showBubbleSize val="0"/>
        </c:dLbls>
        <c:marker val="1"/>
        <c:smooth val="0"/>
        <c:axId val="220239360"/>
        <c:axId val="220228992"/>
      </c:lineChart>
      <c:catAx>
        <c:axId val="220216704"/>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220227072"/>
        <c:crosses val="autoZero"/>
        <c:auto val="1"/>
        <c:lblAlgn val="ctr"/>
        <c:lblOffset val="100"/>
        <c:tickLblSkip val="20"/>
        <c:tickMarkSkip val="20"/>
        <c:noMultiLvlLbl val="1"/>
      </c:catAx>
      <c:valAx>
        <c:axId val="2202270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220216704"/>
        <c:crosses val="autoZero"/>
        <c:crossBetween val="between"/>
        <c:majorUnit val="5"/>
        <c:minorUnit val="2.5"/>
      </c:valAx>
      <c:valAx>
        <c:axId val="220228992"/>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220239360"/>
        <c:crosses val="max"/>
        <c:crossBetween val="between"/>
      </c:valAx>
      <c:catAx>
        <c:axId val="220239360"/>
        <c:scaling>
          <c:orientation val="minMax"/>
        </c:scaling>
        <c:delete val="1"/>
        <c:axPos val="b"/>
        <c:numFmt formatCode="0.000" sourceLinked="1"/>
        <c:majorTickMark val="out"/>
        <c:minorTickMark val="none"/>
        <c:tickLblPos val="nextTo"/>
        <c:crossAx val="220228992"/>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max="100" min="5" page="10" val="22"/>
</file>

<file path=xl/ctrlProps/ctrlProp5.xml><?xml version="1.0" encoding="utf-8"?>
<formControlPr xmlns="http://schemas.microsoft.com/office/spreadsheetml/2009/9/main" objectType="Spin" dx="16" fmlaLink="$E$8" max="58" page="10" val="45"/>
</file>

<file path=xl/ctrlProps/ctrlProp6.xml><?xml version="1.0" encoding="utf-8"?>
<formControlPr xmlns="http://schemas.microsoft.com/office/spreadsheetml/2009/9/main" objectType="Drop" dropLines="2" dropStyle="combo" dx="16" fmlaLink="'Variable Management'!$L$10" fmlaRange="'Variable Management'!$K$8:$K$9" noThreeD="1" sel="1" val="0"/>
</file>

<file path=xl/ctrlProps/ctrlProp7.xml><?xml version="1.0" encoding="utf-8"?>
<formControlPr xmlns="http://schemas.microsoft.com/office/spreadsheetml/2009/9/main" objectType="Drop" dropLines="2" dropStyle="combo" dx="16" fmlaLink="'Variable Management'!$O$10" fmlaRange="'Variable Management'!$N$8:$N$9" noThreeD="1" sel="1" val="0"/>
</file>

<file path=xl/ctrlProps/ctrlProp8.xml><?xml version="1.0" encoding="utf-8"?>
<formControlPr xmlns="http://schemas.microsoft.com/office/spreadsheetml/2009/9/main" objectType="Drop" dropLines="5" dropStyle="combo" dx="16" fmlaLink="'Variable Management'!$U$12" fmlaRange="'Variable Management'!$T$8:$T$11" noThreeD="1" sel="2" val="0"/>
</file>

<file path=xl/ctrlProps/ctrlProp9.xml><?xml version="1.0" encoding="utf-8"?>
<formControlPr xmlns="http://schemas.microsoft.com/office/spreadsheetml/2009/9/main" objectType="Drop" dropLines="2" dropStyle="combo" dx="16" fmlaLink="'Variable Management'!$X$10" fmlaRange="'Variable Management'!$W$8:$W$9" noThreeD="1" sel="2" val="0"/>
</file>

<file path=xl/ctrlProps/ctrlProp10.xml><?xml version="1.0" encoding="utf-8"?>
<formControlPr xmlns="http://schemas.microsoft.com/office/spreadsheetml/2009/9/main" objectType="Spin" dx="16" fmlaLink="$J$63" max="100" min="5" page="10" val="66"/>
</file>

<file path=xl/ctrlProps/ctrlProp11.xml><?xml version="1.0" encoding="utf-8"?>
<formControlPr xmlns="http://schemas.microsoft.com/office/spreadsheetml/2009/9/main" objectType="Drop" dropLines="2" dropStyle="combo" dx="16" fmlaLink="'Variable Management'!$AA$10" fmlaRange="'Variable Management'!$Z$8:$Z$9" noThreeD="1" sel="1" val="0"/>
</file>

<file path=xl/ctrlProps/ctrlProp12.xml><?xml version="1.0" encoding="utf-8"?>
<formControlPr xmlns="http://schemas.microsoft.com/office/spreadsheetml/2009/9/main" objectType="Drop" dropLines="2" dropStyle="combo" dx="16" fmlaLink="'Variable Management'!$X$15" fmlaRange="'Variable Management'!$W$13:$W$14" noThreeD="1" sel="2" val="0"/>
</file>

<file path=xl/ctrlProps/ctrlProp13.xml><?xml version="1.0" encoding="utf-8"?>
<formControlPr xmlns="http://schemas.microsoft.com/office/spreadsheetml/2009/9/main" objectType="Drop" dropLines="5" dropStyle="combo" dx="16" fmlaLink="'Variable Management'!$Y$25" fmlaRange="'Variable Management'!$X$20:$X$24" noThreeD="1" sel="3" val="0"/>
</file>

<file path=xl/ctrlProps/ctrlProp14.xml><?xml version="1.0" encoding="utf-8"?>
<formControlPr xmlns="http://schemas.microsoft.com/office/spreadsheetml/2009/9/main" objectType="Drop" dropLines="2" dropStyle="combo" dx="16" fmlaLink="'Variable Management'!$AA$17" fmlaRange="'Variable Management'!$Z$15:$Z$1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automotive" TargetMode="External"/><Relationship Id="rId5" Type="http://schemas.openxmlformats.org/officeDocument/2006/relationships/image" Target="../media/image4.png"/><Relationship Id="rId4" Type="http://schemas.openxmlformats.org/officeDocument/2006/relationships/hyperlink" Target="http://www.ti.com/widevin"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1.emf"/></Relationships>
</file>

<file path=xl/drawings/_rels/drawing3.xml.rels><?xml version="1.0" encoding="UTF-8" standalone="yes"?>
<Relationships xmlns="http://schemas.openxmlformats.org/package/2006/relationships"><Relationship Id="rId2" Type="http://schemas.openxmlformats.org/officeDocument/2006/relationships/image" Target="../media/image14.jpg"/><Relationship Id="rId1" Type="http://schemas.openxmlformats.org/officeDocument/2006/relationships/image" Target="../media/image13.jpg"/></Relationships>
</file>

<file path=xl/drawings/_rels/drawing4.xml.rels><?xml version="1.0" encoding="UTF-8" standalone="yes"?>
<Relationships xmlns="http://schemas.openxmlformats.org/package/2006/relationships"><Relationship Id="rId2" Type="http://schemas.openxmlformats.org/officeDocument/2006/relationships/image" Target="../media/image16.jp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311150</xdr:colOff>
          <xdr:row>69</xdr:row>
          <xdr:rowOff>76200</xdr:rowOff>
        </xdr:from>
        <xdr:to>
          <xdr:col>2</xdr:col>
          <xdr:colOff>901700</xdr:colOff>
          <xdr:row>71</xdr:row>
          <xdr:rowOff>139700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311150</xdr:colOff>
          <xdr:row>69</xdr:row>
          <xdr:rowOff>76200</xdr:rowOff>
        </xdr:from>
        <xdr:to>
          <xdr:col>2</xdr:col>
          <xdr:colOff>901700</xdr:colOff>
          <xdr:row>71</xdr:row>
          <xdr:rowOff>139700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1" i="0" u="none" strike="noStrike" baseline="0">
                  <a:solidFill>
                    <a:srgbClr val="000000"/>
                  </a:solidFill>
                  <a:latin typeface="Arial"/>
                  <a:cs typeface="Arial"/>
                </a:rPr>
                <a:t>FIX</a:t>
              </a:r>
            </a:p>
            <a:p>
              <a:pPr algn="ctr" rtl="0">
                <a:defRPr sz="1000"/>
              </a:pPr>
              <a:r>
                <a:rPr lang="en-CA"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4826000</xdr:colOff>
          <xdr:row>0</xdr:row>
          <xdr:rowOff>482600</xdr:rowOff>
        </xdr:from>
        <xdr:to>
          <xdr:col>16</xdr:col>
          <xdr:colOff>5207000</xdr:colOff>
          <xdr:row>1</xdr:row>
          <xdr:rowOff>139700</xdr:rowOff>
        </xdr:to>
        <xdr:sp macro="" textlink="">
          <xdr:nvSpPr>
            <xdr:cNvPr id="700372" name="Drop Down 3028" hidden="1">
              <a:extLst>
                <a:ext uri="{63B3BB69-23CF-44E3-9099-C40C66FF867C}">
                  <a14:compatExt spid="_x0000_s700372"/>
                </a:ext>
                <a:ext uri="{FF2B5EF4-FFF2-40B4-BE49-F238E27FC236}">
                  <a16:creationId xmlns:a16="http://schemas.microsoft.com/office/drawing/2014/main" id="{00000000-0008-0000-0000-0000D4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72390</xdr:colOff>
          <xdr:row>42</xdr:row>
          <xdr:rowOff>118899</xdr:rowOff>
        </xdr:from>
        <xdr:to>
          <xdr:col>16</xdr:col>
          <xdr:colOff>5490210</xdr:colOff>
          <xdr:row>71</xdr:row>
          <xdr:rowOff>148987</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728096"/>
                </a:ext>
              </a:extLst>
            </xdr:cNvPicPr>
          </xdr:nvPicPr>
          <xdr:blipFill>
            <a:blip xmlns:r="http://schemas.openxmlformats.org/officeDocument/2006/relationships" r:embed="rId1"/>
            <a:srcRect/>
            <a:stretch>
              <a:fillRect/>
            </a:stretch>
          </xdr:blipFill>
          <xdr:spPr bwMode="auto">
            <a:xfrm>
              <a:off x="6781800" y="8472324"/>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232410</xdr:colOff>
          <xdr:row>78</xdr:row>
          <xdr:rowOff>111279</xdr:rowOff>
        </xdr:from>
        <xdr:to>
          <xdr:col>16</xdr:col>
          <xdr:colOff>5177790</xdr:colOff>
          <xdr:row>107</xdr:row>
          <xdr:rowOff>40988</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728097"/>
                </a:ext>
              </a:extLst>
            </xdr:cNvPicPr>
          </xdr:nvPicPr>
          <xdr:blipFill>
            <a:blip xmlns:r="http://schemas.openxmlformats.org/officeDocument/2006/relationships" r:embed="rId2"/>
            <a:srcRect/>
            <a:stretch>
              <a:fillRect/>
            </a:stretch>
          </xdr:blipFill>
          <xdr:spPr bwMode="auto">
            <a:xfrm>
              <a:off x="6457950" y="15301749"/>
              <a:ext cx="8772525" cy="54593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12</xdr:col>
      <xdr:colOff>108883</xdr:colOff>
      <xdr:row>63</xdr:row>
      <xdr:rowOff>2861</xdr:rowOff>
    </xdr:from>
    <xdr:to>
      <xdr:col>15</xdr:col>
      <xdr:colOff>590549</xdr:colOff>
      <xdr:row>64</xdr:row>
      <xdr:rowOff>7620</xdr:rowOff>
    </xdr:to>
    <xdr:sp macro="" textlink="'Variable Management'!A365">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7888903" y="12141521"/>
          <a:ext cx="2356186" cy="195259"/>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20.7 kHz</a:t>
          </a:fld>
          <a:endParaRPr lang="en-US" sz="1100" b="1" i="0" u="none" strike="noStrike" baseline="0">
            <a:solidFill>
              <a:srgbClr val="FF0000"/>
            </a:solidFill>
            <a:latin typeface="Arial"/>
            <a:cs typeface="Arial"/>
          </a:endParaRPr>
        </a:p>
      </xdr:txBody>
    </xdr:sp>
    <xdr:clientData/>
  </xdr:twoCellAnchor>
  <xdr:twoCellAnchor>
    <xdr:from>
      <xdr:col>12</xdr:col>
      <xdr:colOff>138934</xdr:colOff>
      <xdr:row>64</xdr:row>
      <xdr:rowOff>150685</xdr:rowOff>
    </xdr:from>
    <xdr:to>
      <xdr:col>14</xdr:col>
      <xdr:colOff>354329</xdr:colOff>
      <xdr:row>65</xdr:row>
      <xdr:rowOff>165123</xdr:rowOff>
    </xdr:to>
    <xdr:sp macro="" textlink="'Variable Management'!A366">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7918954" y="12479845"/>
          <a:ext cx="1465075" cy="204938"/>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65°</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6350</xdr:colOff>
          <xdr:row>62</xdr:row>
          <xdr:rowOff>0</xdr:rowOff>
        </xdr:from>
        <xdr:to>
          <xdr:col>5</xdr:col>
          <xdr:colOff>184150</xdr:colOff>
          <xdr:row>62</xdr:row>
          <xdr:rowOff>184150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120650</xdr:colOff>
          <xdr:row>7</xdr:row>
          <xdr:rowOff>6350</xdr:rowOff>
        </xdr:from>
        <xdr:to>
          <xdr:col>5</xdr:col>
          <xdr:colOff>304800</xdr:colOff>
          <xdr:row>8</xdr:row>
          <xdr:rowOff>25400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374650</xdr:colOff>
          <xdr:row>77</xdr:row>
          <xdr:rowOff>31750</xdr:rowOff>
        </xdr:from>
        <xdr:to>
          <xdr:col>13</xdr:col>
          <xdr:colOff>425450</xdr:colOff>
          <xdr:row>78</xdr:row>
          <xdr:rowOff>107950</xdr:rowOff>
        </xdr:to>
        <xdr:sp macro="" textlink="">
          <xdr:nvSpPr>
            <xdr:cNvPr id="672924" name="Drop Down 156" hidden="1">
              <a:extLst>
                <a:ext uri="{63B3BB69-23CF-44E3-9099-C40C66FF867C}">
                  <a14:compatExt spid="_x0000_s672924"/>
                </a:ext>
                <a:ext uri="{FF2B5EF4-FFF2-40B4-BE49-F238E27FC236}">
                  <a16:creationId xmlns:a16="http://schemas.microsoft.com/office/drawing/2014/main" id="{00000000-0008-0000-0000-00009C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54</xdr:row>
          <xdr:rowOff>0</xdr:rowOff>
        </xdr:from>
        <xdr:to>
          <xdr:col>1</xdr:col>
          <xdr:colOff>482600</xdr:colOff>
          <xdr:row>55</xdr:row>
          <xdr:rowOff>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72391</xdr:colOff>
          <xdr:row>4</xdr:row>
          <xdr:rowOff>114300</xdr:rowOff>
        </xdr:from>
        <xdr:to>
          <xdr:col>16</xdr:col>
          <xdr:colOff>5907543</xdr:colOff>
          <xdr:row>32</xdr:row>
          <xdr:rowOff>148590</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728098"/>
                </a:ext>
              </a:extLst>
            </xdr:cNvPicPr>
          </xdr:nvPicPr>
          <xdr:blipFill>
            <a:blip xmlns:r="http://schemas.openxmlformats.org/officeDocument/2006/relationships" r:embed="rId3"/>
            <a:srcRect/>
            <a:stretch>
              <a:fillRect/>
            </a:stretch>
          </xdr:blipFill>
          <xdr:spPr bwMode="auto">
            <a:xfrm>
              <a:off x="6781801" y="1257300"/>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oneCell">
    <xdr:from>
      <xdr:col>16</xdr:col>
      <xdr:colOff>3638551</xdr:colOff>
      <xdr:row>35</xdr:row>
      <xdr:rowOff>114300</xdr:rowOff>
    </xdr:from>
    <xdr:to>
      <xdr:col>16</xdr:col>
      <xdr:colOff>5900871</xdr:colOff>
      <xdr:row>43</xdr:row>
      <xdr:rowOff>111023</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696951" y="7086600"/>
          <a:ext cx="2258510" cy="1427378"/>
        </a:xfrm>
        <a:prstGeom prst="rect">
          <a:avLst/>
        </a:prstGeom>
      </xdr:spPr>
    </xdr:pic>
    <xdr:clientData/>
  </xdr:twoCellAnchor>
  <xdr:twoCellAnchor editAs="oneCell">
    <xdr:from>
      <xdr:col>16</xdr:col>
      <xdr:colOff>4082415</xdr:colOff>
      <xdr:row>0</xdr:row>
      <xdr:rowOff>0</xdr:rowOff>
    </xdr:from>
    <xdr:to>
      <xdr:col>17</xdr:col>
      <xdr:colOff>3810</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4140815" y="0"/>
          <a:ext cx="1859280" cy="1162050"/>
        </a:xfrm>
        <a:prstGeom prst="rect">
          <a:avLst/>
        </a:prstGeom>
      </xdr:spPr>
    </xdr:pic>
    <xdr:clientData/>
  </xdr:twoCellAnchor>
  <xdr:twoCellAnchor editAs="oneCell">
    <xdr:from>
      <xdr:col>0</xdr:col>
      <xdr:colOff>9525</xdr:colOff>
      <xdr:row>0</xdr:row>
      <xdr:rowOff>9525</xdr:rowOff>
    </xdr:from>
    <xdr:to>
      <xdr:col>3</xdr:col>
      <xdr:colOff>148590</xdr:colOff>
      <xdr:row>1</xdr:row>
      <xdr:rowOff>1558</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520700</xdr:colOff>
          <xdr:row>5</xdr:row>
          <xdr:rowOff>6350</xdr:rowOff>
        </xdr:from>
        <xdr:to>
          <xdr:col>5</xdr:col>
          <xdr:colOff>101600</xdr:colOff>
          <xdr:row>6</xdr:row>
          <xdr:rowOff>6350</xdr:rowOff>
        </xdr:to>
        <xdr:sp macro="" textlink="">
          <xdr:nvSpPr>
            <xdr:cNvPr id="685346" name="Drop Down 1314" hidden="1">
              <a:extLst>
                <a:ext uri="{63B3BB69-23CF-44E3-9099-C40C66FF867C}">
                  <a14:compatExt spid="_x0000_s685346"/>
                </a:ext>
                <a:ext uri="{FF2B5EF4-FFF2-40B4-BE49-F238E27FC236}">
                  <a16:creationId xmlns:a16="http://schemas.microsoft.com/office/drawing/2014/main" id="{00000000-0008-0000-0000-00002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56</xdr:row>
          <xdr:rowOff>0</xdr:rowOff>
        </xdr:from>
        <xdr:to>
          <xdr:col>1</xdr:col>
          <xdr:colOff>76200</xdr:colOff>
          <xdr:row>56</xdr:row>
          <xdr:rowOff>184150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6350</xdr:colOff>
          <xdr:row>62</xdr:row>
          <xdr:rowOff>0</xdr:rowOff>
        </xdr:from>
        <xdr:to>
          <xdr:col>10</xdr:col>
          <xdr:colOff>184150</xdr:colOff>
          <xdr:row>62</xdr:row>
          <xdr:rowOff>184150</xdr:rowOff>
        </xdr:to>
        <xdr:sp macro="" textlink="">
          <xdr:nvSpPr>
            <xdr:cNvPr id="685525" name="Spinner 1493" hidden="1">
              <a:extLst>
                <a:ext uri="{63B3BB69-23CF-44E3-9099-C40C66FF867C}">
                  <a14:compatExt spid="_x0000_s685525"/>
                </a:ext>
                <a:ext uri="{FF2B5EF4-FFF2-40B4-BE49-F238E27FC236}">
                  <a16:creationId xmlns:a16="http://schemas.microsoft.com/office/drawing/2014/main" id="{00000000-0008-0000-0000-0000D575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69850</xdr:colOff>
          <xdr:row>41</xdr:row>
          <xdr:rowOff>76200</xdr:rowOff>
        </xdr:from>
        <xdr:to>
          <xdr:col>12</xdr:col>
          <xdr:colOff>336550</xdr:colOff>
          <xdr:row>43</xdr:row>
          <xdr:rowOff>0</xdr:rowOff>
        </xdr:to>
        <xdr:sp macro="" textlink="">
          <xdr:nvSpPr>
            <xdr:cNvPr id="685729" name="Drop Down 1697" hidden="1">
              <a:extLst>
                <a:ext uri="{63B3BB69-23CF-44E3-9099-C40C66FF867C}">
                  <a14:compatExt spid="_x0000_s685729"/>
                </a:ext>
                <a:ext uri="{FF2B5EF4-FFF2-40B4-BE49-F238E27FC236}">
                  <a16:creationId xmlns:a16="http://schemas.microsoft.com/office/drawing/2014/main" id="{00000000-0008-0000-0000-0000A1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3310890</xdr:colOff>
      <xdr:row>82</xdr:row>
      <xdr:rowOff>31269</xdr:rowOff>
    </xdr:from>
    <xdr:to>
      <xdr:col>16</xdr:col>
      <xdr:colOff>3732833</xdr:colOff>
      <xdr:row>83</xdr:row>
      <xdr:rowOff>78894</xdr:rowOff>
    </xdr:to>
    <xdr:sp macro="" textlink="'Variable Management'!$B$36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658850" y="1590372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98.9%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16</xdr:col>
      <xdr:colOff>428625</xdr:colOff>
      <xdr:row>82</xdr:row>
      <xdr:rowOff>14124</xdr:rowOff>
    </xdr:from>
    <xdr:to>
      <xdr:col>16</xdr:col>
      <xdr:colOff>850568</xdr:colOff>
      <xdr:row>83</xdr:row>
      <xdr:rowOff>61749</xdr:rowOff>
    </xdr:to>
    <xdr:sp macro="" textlink="'Variable Management'!$B$36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10487025" y="15997074"/>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99.2%</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25400</xdr:colOff>
          <xdr:row>102</xdr:row>
          <xdr:rowOff>0</xdr:rowOff>
        </xdr:from>
        <xdr:to>
          <xdr:col>2</xdr:col>
          <xdr:colOff>6350</xdr:colOff>
          <xdr:row>103</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42832</xdr:colOff>
      <xdr:row>13</xdr:row>
      <xdr:rowOff>187081</xdr:rowOff>
    </xdr:from>
    <xdr:to>
      <xdr:col>12</xdr:col>
      <xdr:colOff>422364</xdr:colOff>
      <xdr:row>14</xdr:row>
      <xdr:rowOff>185951</xdr:rowOff>
    </xdr:to>
    <xdr:sp macro="" textlink="">
      <xdr:nvSpPr>
        <xdr:cNvPr id="25" name="Text Box 228">
          <a:extLst>
            <a:ext uri="{FF2B5EF4-FFF2-40B4-BE49-F238E27FC236}">
              <a16:creationId xmlns:a16="http://schemas.microsoft.com/office/drawing/2014/main" id="{00000000-0008-0000-0000-000019000000}"/>
            </a:ext>
          </a:extLst>
        </xdr:cNvPr>
        <xdr:cNvSpPr txBox="1">
          <a:spLocks noChangeArrowheads="1"/>
        </xdr:cNvSpPr>
      </xdr:nvSpPr>
      <xdr:spPr bwMode="auto">
        <a:xfrm>
          <a:off x="7603301" y="3009577"/>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16</xdr:col>
      <xdr:colOff>1752817</xdr:colOff>
      <xdr:row>30</xdr:row>
      <xdr:rowOff>73084</xdr:rowOff>
    </xdr:from>
    <xdr:to>
      <xdr:col>16</xdr:col>
      <xdr:colOff>2134593</xdr:colOff>
      <xdr:row>31</xdr:row>
      <xdr:rowOff>149137</xdr:rowOff>
    </xdr:to>
    <xdr:sp macro="" textlink="">
      <xdr:nvSpPr>
        <xdr:cNvPr id="26" name="Text Box 233">
          <a:extLst>
            <a:ext uri="{FF2B5EF4-FFF2-40B4-BE49-F238E27FC236}">
              <a16:creationId xmlns:a16="http://schemas.microsoft.com/office/drawing/2014/main" id="{00000000-0008-0000-0000-00001A000000}"/>
            </a:ext>
          </a:extLst>
        </xdr:cNvPr>
        <xdr:cNvSpPr txBox="1">
          <a:spLocks noChangeArrowheads="1"/>
        </xdr:cNvSpPr>
      </xdr:nvSpPr>
      <xdr:spPr bwMode="auto">
        <a:xfrm>
          <a:off x="11806022" y="6193329"/>
          <a:ext cx="381776" cy="253045"/>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12</xdr:col>
      <xdr:colOff>262686</xdr:colOff>
      <xdr:row>10</xdr:row>
      <xdr:rowOff>72746</xdr:rowOff>
    </xdr:from>
    <xdr:to>
      <xdr:col>12</xdr:col>
      <xdr:colOff>497022</xdr:colOff>
      <xdr:row>11</xdr:row>
      <xdr:rowOff>80682</xdr:rowOff>
    </xdr:to>
    <xdr:sp macro="" textlink="">
      <xdr:nvSpPr>
        <xdr:cNvPr id="27" name="Text Box 234">
          <a:extLst>
            <a:ext uri="{FF2B5EF4-FFF2-40B4-BE49-F238E27FC236}">
              <a16:creationId xmlns:a16="http://schemas.microsoft.com/office/drawing/2014/main" id="{00000000-0008-0000-0000-00001B000000}"/>
            </a:ext>
          </a:extLst>
        </xdr:cNvPr>
        <xdr:cNvSpPr txBox="1">
          <a:spLocks noChangeArrowheads="1"/>
        </xdr:cNvSpPr>
      </xdr:nvSpPr>
      <xdr:spPr bwMode="auto">
        <a:xfrm>
          <a:off x="7792565" y="2319913"/>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13</xdr:col>
      <xdr:colOff>117883</xdr:colOff>
      <xdr:row>11</xdr:row>
      <xdr:rowOff>34093</xdr:rowOff>
    </xdr:from>
    <xdr:to>
      <xdr:col>13</xdr:col>
      <xdr:colOff>458914</xdr:colOff>
      <xdr:row>12</xdr:row>
      <xdr:rowOff>117195</xdr:rowOff>
    </xdr:to>
    <xdr:sp macro="" textlink="">
      <xdr:nvSpPr>
        <xdr:cNvPr id="28" name="Text Box 235">
          <a:extLst>
            <a:ext uri="{FF2B5EF4-FFF2-40B4-BE49-F238E27FC236}">
              <a16:creationId xmlns:a16="http://schemas.microsoft.com/office/drawing/2014/main" id="{00000000-0008-0000-0000-00001C000000}"/>
            </a:ext>
          </a:extLst>
        </xdr:cNvPr>
        <xdr:cNvSpPr txBox="1">
          <a:spLocks noChangeArrowheads="1"/>
        </xdr:cNvSpPr>
      </xdr:nvSpPr>
      <xdr:spPr bwMode="auto">
        <a:xfrm>
          <a:off x="8269231" y="2471467"/>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13</xdr:col>
      <xdr:colOff>35233</xdr:colOff>
      <xdr:row>6</xdr:row>
      <xdr:rowOff>72153</xdr:rowOff>
    </xdr:from>
    <xdr:to>
      <xdr:col>13</xdr:col>
      <xdr:colOff>346839</xdr:colOff>
      <xdr:row>7</xdr:row>
      <xdr:rowOff>109804</xdr:rowOff>
    </xdr:to>
    <xdr:sp macro="" textlink="">
      <xdr:nvSpPr>
        <xdr:cNvPr id="29" name="Text Box 244">
          <a:extLst>
            <a:ext uri="{FF2B5EF4-FFF2-40B4-BE49-F238E27FC236}">
              <a16:creationId xmlns:a16="http://schemas.microsoft.com/office/drawing/2014/main" id="{00000000-0008-0000-0000-00001D000000}"/>
            </a:ext>
          </a:extLst>
        </xdr:cNvPr>
        <xdr:cNvSpPr txBox="1">
          <a:spLocks noChangeArrowheads="1"/>
        </xdr:cNvSpPr>
      </xdr:nvSpPr>
      <xdr:spPr bwMode="auto">
        <a:xfrm>
          <a:off x="8186728" y="1645683"/>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16</xdr:col>
      <xdr:colOff>2442684</xdr:colOff>
      <xdr:row>6</xdr:row>
      <xdr:rowOff>80340</xdr:rowOff>
    </xdr:from>
    <xdr:to>
      <xdr:col>16</xdr:col>
      <xdr:colOff>2856651</xdr:colOff>
      <xdr:row>7</xdr:row>
      <xdr:rowOff>156249</xdr:rowOff>
    </xdr:to>
    <xdr:sp macro="" textlink="">
      <xdr:nvSpPr>
        <xdr:cNvPr id="30" name="Text Box 248">
          <a:extLst>
            <a:ext uri="{FF2B5EF4-FFF2-40B4-BE49-F238E27FC236}">
              <a16:creationId xmlns:a16="http://schemas.microsoft.com/office/drawing/2014/main" id="{00000000-0008-0000-0000-00001E000000}"/>
            </a:ext>
          </a:extLst>
        </xdr:cNvPr>
        <xdr:cNvSpPr txBox="1">
          <a:spLocks noChangeArrowheads="1"/>
        </xdr:cNvSpPr>
      </xdr:nvSpPr>
      <xdr:spPr bwMode="auto">
        <a:xfrm>
          <a:off x="12484379" y="1668670"/>
          <a:ext cx="410157"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16</xdr:col>
      <xdr:colOff>3350540</xdr:colOff>
      <xdr:row>6</xdr:row>
      <xdr:rowOff>111235</xdr:rowOff>
    </xdr:from>
    <xdr:to>
      <xdr:col>16</xdr:col>
      <xdr:colOff>3730359</xdr:colOff>
      <xdr:row>8</xdr:row>
      <xdr:rowOff>2487</xdr:rowOff>
    </xdr:to>
    <xdr:sp macro="" textlink="">
      <xdr:nvSpPr>
        <xdr:cNvPr id="31" name="Text Box 249">
          <a:extLst>
            <a:ext uri="{FF2B5EF4-FFF2-40B4-BE49-F238E27FC236}">
              <a16:creationId xmlns:a16="http://schemas.microsoft.com/office/drawing/2014/main" id="{00000000-0008-0000-0000-00001F000000}"/>
            </a:ext>
          </a:extLst>
        </xdr:cNvPr>
        <xdr:cNvSpPr txBox="1">
          <a:spLocks noChangeArrowheads="1"/>
        </xdr:cNvSpPr>
      </xdr:nvSpPr>
      <xdr:spPr bwMode="auto">
        <a:xfrm>
          <a:off x="13388425" y="1674800"/>
          <a:ext cx="376009" cy="24734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14</xdr:col>
      <xdr:colOff>453474</xdr:colOff>
      <xdr:row>28</xdr:row>
      <xdr:rowOff>42228</xdr:rowOff>
    </xdr:from>
    <xdr:to>
      <xdr:col>15</xdr:col>
      <xdr:colOff>73984</xdr:colOff>
      <xdr:row>29</xdr:row>
      <xdr:rowOff>110260</xdr:rowOff>
    </xdr:to>
    <xdr:sp macro="" textlink="">
      <xdr:nvSpPr>
        <xdr:cNvPr id="33" name="Text Box 256">
          <a:extLst>
            <a:ext uri="{FF2B5EF4-FFF2-40B4-BE49-F238E27FC236}">
              <a16:creationId xmlns:a16="http://schemas.microsoft.com/office/drawing/2014/main" id="{00000000-0008-0000-0000-000021000000}"/>
            </a:ext>
          </a:extLst>
        </xdr:cNvPr>
        <xdr:cNvSpPr txBox="1">
          <a:spLocks noChangeArrowheads="1"/>
        </xdr:cNvSpPr>
      </xdr:nvSpPr>
      <xdr:spPr bwMode="auto">
        <a:xfrm>
          <a:off x="9213140" y="5806282"/>
          <a:ext cx="242969" cy="21971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14</xdr:col>
      <xdr:colOff>148265</xdr:colOff>
      <xdr:row>24</xdr:row>
      <xdr:rowOff>36809</xdr:rowOff>
    </xdr:from>
    <xdr:to>
      <xdr:col>14</xdr:col>
      <xdr:colOff>453242</xdr:colOff>
      <xdr:row>25</xdr:row>
      <xdr:rowOff>73202</xdr:rowOff>
    </xdr:to>
    <xdr:sp macro="" textlink="">
      <xdr:nvSpPr>
        <xdr:cNvPr id="34" name="Text Box 257">
          <a:extLst>
            <a:ext uri="{FF2B5EF4-FFF2-40B4-BE49-F238E27FC236}">
              <a16:creationId xmlns:a16="http://schemas.microsoft.com/office/drawing/2014/main" id="{00000000-0008-0000-0000-000022000000}"/>
            </a:ext>
          </a:extLst>
        </xdr:cNvPr>
        <xdr:cNvSpPr txBox="1">
          <a:spLocks noChangeArrowheads="1"/>
        </xdr:cNvSpPr>
      </xdr:nvSpPr>
      <xdr:spPr bwMode="auto">
        <a:xfrm>
          <a:off x="8913646" y="4982665"/>
          <a:ext cx="314502" cy="245229"/>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568221</xdr:colOff>
      <xdr:row>24</xdr:row>
      <xdr:rowOff>79452</xdr:rowOff>
    </xdr:from>
    <xdr:to>
      <xdr:col>15</xdr:col>
      <xdr:colOff>263075</xdr:colOff>
      <xdr:row>25</xdr:row>
      <xdr:rowOff>79559</xdr:rowOff>
    </xdr:to>
    <xdr:sp macro="" textlink="">
      <xdr:nvSpPr>
        <xdr:cNvPr id="35" name="Text Box 258">
          <a:extLst>
            <a:ext uri="{FF2B5EF4-FFF2-40B4-BE49-F238E27FC236}">
              <a16:creationId xmlns:a16="http://schemas.microsoft.com/office/drawing/2014/main" id="{00000000-0008-0000-0000-000023000000}"/>
            </a:ext>
          </a:extLst>
        </xdr:cNvPr>
        <xdr:cNvSpPr txBox="1">
          <a:spLocks noChangeArrowheads="1"/>
        </xdr:cNvSpPr>
      </xdr:nvSpPr>
      <xdr:spPr bwMode="auto">
        <a:xfrm>
          <a:off x="9329792" y="5032928"/>
          <a:ext cx="307788" cy="22037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14</xdr:col>
      <xdr:colOff>231806</xdr:colOff>
      <xdr:row>29</xdr:row>
      <xdr:rowOff>34272</xdr:rowOff>
    </xdr:from>
    <xdr:to>
      <xdr:col>15</xdr:col>
      <xdr:colOff>71463</xdr:colOff>
      <xdr:row>30</xdr:row>
      <xdr:rowOff>41627</xdr:rowOff>
    </xdr:to>
    <xdr:sp macro="" textlink="'Variable Management'!B355">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9016237" y="5967156"/>
          <a:ext cx="420206" cy="223811"/>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530283</xdr:colOff>
      <xdr:row>25</xdr:row>
      <xdr:rowOff>72930</xdr:rowOff>
    </xdr:from>
    <xdr:to>
      <xdr:col>15</xdr:col>
      <xdr:colOff>377634</xdr:colOff>
      <xdr:row>26</xdr:row>
      <xdr:rowOff>37183</xdr:rowOff>
    </xdr:to>
    <xdr:sp macro="" textlink="'Variable Management'!B353">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9293759" y="5227622"/>
          <a:ext cx="458380" cy="224524"/>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12kΩ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14</xdr:col>
      <xdr:colOff>228660</xdr:colOff>
      <xdr:row>20</xdr:row>
      <xdr:rowOff>34262</xdr:rowOff>
    </xdr:from>
    <xdr:to>
      <xdr:col>15</xdr:col>
      <xdr:colOff>301040</xdr:colOff>
      <xdr:row>21</xdr:row>
      <xdr:rowOff>118094</xdr:rowOff>
    </xdr:to>
    <xdr:sp macro="" textlink="'Variable Management'!B380">
      <xdr:nvSpPr>
        <xdr:cNvPr id="38" name="Text Box 265">
          <a:extLst>
            <a:ext uri="{FF2B5EF4-FFF2-40B4-BE49-F238E27FC236}">
              <a16:creationId xmlns:a16="http://schemas.microsoft.com/office/drawing/2014/main" id="{00000000-0008-0000-0000-000026000000}"/>
            </a:ext>
          </a:extLst>
        </xdr:cNvPr>
        <xdr:cNvSpPr txBox="1">
          <a:spLocks noChangeArrowheads="1" noTextEdit="1"/>
        </xdr:cNvSpPr>
      </xdr:nvSpPr>
      <xdr:spPr bwMode="auto">
        <a:xfrm>
          <a:off x="9003566" y="4290746"/>
          <a:ext cx="679599" cy="264093"/>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11</xdr:col>
      <xdr:colOff>644401</xdr:colOff>
      <xdr:row>14</xdr:row>
      <xdr:rowOff>185995</xdr:rowOff>
    </xdr:from>
    <xdr:to>
      <xdr:col>12</xdr:col>
      <xdr:colOff>308730</xdr:colOff>
      <xdr:row>15</xdr:row>
      <xdr:rowOff>156899</xdr:rowOff>
    </xdr:to>
    <xdr:sp macro="" textlink="'Variable Management'!B345">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7365241" y="3213040"/>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13</xdr:col>
      <xdr:colOff>42238</xdr:colOff>
      <xdr:row>13</xdr:row>
      <xdr:rowOff>72038</xdr:rowOff>
    </xdr:from>
    <xdr:to>
      <xdr:col>13</xdr:col>
      <xdr:colOff>496636</xdr:colOff>
      <xdr:row>14</xdr:row>
      <xdr:rowOff>71581</xdr:rowOff>
    </xdr:to>
    <xdr:sp macro="" textlink="'Variable Management'!B33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8197396" y="2854071"/>
          <a:ext cx="446778" cy="209825"/>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605900</xdr:colOff>
      <xdr:row>7</xdr:row>
      <xdr:rowOff>76080</xdr:rowOff>
    </xdr:from>
    <xdr:to>
      <xdr:col>13</xdr:col>
      <xdr:colOff>458625</xdr:colOff>
      <xdr:row>8</xdr:row>
      <xdr:rowOff>118821</xdr:rowOff>
    </xdr:to>
    <xdr:sp macro="" textlink="'Variable Management'!B349">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8145890" y="1838205"/>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1328µF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500001</xdr:colOff>
      <xdr:row>31</xdr:row>
      <xdr:rowOff>80936</xdr:rowOff>
    </xdr:from>
    <xdr:to>
      <xdr:col>16</xdr:col>
      <xdr:colOff>949074</xdr:colOff>
      <xdr:row>32</xdr:row>
      <xdr:rowOff>73213</xdr:rowOff>
    </xdr:to>
    <xdr:sp macro="" textlink="'Variable Management'!B381">
      <xdr:nvSpPr>
        <xdr:cNvPr id="42" name="Text Box 281">
          <a:extLst>
            <a:ext uri="{FF2B5EF4-FFF2-40B4-BE49-F238E27FC236}">
              <a16:creationId xmlns:a16="http://schemas.microsoft.com/office/drawing/2014/main" id="{00000000-0008-0000-0000-00002A000000}"/>
            </a:ext>
          </a:extLst>
        </xdr:cNvPr>
        <xdr:cNvSpPr txBox="1">
          <a:spLocks noChangeArrowheads="1" noTextEdit="1"/>
        </xdr:cNvSpPr>
      </xdr:nvSpPr>
      <xdr:spPr bwMode="auto">
        <a:xfrm>
          <a:off x="10562731" y="6399128"/>
          <a:ext cx="437643" cy="237676"/>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414850</xdr:colOff>
      <xdr:row>12</xdr:row>
      <xdr:rowOff>79996</xdr:rowOff>
    </xdr:from>
    <xdr:to>
      <xdr:col>11</xdr:col>
      <xdr:colOff>385209</xdr:colOff>
      <xdr:row>13</xdr:row>
      <xdr:rowOff>156968</xdr:rowOff>
    </xdr:to>
    <xdr:sp macro="" textlink="'Variable Management'!B343">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6616944" y="2708749"/>
          <a:ext cx="483537" cy="24168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24V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10</xdr:col>
      <xdr:colOff>421835</xdr:colOff>
      <xdr:row>13</xdr:row>
      <xdr:rowOff>117471</xdr:rowOff>
    </xdr:from>
    <xdr:to>
      <xdr:col>11</xdr:col>
      <xdr:colOff>377998</xdr:colOff>
      <xdr:row>14</xdr:row>
      <xdr:rowOff>148570</xdr:rowOff>
    </xdr:to>
    <xdr:sp macro="" textlink="'Variable Management'!B386">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6627739" y="2912839"/>
          <a:ext cx="457911" cy="243286"/>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60A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14</xdr:col>
      <xdr:colOff>499564</xdr:colOff>
      <xdr:row>18</xdr:row>
      <xdr:rowOff>71593</xdr:rowOff>
    </xdr:from>
    <xdr:to>
      <xdr:col>15</xdr:col>
      <xdr:colOff>155886</xdr:colOff>
      <xdr:row>19</xdr:row>
      <xdr:rowOff>74813</xdr:rowOff>
    </xdr:to>
    <xdr:sp macro="" textlink="">
      <xdr:nvSpPr>
        <xdr:cNvPr id="45" name="Text Box 251">
          <a:extLst>
            <a:ext uri="{FF2B5EF4-FFF2-40B4-BE49-F238E27FC236}">
              <a16:creationId xmlns:a16="http://schemas.microsoft.com/office/drawing/2014/main" id="{00000000-0008-0000-0000-00002D000000}"/>
            </a:ext>
          </a:extLst>
        </xdr:cNvPr>
        <xdr:cNvSpPr txBox="1">
          <a:spLocks noChangeArrowheads="1"/>
        </xdr:cNvSpPr>
      </xdr:nvSpPr>
      <xdr:spPr bwMode="auto">
        <a:xfrm>
          <a:off x="9282090" y="3968032"/>
          <a:ext cx="263541" cy="1930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16</xdr:col>
      <xdr:colOff>3043321</xdr:colOff>
      <xdr:row>10</xdr:row>
      <xdr:rowOff>3704</xdr:rowOff>
    </xdr:from>
    <xdr:to>
      <xdr:col>16</xdr:col>
      <xdr:colOff>3502303</xdr:colOff>
      <xdr:row>11</xdr:row>
      <xdr:rowOff>34574</xdr:rowOff>
    </xdr:to>
    <xdr:sp macro="" textlink="">
      <xdr:nvSpPr>
        <xdr:cNvPr id="46" name="Text Box 247">
          <a:extLst>
            <a:ext uri="{FF2B5EF4-FFF2-40B4-BE49-F238E27FC236}">
              <a16:creationId xmlns:a16="http://schemas.microsoft.com/office/drawing/2014/main" id="{00000000-0008-0000-0000-00002E000000}"/>
            </a:ext>
          </a:extLst>
        </xdr:cNvPr>
        <xdr:cNvSpPr txBox="1">
          <a:spLocks noChangeArrowheads="1"/>
        </xdr:cNvSpPr>
      </xdr:nvSpPr>
      <xdr:spPr bwMode="auto">
        <a:xfrm>
          <a:off x="13086957" y="2295657"/>
          <a:ext cx="462792"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13</xdr:col>
      <xdr:colOff>305354</xdr:colOff>
      <xdr:row>14</xdr:row>
      <xdr:rowOff>117699</xdr:rowOff>
    </xdr:from>
    <xdr:to>
      <xdr:col>14</xdr:col>
      <xdr:colOff>33379</xdr:colOff>
      <xdr:row>15</xdr:row>
      <xdr:rowOff>147684</xdr:rowOff>
    </xdr:to>
    <xdr:sp macro="" textlink="">
      <xdr:nvSpPr>
        <xdr:cNvPr id="47" name="Text Box 244">
          <a:extLst>
            <a:ext uri="{FF2B5EF4-FFF2-40B4-BE49-F238E27FC236}">
              <a16:creationId xmlns:a16="http://schemas.microsoft.com/office/drawing/2014/main" id="{00000000-0008-0000-0000-00002F000000}"/>
            </a:ext>
          </a:extLst>
        </xdr:cNvPr>
        <xdr:cNvSpPr txBox="1">
          <a:spLocks noChangeArrowheads="1"/>
        </xdr:cNvSpPr>
      </xdr:nvSpPr>
      <xdr:spPr bwMode="auto">
        <a:xfrm>
          <a:off x="8452892" y="3129064"/>
          <a:ext cx="320920" cy="24232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13</xdr:col>
      <xdr:colOff>461218</xdr:colOff>
      <xdr:row>10</xdr:row>
      <xdr:rowOff>187181</xdr:rowOff>
    </xdr:from>
    <xdr:to>
      <xdr:col>14</xdr:col>
      <xdr:colOff>186464</xdr:colOff>
      <xdr:row>12</xdr:row>
      <xdr:rowOff>77208</xdr:rowOff>
    </xdr:to>
    <xdr:sp macro="" textlink="">
      <xdr:nvSpPr>
        <xdr:cNvPr id="48" name="Text Box 244">
          <a:extLst>
            <a:ext uri="{FF2B5EF4-FFF2-40B4-BE49-F238E27FC236}">
              <a16:creationId xmlns:a16="http://schemas.microsoft.com/office/drawing/2014/main" id="{00000000-0008-0000-0000-000030000000}"/>
            </a:ext>
          </a:extLst>
        </xdr:cNvPr>
        <xdr:cNvSpPr txBox="1">
          <a:spLocks noChangeArrowheads="1"/>
        </xdr:cNvSpPr>
      </xdr:nvSpPr>
      <xdr:spPr bwMode="auto">
        <a:xfrm>
          <a:off x="8616376" y="2436253"/>
          <a:ext cx="318141" cy="26399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12</xdr:col>
      <xdr:colOff>148033</xdr:colOff>
      <xdr:row>11</xdr:row>
      <xdr:rowOff>41597</xdr:rowOff>
    </xdr:from>
    <xdr:to>
      <xdr:col>13</xdr:col>
      <xdr:colOff>34618</xdr:colOff>
      <xdr:row>12</xdr:row>
      <xdr:rowOff>148829</xdr:rowOff>
    </xdr:to>
    <xdr:sp macro="" textlink="'Variable Management'!B34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7683627" y="2501831"/>
          <a:ext cx="479479"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3386703</xdr:colOff>
      <xdr:row>7</xdr:row>
      <xdr:rowOff>149468</xdr:rowOff>
    </xdr:from>
    <xdr:to>
      <xdr:col>16</xdr:col>
      <xdr:colOff>3814436</xdr:colOff>
      <xdr:row>9</xdr:row>
      <xdr:rowOff>37570</xdr:rowOff>
    </xdr:to>
    <xdr:sp macro="" textlink="">
      <xdr:nvSpPr>
        <xdr:cNvPr id="50" name="Text Box 279">
          <a:extLst>
            <a:ext uri="{FF2B5EF4-FFF2-40B4-BE49-F238E27FC236}">
              <a16:creationId xmlns:a16="http://schemas.microsoft.com/office/drawing/2014/main" id="{00000000-0008-0000-0000-000032000000}"/>
            </a:ext>
          </a:extLst>
        </xdr:cNvPr>
        <xdr:cNvSpPr txBox="1">
          <a:spLocks noChangeArrowheads="1"/>
        </xdr:cNvSpPr>
      </xdr:nvSpPr>
      <xdr:spPr bwMode="auto">
        <a:xfrm>
          <a:off x="13430339" y="1921594"/>
          <a:ext cx="450593" cy="23528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3805960</xdr:colOff>
      <xdr:row>14</xdr:row>
      <xdr:rowOff>80110</xdr:rowOff>
    </xdr:from>
    <xdr:to>
      <xdr:col>16</xdr:col>
      <xdr:colOff>4072217</xdr:colOff>
      <xdr:row>15</xdr:row>
      <xdr:rowOff>155947</xdr:rowOff>
    </xdr:to>
    <xdr:sp macro="" textlink="">
      <xdr:nvSpPr>
        <xdr:cNvPr id="51" name="Text Box 244">
          <a:extLst>
            <a:ext uri="{FF2B5EF4-FFF2-40B4-BE49-F238E27FC236}">
              <a16:creationId xmlns:a16="http://schemas.microsoft.com/office/drawing/2014/main" id="{00000000-0008-0000-0000-000033000000}"/>
            </a:ext>
          </a:extLst>
        </xdr:cNvPr>
        <xdr:cNvSpPr txBox="1">
          <a:spLocks noChangeArrowheads="1"/>
        </xdr:cNvSpPr>
      </xdr:nvSpPr>
      <xdr:spPr bwMode="auto">
        <a:xfrm>
          <a:off x="13830510" y="3095285"/>
          <a:ext cx="275782" cy="28817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16</xdr:col>
      <xdr:colOff>3806350</xdr:colOff>
      <xdr:row>10</xdr:row>
      <xdr:rowOff>186009</xdr:rowOff>
    </xdr:from>
    <xdr:to>
      <xdr:col>16</xdr:col>
      <xdr:colOff>4075733</xdr:colOff>
      <xdr:row>12</xdr:row>
      <xdr:rowOff>71857</xdr:rowOff>
    </xdr:to>
    <xdr:sp macro="" textlink="">
      <xdr:nvSpPr>
        <xdr:cNvPr id="52" name="Text Box 244">
          <a:extLst>
            <a:ext uri="{FF2B5EF4-FFF2-40B4-BE49-F238E27FC236}">
              <a16:creationId xmlns:a16="http://schemas.microsoft.com/office/drawing/2014/main" id="{00000000-0008-0000-0000-000034000000}"/>
            </a:ext>
          </a:extLst>
        </xdr:cNvPr>
        <xdr:cNvSpPr txBox="1">
          <a:spLocks noChangeArrowheads="1"/>
        </xdr:cNvSpPr>
      </xdr:nvSpPr>
      <xdr:spPr bwMode="auto">
        <a:xfrm>
          <a:off x="13836615" y="2427461"/>
          <a:ext cx="277003" cy="2617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14</xdr:col>
      <xdr:colOff>72303</xdr:colOff>
      <xdr:row>25</xdr:row>
      <xdr:rowOff>1677</xdr:rowOff>
    </xdr:from>
    <xdr:to>
      <xdr:col>14</xdr:col>
      <xdr:colOff>568294</xdr:colOff>
      <xdr:row>26</xdr:row>
      <xdr:rowOff>1239</xdr:rowOff>
    </xdr:to>
    <xdr:sp macro="" textlink="'Variable Management'!B354">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8825778" y="5135652"/>
          <a:ext cx="505516" cy="243402"/>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900" b="0" i="0" u="none" strike="noStrike" baseline="0">
              <a:solidFill>
                <a:srgbClr val="000000"/>
              </a:solidFill>
              <a:latin typeface="Arialri"/>
              <a:cs typeface="Arial" pitchFamily="34" charset="0"/>
            </a:rPr>
            <a:pPr algn="ctr" rtl="0">
              <a:defRPr sz="1000"/>
            </a:pPr>
            <a:t>5.6nF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110504</xdr:colOff>
      <xdr:row>5</xdr:row>
      <xdr:rowOff>117524</xdr:rowOff>
    </xdr:from>
    <xdr:to>
      <xdr:col>13</xdr:col>
      <xdr:colOff>492417</xdr:colOff>
      <xdr:row>7</xdr:row>
      <xdr:rowOff>3513</xdr:rowOff>
    </xdr:to>
    <xdr:sp macro="" textlink="'Variable Management'!B388">
      <xdr:nvSpPr>
        <xdr:cNvPr id="54" name="Text Box 283">
          <a:extLst>
            <a:ext uri="{FF2B5EF4-FFF2-40B4-BE49-F238E27FC236}">
              <a16:creationId xmlns:a16="http://schemas.microsoft.com/office/drawing/2014/main" id="{00000000-0008-0000-0000-000036000000}"/>
            </a:ext>
          </a:extLst>
        </xdr:cNvPr>
        <xdr:cNvSpPr txBox="1">
          <a:spLocks noChangeArrowheads="1" noTextEdit="1"/>
        </xdr:cNvSpPr>
      </xdr:nvSpPr>
      <xdr:spPr bwMode="auto">
        <a:xfrm>
          <a:off x="7644193" y="1504217"/>
          <a:ext cx="995762" cy="258051"/>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36V...51V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15</xdr:col>
      <xdr:colOff>415865</xdr:colOff>
      <xdr:row>6</xdr:row>
      <xdr:rowOff>72249</xdr:rowOff>
    </xdr:from>
    <xdr:to>
      <xdr:col>16</xdr:col>
      <xdr:colOff>147842</xdr:colOff>
      <xdr:row>7</xdr:row>
      <xdr:rowOff>148158</xdr:rowOff>
    </xdr:to>
    <xdr:sp macro="" textlink="">
      <xdr:nvSpPr>
        <xdr:cNvPr id="55" name="Text Box 248">
          <a:extLst>
            <a:ext uri="{FF2B5EF4-FFF2-40B4-BE49-F238E27FC236}">
              <a16:creationId xmlns:a16="http://schemas.microsoft.com/office/drawing/2014/main" id="{00000000-0008-0000-0000-000037000000}"/>
            </a:ext>
          </a:extLst>
        </xdr:cNvPr>
        <xdr:cNvSpPr txBox="1">
          <a:spLocks noChangeArrowheads="1"/>
        </xdr:cNvSpPr>
      </xdr:nvSpPr>
      <xdr:spPr bwMode="auto">
        <a:xfrm>
          <a:off x="9762528" y="1647244"/>
          <a:ext cx="407959" cy="2387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16</xdr:col>
      <xdr:colOff>1786051</xdr:colOff>
      <xdr:row>31</xdr:row>
      <xdr:rowOff>41823</xdr:rowOff>
    </xdr:from>
    <xdr:to>
      <xdr:col>16</xdr:col>
      <xdr:colOff>2206048</xdr:colOff>
      <xdr:row>32</xdr:row>
      <xdr:rowOff>39813</xdr:rowOff>
    </xdr:to>
    <xdr:sp macro="" textlink="">
      <xdr:nvSpPr>
        <xdr:cNvPr id="56" name="Text Box 279">
          <a:extLst>
            <a:ext uri="{FF2B5EF4-FFF2-40B4-BE49-F238E27FC236}">
              <a16:creationId xmlns:a16="http://schemas.microsoft.com/office/drawing/2014/main" id="{00000000-0008-0000-0000-000038000000}"/>
            </a:ext>
          </a:extLst>
        </xdr:cNvPr>
        <xdr:cNvSpPr txBox="1">
          <a:spLocks noChangeArrowheads="1"/>
        </xdr:cNvSpPr>
      </xdr:nvSpPr>
      <xdr:spPr bwMode="auto">
        <a:xfrm>
          <a:off x="11827306" y="6328323"/>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14</xdr:col>
      <xdr:colOff>415616</xdr:colOff>
      <xdr:row>10</xdr:row>
      <xdr:rowOff>1830</xdr:rowOff>
    </xdr:from>
    <xdr:to>
      <xdr:col>15</xdr:col>
      <xdr:colOff>263093</xdr:colOff>
      <xdr:row>11</xdr:row>
      <xdr:rowOff>34605</xdr:rowOff>
    </xdr:to>
    <xdr:sp macro="" textlink="">
      <xdr:nvSpPr>
        <xdr:cNvPr id="57" name="Text Box 247">
          <a:extLst>
            <a:ext uri="{FF2B5EF4-FFF2-40B4-BE49-F238E27FC236}">
              <a16:creationId xmlns:a16="http://schemas.microsoft.com/office/drawing/2014/main" id="{00000000-0008-0000-0000-000039000000}"/>
            </a:ext>
          </a:extLst>
        </xdr:cNvPr>
        <xdr:cNvSpPr txBox="1">
          <a:spLocks noChangeArrowheads="1"/>
        </xdr:cNvSpPr>
      </xdr:nvSpPr>
      <xdr:spPr bwMode="auto">
        <a:xfrm>
          <a:off x="9175282" y="2293783"/>
          <a:ext cx="460411" cy="22565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14</xdr:col>
      <xdr:colOff>186554</xdr:colOff>
      <xdr:row>6</xdr:row>
      <xdr:rowOff>109822</xdr:rowOff>
    </xdr:from>
    <xdr:to>
      <xdr:col>14</xdr:col>
      <xdr:colOff>568278</xdr:colOff>
      <xdr:row>8</xdr:row>
      <xdr:rowOff>2979</xdr:rowOff>
    </xdr:to>
    <xdr:sp macro="" textlink="">
      <xdr:nvSpPr>
        <xdr:cNvPr id="58" name="Text Box 249">
          <a:extLst>
            <a:ext uri="{FF2B5EF4-FFF2-40B4-BE49-F238E27FC236}">
              <a16:creationId xmlns:a16="http://schemas.microsoft.com/office/drawing/2014/main" id="{00000000-0008-0000-0000-00003A000000}"/>
            </a:ext>
          </a:extLst>
        </xdr:cNvPr>
        <xdr:cNvSpPr txBox="1">
          <a:spLocks noChangeArrowheads="1"/>
        </xdr:cNvSpPr>
      </xdr:nvSpPr>
      <xdr:spPr bwMode="auto">
        <a:xfrm>
          <a:off x="8957174" y="1683352"/>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14</xdr:col>
      <xdr:colOff>224343</xdr:colOff>
      <xdr:row>8</xdr:row>
      <xdr:rowOff>694</xdr:rowOff>
    </xdr:from>
    <xdr:to>
      <xdr:col>15</xdr:col>
      <xdr:colOff>42036</xdr:colOff>
      <xdr:row>9</xdr:row>
      <xdr:rowOff>72867</xdr:rowOff>
    </xdr:to>
    <xdr:sp macro="" textlink="">
      <xdr:nvSpPr>
        <xdr:cNvPr id="59" name="Text Box 279">
          <a:extLst>
            <a:ext uri="{FF2B5EF4-FFF2-40B4-BE49-F238E27FC236}">
              <a16:creationId xmlns:a16="http://schemas.microsoft.com/office/drawing/2014/main" id="{00000000-0008-0000-0000-00003B000000}"/>
            </a:ext>
          </a:extLst>
        </xdr:cNvPr>
        <xdr:cNvSpPr txBox="1">
          <a:spLocks noChangeArrowheads="1"/>
        </xdr:cNvSpPr>
      </xdr:nvSpPr>
      <xdr:spPr bwMode="auto">
        <a:xfrm>
          <a:off x="8979723" y="1930459"/>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4042037</xdr:colOff>
      <xdr:row>11</xdr:row>
      <xdr:rowOff>40979</xdr:rowOff>
    </xdr:from>
    <xdr:to>
      <xdr:col>16</xdr:col>
      <xdr:colOff>4384973</xdr:colOff>
      <xdr:row>12</xdr:row>
      <xdr:rowOff>148846</xdr:rowOff>
    </xdr:to>
    <xdr:sp macro="" textlink="">
      <xdr:nvSpPr>
        <xdr:cNvPr id="60" name="Text Box 235">
          <a:extLst>
            <a:ext uri="{FF2B5EF4-FFF2-40B4-BE49-F238E27FC236}">
              <a16:creationId xmlns:a16="http://schemas.microsoft.com/office/drawing/2014/main" id="{00000000-0008-0000-0000-00003C000000}"/>
            </a:ext>
          </a:extLst>
        </xdr:cNvPr>
        <xdr:cNvSpPr txBox="1">
          <a:spLocks noChangeArrowheads="1"/>
        </xdr:cNvSpPr>
      </xdr:nvSpPr>
      <xdr:spPr bwMode="auto">
        <a:xfrm>
          <a:off x="14087542" y="2499308"/>
          <a:ext cx="337221" cy="2725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3999803</xdr:colOff>
      <xdr:row>13</xdr:row>
      <xdr:rowOff>80829</xdr:rowOff>
    </xdr:from>
    <xdr:to>
      <xdr:col>16</xdr:col>
      <xdr:colOff>4454201</xdr:colOff>
      <xdr:row>14</xdr:row>
      <xdr:rowOff>79640</xdr:rowOff>
    </xdr:to>
    <xdr:sp macro="" textlink="'Variable Management'!D339">
      <xdr:nvSpPr>
        <xdr:cNvPr id="61" name="Text Box 275">
          <a:extLst>
            <a:ext uri="{FF2B5EF4-FFF2-40B4-BE49-F238E27FC236}">
              <a16:creationId xmlns:a16="http://schemas.microsoft.com/office/drawing/2014/main" id="{00000000-0008-0000-0000-00003D000000}"/>
            </a:ext>
          </a:extLst>
        </xdr:cNvPr>
        <xdr:cNvSpPr txBox="1">
          <a:spLocks noChangeArrowheads="1" noTextEdit="1"/>
        </xdr:cNvSpPr>
      </xdr:nvSpPr>
      <xdr:spPr bwMode="auto">
        <a:xfrm>
          <a:off x="14037688" y="2881912"/>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4606820</xdr:colOff>
      <xdr:row>10</xdr:row>
      <xdr:rowOff>110991</xdr:rowOff>
    </xdr:from>
    <xdr:to>
      <xdr:col>16</xdr:col>
      <xdr:colOff>4841156</xdr:colOff>
      <xdr:row>11</xdr:row>
      <xdr:rowOff>118927</xdr:rowOff>
    </xdr:to>
    <xdr:sp macro="" textlink="">
      <xdr:nvSpPr>
        <xdr:cNvPr id="62" name="Text Box 234">
          <a:extLst>
            <a:ext uri="{FF2B5EF4-FFF2-40B4-BE49-F238E27FC236}">
              <a16:creationId xmlns:a16="http://schemas.microsoft.com/office/drawing/2014/main" id="{00000000-0008-0000-0000-00003E000000}"/>
            </a:ext>
          </a:extLst>
        </xdr:cNvPr>
        <xdr:cNvSpPr txBox="1">
          <a:spLocks noChangeArrowheads="1"/>
        </xdr:cNvSpPr>
      </xdr:nvSpPr>
      <xdr:spPr bwMode="auto">
        <a:xfrm>
          <a:off x="14635180" y="2354348"/>
          <a:ext cx="243861" cy="219098"/>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16</xdr:col>
      <xdr:colOff>4492167</xdr:colOff>
      <xdr:row>11</xdr:row>
      <xdr:rowOff>79842</xdr:rowOff>
    </xdr:from>
    <xdr:to>
      <xdr:col>16</xdr:col>
      <xdr:colOff>4986447</xdr:colOff>
      <xdr:row>13</xdr:row>
      <xdr:rowOff>3314</xdr:rowOff>
    </xdr:to>
    <xdr:sp macro="" textlink="'Variable Management'!D341">
      <xdr:nvSpPr>
        <xdr:cNvPr id="63" name="Text Box 275">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14526242" y="2536266"/>
          <a:ext cx="480945" cy="268131"/>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4873288</xdr:colOff>
      <xdr:row>13</xdr:row>
      <xdr:rowOff>185775</xdr:rowOff>
    </xdr:from>
    <xdr:to>
      <xdr:col>16</xdr:col>
      <xdr:colOff>5254725</xdr:colOff>
      <xdr:row>14</xdr:row>
      <xdr:rowOff>188455</xdr:rowOff>
    </xdr:to>
    <xdr:sp macro="" textlink="">
      <xdr:nvSpPr>
        <xdr:cNvPr id="64" name="Text Box 228">
          <a:extLst>
            <a:ext uri="{FF2B5EF4-FFF2-40B4-BE49-F238E27FC236}">
              <a16:creationId xmlns:a16="http://schemas.microsoft.com/office/drawing/2014/main" id="{00000000-0008-0000-0000-000040000000}"/>
            </a:ext>
          </a:extLst>
        </xdr:cNvPr>
        <xdr:cNvSpPr txBox="1">
          <a:spLocks noChangeArrowheads="1"/>
        </xdr:cNvSpPr>
      </xdr:nvSpPr>
      <xdr:spPr bwMode="auto">
        <a:xfrm>
          <a:off x="14915019" y="3015891"/>
          <a:ext cx="385247" cy="23366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16</xdr:col>
      <xdr:colOff>4835366</xdr:colOff>
      <xdr:row>14</xdr:row>
      <xdr:rowOff>156519</xdr:rowOff>
    </xdr:from>
    <xdr:to>
      <xdr:col>16</xdr:col>
      <xdr:colOff>5261979</xdr:colOff>
      <xdr:row>15</xdr:row>
      <xdr:rowOff>151986</xdr:rowOff>
    </xdr:to>
    <xdr:sp macro="" textlink="'Variable Management'!D345">
      <xdr:nvSpPr>
        <xdr:cNvPr id="65" name="Text Box 267">
          <a:extLst>
            <a:ext uri="{FF2B5EF4-FFF2-40B4-BE49-F238E27FC236}">
              <a16:creationId xmlns:a16="http://schemas.microsoft.com/office/drawing/2014/main" id="{00000000-0008-0000-0000-000041000000}"/>
            </a:ext>
          </a:extLst>
        </xdr:cNvPr>
        <xdr:cNvSpPr txBox="1">
          <a:spLocks noChangeArrowheads="1" noTextEdit="1"/>
        </xdr:cNvSpPr>
      </xdr:nvSpPr>
      <xdr:spPr bwMode="auto">
        <a:xfrm>
          <a:off x="14888527" y="3225950"/>
          <a:ext cx="439948" cy="206208"/>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948697</xdr:colOff>
      <xdr:row>31</xdr:row>
      <xdr:rowOff>80937</xdr:rowOff>
    </xdr:from>
    <xdr:to>
      <xdr:col>16</xdr:col>
      <xdr:colOff>1374910</xdr:colOff>
      <xdr:row>32</xdr:row>
      <xdr:rowOff>75119</xdr:rowOff>
    </xdr:to>
    <xdr:sp macro="" textlink="'Variable Management'!B382">
      <xdr:nvSpPr>
        <xdr:cNvPr id="67" name="Text Box 281">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11003287" y="6365532"/>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5559695</xdr:colOff>
      <xdr:row>12</xdr:row>
      <xdr:rowOff>72456</xdr:rowOff>
    </xdr:from>
    <xdr:to>
      <xdr:col>17</xdr:col>
      <xdr:colOff>110509</xdr:colOff>
      <xdr:row>13</xdr:row>
      <xdr:rowOff>149428</xdr:rowOff>
    </xdr:to>
    <xdr:sp macro="" textlink="'Variable Management'!D343">
      <xdr:nvSpPr>
        <xdr:cNvPr id="68" name="Text Box 285">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15586150" y="2695494"/>
          <a:ext cx="479906" cy="24168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 </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16</xdr:col>
      <xdr:colOff>5558104</xdr:colOff>
      <xdr:row>13</xdr:row>
      <xdr:rowOff>115353</xdr:rowOff>
    </xdr:from>
    <xdr:to>
      <xdr:col>17</xdr:col>
      <xdr:colOff>77577</xdr:colOff>
      <xdr:row>14</xdr:row>
      <xdr:rowOff>148357</xdr:rowOff>
    </xdr:to>
    <xdr:sp macro="" textlink="'Variable Management'!D386">
      <xdr:nvSpPr>
        <xdr:cNvPr id="69" name="Text Box 286">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15595989" y="2906911"/>
          <a:ext cx="454280" cy="243286"/>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 </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16</xdr:col>
      <xdr:colOff>1337211</xdr:colOff>
      <xdr:row>30</xdr:row>
      <xdr:rowOff>73084</xdr:rowOff>
    </xdr:from>
    <xdr:to>
      <xdr:col>16</xdr:col>
      <xdr:colOff>1671987</xdr:colOff>
      <xdr:row>31</xdr:row>
      <xdr:rowOff>148318</xdr:rowOff>
    </xdr:to>
    <xdr:sp macro="" textlink="">
      <xdr:nvSpPr>
        <xdr:cNvPr id="70" name="Text Box 251">
          <a:extLst>
            <a:ext uri="{FF2B5EF4-FFF2-40B4-BE49-F238E27FC236}">
              <a16:creationId xmlns:a16="http://schemas.microsoft.com/office/drawing/2014/main" id="{00000000-0008-0000-0000-000046000000}"/>
            </a:ext>
          </a:extLst>
        </xdr:cNvPr>
        <xdr:cNvSpPr txBox="1">
          <a:spLocks noChangeArrowheads="1"/>
        </xdr:cNvSpPr>
      </xdr:nvSpPr>
      <xdr:spPr bwMode="auto">
        <a:xfrm>
          <a:off x="11403707" y="6197659"/>
          <a:ext cx="327156" cy="26121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16</xdr:col>
      <xdr:colOff>1329705</xdr:colOff>
      <xdr:row>31</xdr:row>
      <xdr:rowOff>79790</xdr:rowOff>
    </xdr:from>
    <xdr:to>
      <xdr:col>16</xdr:col>
      <xdr:colOff>1755918</xdr:colOff>
      <xdr:row>32</xdr:row>
      <xdr:rowOff>75877</xdr:rowOff>
    </xdr:to>
    <xdr:sp macro="" textlink="'Variable Management'!B38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84295" y="6366290"/>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3431895</xdr:colOff>
      <xdr:row>24</xdr:row>
      <xdr:rowOff>194921</xdr:rowOff>
    </xdr:from>
    <xdr:to>
      <xdr:col>16</xdr:col>
      <xdr:colOff>3958366</xdr:colOff>
      <xdr:row>25</xdr:row>
      <xdr:rowOff>225990</xdr:rowOff>
    </xdr:to>
    <xdr:sp macro="" textlink="'Variable Management'!D354">
      <xdr:nvSpPr>
        <xdr:cNvPr id="73" name="Text Box 261">
          <a:extLst>
            <a:ext uri="{FF2B5EF4-FFF2-40B4-BE49-F238E27FC236}">
              <a16:creationId xmlns:a16="http://schemas.microsoft.com/office/drawing/2014/main" id="{00000000-0008-0000-0000-000049000000}"/>
            </a:ext>
          </a:extLst>
        </xdr:cNvPr>
        <xdr:cNvSpPr txBox="1">
          <a:spLocks noChangeArrowheads="1" noTextEdit="1"/>
        </xdr:cNvSpPr>
      </xdr:nvSpPr>
      <xdr:spPr bwMode="auto">
        <a:xfrm>
          <a:off x="13502201" y="5144587"/>
          <a:ext cx="505516" cy="248716"/>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 </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2938006</xdr:colOff>
      <xdr:row>25</xdr:row>
      <xdr:rowOff>33343</xdr:rowOff>
    </xdr:from>
    <xdr:to>
      <xdr:col>16</xdr:col>
      <xdr:colOff>3425437</xdr:colOff>
      <xdr:row>26</xdr:row>
      <xdr:rowOff>4155</xdr:rowOff>
    </xdr:to>
    <xdr:sp macro="" textlink="'Variable Management'!D353">
      <xdr:nvSpPr>
        <xdr:cNvPr id="75" name="Text Box 263">
          <a:extLst>
            <a:ext uri="{FF2B5EF4-FFF2-40B4-BE49-F238E27FC236}">
              <a16:creationId xmlns:a16="http://schemas.microsoft.com/office/drawing/2014/main" id="{00000000-0008-0000-0000-00004B000000}"/>
            </a:ext>
          </a:extLst>
        </xdr:cNvPr>
        <xdr:cNvSpPr txBox="1">
          <a:spLocks noChangeArrowheads="1" noTextEdit="1"/>
        </xdr:cNvSpPr>
      </xdr:nvSpPr>
      <xdr:spPr bwMode="auto">
        <a:xfrm>
          <a:off x="13008312" y="5179224"/>
          <a:ext cx="460761" cy="241799"/>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3196325</xdr:colOff>
      <xdr:row>29</xdr:row>
      <xdr:rowOff>71548</xdr:rowOff>
    </xdr:from>
    <xdr:to>
      <xdr:col>16</xdr:col>
      <xdr:colOff>3616531</xdr:colOff>
      <xdr:row>30</xdr:row>
      <xdr:rowOff>76687</xdr:rowOff>
    </xdr:to>
    <xdr:sp macro="" textlink="'Variable Management'!D355">
      <xdr:nvSpPr>
        <xdr:cNvPr id="77" name="Text Box 262">
          <a:extLst>
            <a:ext uri="{FF2B5EF4-FFF2-40B4-BE49-F238E27FC236}">
              <a16:creationId xmlns:a16="http://schemas.microsoft.com/office/drawing/2014/main" id="{00000000-0008-0000-0000-00004D000000}"/>
            </a:ext>
          </a:extLst>
        </xdr:cNvPr>
        <xdr:cNvSpPr txBox="1">
          <a:spLocks noChangeArrowheads="1" noTextEdit="1"/>
        </xdr:cNvSpPr>
      </xdr:nvSpPr>
      <xdr:spPr bwMode="auto">
        <a:xfrm>
          <a:off x="13257106" y="6000622"/>
          <a:ext cx="420206" cy="220881"/>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3471376</xdr:colOff>
      <xdr:row>21</xdr:row>
      <xdr:rowOff>110048</xdr:rowOff>
    </xdr:from>
    <xdr:to>
      <xdr:col>16</xdr:col>
      <xdr:colOff>3847385</xdr:colOff>
      <xdr:row>23</xdr:row>
      <xdr:rowOff>4524</xdr:rowOff>
    </xdr:to>
    <xdr:sp macro="" textlink="">
      <xdr:nvSpPr>
        <xdr:cNvPr id="78" name="Text Box 249">
          <a:extLst>
            <a:ext uri="{FF2B5EF4-FFF2-40B4-BE49-F238E27FC236}">
              <a16:creationId xmlns:a16="http://schemas.microsoft.com/office/drawing/2014/main" id="{00000000-0008-0000-0000-00004E000000}"/>
            </a:ext>
          </a:extLst>
        </xdr:cNvPr>
        <xdr:cNvSpPr txBox="1">
          <a:spLocks noChangeArrowheads="1"/>
        </xdr:cNvSpPr>
      </xdr:nvSpPr>
      <xdr:spPr bwMode="auto">
        <a:xfrm>
          <a:off x="13529776" y="4501073"/>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16</xdr:col>
      <xdr:colOff>3501817</xdr:colOff>
      <xdr:row>22</xdr:row>
      <xdr:rowOff>148004</xdr:rowOff>
    </xdr:from>
    <xdr:to>
      <xdr:col>16</xdr:col>
      <xdr:colOff>3958125</xdr:colOff>
      <xdr:row>24</xdr:row>
      <xdr:rowOff>34513</xdr:rowOff>
    </xdr:to>
    <xdr:sp macro="" textlink="">
      <xdr:nvSpPr>
        <xdr:cNvPr id="79" name="Text Box 279">
          <a:extLst>
            <a:ext uri="{FF2B5EF4-FFF2-40B4-BE49-F238E27FC236}">
              <a16:creationId xmlns:a16="http://schemas.microsoft.com/office/drawing/2014/main" id="{00000000-0008-0000-0000-00004F000000}"/>
            </a:ext>
          </a:extLst>
        </xdr:cNvPr>
        <xdr:cNvSpPr txBox="1">
          <a:spLocks noChangeArrowheads="1"/>
        </xdr:cNvSpPr>
      </xdr:nvSpPr>
      <xdr:spPr bwMode="auto">
        <a:xfrm>
          <a:off x="13546882" y="4708574"/>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16</xdr:col>
      <xdr:colOff>2366067</xdr:colOff>
      <xdr:row>29</xdr:row>
      <xdr:rowOff>117387</xdr:rowOff>
    </xdr:from>
    <xdr:to>
      <xdr:col>16</xdr:col>
      <xdr:colOff>2855889</xdr:colOff>
      <xdr:row>30</xdr:row>
      <xdr:rowOff>110112</xdr:rowOff>
    </xdr:to>
    <xdr:sp macro="" textlink="'Variable Management'!B362">
      <xdr:nvSpPr>
        <xdr:cNvPr id="80" name="Text Box 26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12428753" y="6053367"/>
          <a:ext cx="487917" cy="186321"/>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2395696</xdr:colOff>
      <xdr:row>28</xdr:row>
      <xdr:rowOff>73084</xdr:rowOff>
    </xdr:from>
    <xdr:to>
      <xdr:col>16</xdr:col>
      <xdr:colOff>2777472</xdr:colOff>
      <xdr:row>29</xdr:row>
      <xdr:rowOff>149137</xdr:rowOff>
    </xdr:to>
    <xdr:sp macro="" textlink="">
      <xdr:nvSpPr>
        <xdr:cNvPr id="81" name="Text Box 233">
          <a:extLst>
            <a:ext uri="{FF2B5EF4-FFF2-40B4-BE49-F238E27FC236}">
              <a16:creationId xmlns:a16="http://schemas.microsoft.com/office/drawing/2014/main" id="{00000000-0008-0000-0000-000051000000}"/>
            </a:ext>
          </a:extLst>
        </xdr:cNvPr>
        <xdr:cNvSpPr txBox="1">
          <a:spLocks noChangeArrowheads="1"/>
        </xdr:cNvSpPr>
      </xdr:nvSpPr>
      <xdr:spPr bwMode="auto">
        <a:xfrm>
          <a:off x="12450762" y="5821898"/>
          <a:ext cx="381776" cy="25369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16</xdr:col>
      <xdr:colOff>492021</xdr:colOff>
      <xdr:row>30</xdr:row>
      <xdr:rowOff>72477</xdr:rowOff>
    </xdr:from>
    <xdr:to>
      <xdr:col>16</xdr:col>
      <xdr:colOff>918234</xdr:colOff>
      <xdr:row>31</xdr:row>
      <xdr:rowOff>149159</xdr:rowOff>
    </xdr:to>
    <xdr:sp macro="" textlink="'Variable Management'!C381">
      <xdr:nvSpPr>
        <xdr:cNvPr id="82" name="Text Box 281">
          <a:extLst>
            <a:ext uri="{FF2B5EF4-FFF2-40B4-BE49-F238E27FC236}">
              <a16:creationId xmlns:a16="http://schemas.microsoft.com/office/drawing/2014/main" id="{00000000-0008-0000-0000-000052000000}"/>
            </a:ext>
          </a:extLst>
        </xdr:cNvPr>
        <xdr:cNvSpPr txBox="1">
          <a:spLocks noChangeArrowheads="1" noTextEdit="1"/>
        </xdr:cNvSpPr>
      </xdr:nvSpPr>
      <xdr:spPr bwMode="auto">
        <a:xfrm>
          <a:off x="10526096" y="6120705"/>
          <a:ext cx="437643" cy="23567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910095</xdr:colOff>
      <xdr:row>30</xdr:row>
      <xdr:rowOff>80683</xdr:rowOff>
    </xdr:from>
    <xdr:to>
      <xdr:col>16</xdr:col>
      <xdr:colOff>1338213</xdr:colOff>
      <xdr:row>31</xdr:row>
      <xdr:rowOff>149160</xdr:rowOff>
    </xdr:to>
    <xdr:sp macro="" textlink="'Variable Management'!C382">
      <xdr:nvSpPr>
        <xdr:cNvPr id="83" name="Text Box 281">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10962780" y="618811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16</xdr:col>
      <xdr:colOff>3005742</xdr:colOff>
      <xdr:row>24</xdr:row>
      <xdr:rowOff>71773</xdr:rowOff>
    </xdr:from>
    <xdr:to>
      <xdr:col>16</xdr:col>
      <xdr:colOff>3462693</xdr:colOff>
      <xdr:row>25</xdr:row>
      <xdr:rowOff>75850</xdr:rowOff>
    </xdr:to>
    <xdr:sp macro="" textlink="'Variable Management'!C353">
      <xdr:nvSpPr>
        <xdr:cNvPr id="84" name="Text Box 263">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13030292" y="493743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3500602</xdr:colOff>
      <xdr:row>24</xdr:row>
      <xdr:rowOff>33380</xdr:rowOff>
    </xdr:from>
    <xdr:to>
      <xdr:col>16</xdr:col>
      <xdr:colOff>3959458</xdr:colOff>
      <xdr:row>25</xdr:row>
      <xdr:rowOff>41267</xdr:rowOff>
    </xdr:to>
    <xdr:sp macro="" textlink="'Variable Management'!C354">
      <xdr:nvSpPr>
        <xdr:cNvPr id="85" name="Text Box 263">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13527057" y="4906663"/>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3280648</xdr:colOff>
      <xdr:row>28</xdr:row>
      <xdr:rowOff>41586</xdr:rowOff>
    </xdr:from>
    <xdr:to>
      <xdr:col>16</xdr:col>
      <xdr:colOff>3737599</xdr:colOff>
      <xdr:row>29</xdr:row>
      <xdr:rowOff>110433</xdr:rowOff>
    </xdr:to>
    <xdr:sp macro="" textlink="'Variable Management'!C355">
      <xdr:nvSpPr>
        <xdr:cNvPr id="86" name="Text Box 26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13320438" y="5718486"/>
          <a:ext cx="460761" cy="233556"/>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16</xdr:col>
      <xdr:colOff>3844162</xdr:colOff>
      <xdr:row>20</xdr:row>
      <xdr:rowOff>149462</xdr:rowOff>
    </xdr:from>
    <xdr:to>
      <xdr:col>16</xdr:col>
      <xdr:colOff>4950043</xdr:colOff>
      <xdr:row>22</xdr:row>
      <xdr:rowOff>72513</xdr:rowOff>
    </xdr:to>
    <xdr:sp macro="" textlink="">
      <xdr:nvSpPr>
        <xdr:cNvPr id="87" name="Text Box 249">
          <a:extLst>
            <a:ext uri="{FF2B5EF4-FFF2-40B4-BE49-F238E27FC236}">
              <a16:creationId xmlns:a16="http://schemas.microsoft.com/office/drawing/2014/main" id="{00000000-0008-0000-0000-000057000000}"/>
            </a:ext>
          </a:extLst>
        </xdr:cNvPr>
        <xdr:cNvSpPr txBox="1">
          <a:spLocks noChangeArrowheads="1"/>
        </xdr:cNvSpPr>
      </xdr:nvSpPr>
      <xdr:spPr bwMode="auto">
        <a:xfrm>
          <a:off x="13902562" y="4378562"/>
          <a:ext cx="1105881"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a:t>
          </a:r>
          <a:endParaRPr lang="en-US" sz="1000" b="0" i="0" strike="noStrike" baseline="-2500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374650</xdr:colOff>
          <xdr:row>4</xdr:row>
          <xdr:rowOff>6350</xdr:rowOff>
        </xdr:from>
        <xdr:to>
          <xdr:col>7</xdr:col>
          <xdr:colOff>520700</xdr:colOff>
          <xdr:row>4</xdr:row>
          <xdr:rowOff>234950</xdr:rowOff>
        </xdr:to>
        <xdr:sp macro="" textlink="">
          <xdr:nvSpPr>
            <xdr:cNvPr id="700259" name="Drop Down 2915" hidden="1">
              <a:extLst>
                <a:ext uri="{63B3BB69-23CF-44E3-9099-C40C66FF867C}">
                  <a14:compatExt spid="_x0000_s700259"/>
                </a:ext>
                <a:ext uri="{FF2B5EF4-FFF2-40B4-BE49-F238E27FC236}">
                  <a16:creationId xmlns:a16="http://schemas.microsoft.com/office/drawing/2014/main" id="{00000000-0008-0000-0000-000063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16</xdr:col>
      <xdr:colOff>696057</xdr:colOff>
      <xdr:row>15</xdr:row>
      <xdr:rowOff>133349</xdr:rowOff>
    </xdr:from>
    <xdr:to>
      <xdr:col>16</xdr:col>
      <xdr:colOff>1919653</xdr:colOff>
      <xdr:row>21</xdr:row>
      <xdr:rowOff>9524</xdr:rowOff>
    </xdr:to>
    <xdr:sp macro="" textlink="'Variable Management'!X25">
      <xdr:nvSpPr>
        <xdr:cNvPr id="88" name="Text Box 24">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754457" y="3390899"/>
          <a:ext cx="1223596" cy="1019175"/>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LM5143A-Q1</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222250</xdr:colOff>
          <xdr:row>15</xdr:row>
          <xdr:rowOff>6350</xdr:rowOff>
        </xdr:from>
        <xdr:to>
          <xdr:col>7</xdr:col>
          <xdr:colOff>469900</xdr:colOff>
          <xdr:row>15</xdr:row>
          <xdr:rowOff>234950</xdr:rowOff>
        </xdr:to>
        <xdr:sp macro="" textlink="">
          <xdr:nvSpPr>
            <xdr:cNvPr id="713934" name="Drop Down 3278" hidden="1">
              <a:extLst>
                <a:ext uri="{63B3BB69-23CF-44E3-9099-C40C66FF867C}">
                  <a14:compatExt spid="_x0000_s713934"/>
                </a:ext>
                <a:ext uri="{FF2B5EF4-FFF2-40B4-BE49-F238E27FC236}">
                  <a16:creationId xmlns:a16="http://schemas.microsoft.com/office/drawing/2014/main" id="{00000000-0008-0000-0000-0000CEE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150936</xdr:colOff>
          <xdr:row>1</xdr:row>
          <xdr:rowOff>0</xdr:rowOff>
        </xdr:from>
        <xdr:to>
          <xdr:col>8</xdr:col>
          <xdr:colOff>676853</xdr:colOff>
          <xdr:row>34</xdr:row>
          <xdr:rowOff>57150</xdr:rowOff>
        </xdr:to>
        <xdr:pic>
          <xdr:nvPicPr>
            <xdr:cNvPr id="3" name="Picture 1175">
              <a:extLst>
                <a:ext uri="{FF2B5EF4-FFF2-40B4-BE49-F238E27FC236}">
                  <a16:creationId xmlns:a16="http://schemas.microsoft.com/office/drawing/2014/main" id="{00000000-0008-0000-0100-000003000000}"/>
                </a:ext>
              </a:extLst>
            </xdr:cNvPr>
            <xdr:cNvPicPr>
              <a:picLocks noChangeAspect="1" noChangeArrowheads="1"/>
              <a:extLst>
                <a:ext uri="{84589F7E-364E-4C9E-8A38-B11213B215E9}">
                  <a14:cameraTool cellRange="PICTURE2" spid="_x0000_s686895"/>
                </a:ext>
              </a:extLst>
            </xdr:cNvPicPr>
          </xdr:nvPicPr>
          <xdr:blipFill>
            <a:blip xmlns:r="http://schemas.openxmlformats.org/officeDocument/2006/relationships" r:embed="rId1"/>
            <a:srcRect/>
            <a:stretch>
              <a:fillRect/>
            </a:stretch>
          </xdr:blipFill>
          <xdr:spPr bwMode="auto">
            <a:xfrm>
              <a:off x="150936" y="161925"/>
              <a:ext cx="9184142" cy="54006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editAs="absolute">
    <xdr:from>
      <xdr:col>1</xdr:col>
      <xdr:colOff>327117</xdr:colOff>
      <xdr:row>11</xdr:row>
      <xdr:rowOff>112786</xdr:rowOff>
    </xdr:from>
    <xdr:to>
      <xdr:col>1</xdr:col>
      <xdr:colOff>712364</xdr:colOff>
      <xdr:row>13</xdr:row>
      <xdr:rowOff>20216</xdr:rowOff>
    </xdr:to>
    <xdr:sp macro="" textlink="">
      <xdr:nvSpPr>
        <xdr:cNvPr id="4" name="Text Box 228">
          <a:extLst>
            <a:ext uri="{FF2B5EF4-FFF2-40B4-BE49-F238E27FC236}">
              <a16:creationId xmlns:a16="http://schemas.microsoft.com/office/drawing/2014/main" id="{00000000-0008-0000-0100-000004000000}"/>
            </a:ext>
          </a:extLst>
        </xdr:cNvPr>
        <xdr:cNvSpPr txBox="1">
          <a:spLocks noChangeArrowheads="1"/>
        </xdr:cNvSpPr>
      </xdr:nvSpPr>
      <xdr:spPr bwMode="auto">
        <a:xfrm>
          <a:off x="965292" y="1893961"/>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4</xdr:col>
      <xdr:colOff>770277</xdr:colOff>
      <xdr:row>31</xdr:row>
      <xdr:rowOff>44509</xdr:rowOff>
    </xdr:from>
    <xdr:to>
      <xdr:col>4</xdr:col>
      <xdr:colOff>1152053</xdr:colOff>
      <xdr:row>32</xdr:row>
      <xdr:rowOff>133897</xdr:rowOff>
    </xdr:to>
    <xdr:sp macro="" textlink="">
      <xdr:nvSpPr>
        <xdr:cNvPr id="5" name="Text Box 233">
          <a:extLst>
            <a:ext uri="{FF2B5EF4-FFF2-40B4-BE49-F238E27FC236}">
              <a16:creationId xmlns:a16="http://schemas.microsoft.com/office/drawing/2014/main" id="{00000000-0008-0000-0100-000005000000}"/>
            </a:ext>
          </a:extLst>
        </xdr:cNvPr>
        <xdr:cNvSpPr txBox="1">
          <a:spLocks noChangeArrowheads="1"/>
        </xdr:cNvSpPr>
      </xdr:nvSpPr>
      <xdr:spPr bwMode="auto">
        <a:xfrm>
          <a:off x="5180352" y="5064184"/>
          <a:ext cx="381776" cy="251313"/>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VDDA</a:t>
          </a:r>
        </a:p>
      </xdr:txBody>
    </xdr:sp>
    <xdr:clientData/>
  </xdr:twoCellAnchor>
  <xdr:twoCellAnchor editAs="absolute">
    <xdr:from>
      <xdr:col>1</xdr:col>
      <xdr:colOff>537446</xdr:colOff>
      <xdr:row>7</xdr:row>
      <xdr:rowOff>110846</xdr:rowOff>
    </xdr:from>
    <xdr:to>
      <xdr:col>1</xdr:col>
      <xdr:colOff>781307</xdr:colOff>
      <xdr:row>9</xdr:row>
      <xdr:rowOff>8292</xdr:rowOff>
    </xdr:to>
    <xdr:sp macro="" textlink="">
      <xdr:nvSpPr>
        <xdr:cNvPr id="6" name="Text Box 234">
          <a:extLst>
            <a:ext uri="{FF2B5EF4-FFF2-40B4-BE49-F238E27FC236}">
              <a16:creationId xmlns:a16="http://schemas.microsoft.com/office/drawing/2014/main" id="{00000000-0008-0000-0100-000006000000}"/>
            </a:ext>
          </a:extLst>
        </xdr:cNvPr>
        <xdr:cNvSpPr txBox="1">
          <a:spLocks noChangeArrowheads="1"/>
        </xdr:cNvSpPr>
      </xdr:nvSpPr>
      <xdr:spPr bwMode="auto">
        <a:xfrm>
          <a:off x="1175621" y="1244321"/>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S1</a:t>
          </a:r>
        </a:p>
      </xdr:txBody>
    </xdr:sp>
    <xdr:clientData/>
  </xdr:twoCellAnchor>
  <xdr:twoCellAnchor editAs="absolute">
    <xdr:from>
      <xdr:col>1</xdr:col>
      <xdr:colOff>1015578</xdr:colOff>
      <xdr:row>8</xdr:row>
      <xdr:rowOff>102673</xdr:rowOff>
    </xdr:from>
    <xdr:to>
      <xdr:col>2</xdr:col>
      <xdr:colOff>249</xdr:colOff>
      <xdr:row>10</xdr:row>
      <xdr:rowOff>54330</xdr:rowOff>
    </xdr:to>
    <xdr:sp macro="" textlink="">
      <xdr:nvSpPr>
        <xdr:cNvPr id="7" name="Text Box 235">
          <a:extLst>
            <a:ext uri="{FF2B5EF4-FFF2-40B4-BE49-F238E27FC236}">
              <a16:creationId xmlns:a16="http://schemas.microsoft.com/office/drawing/2014/main" id="{00000000-0008-0000-0100-000007000000}"/>
            </a:ext>
          </a:extLst>
        </xdr:cNvPr>
        <xdr:cNvSpPr txBox="1">
          <a:spLocks noChangeArrowheads="1"/>
        </xdr:cNvSpPr>
      </xdr:nvSpPr>
      <xdr:spPr bwMode="auto">
        <a:xfrm>
          <a:off x="1653753" y="1398073"/>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O1</a:t>
          </a:r>
        </a:p>
      </xdr:txBody>
    </xdr:sp>
    <xdr:clientData/>
  </xdr:twoCellAnchor>
  <xdr:twoCellAnchor editAs="absolute">
    <xdr:from>
      <xdr:col>1</xdr:col>
      <xdr:colOff>917688</xdr:colOff>
      <xdr:row>3</xdr:row>
      <xdr:rowOff>64533</xdr:rowOff>
    </xdr:from>
    <xdr:to>
      <xdr:col>1</xdr:col>
      <xdr:colOff>1246439</xdr:colOff>
      <xdr:row>4</xdr:row>
      <xdr:rowOff>128854</xdr:rowOff>
    </xdr:to>
    <xdr:sp macro="" textlink="">
      <xdr:nvSpPr>
        <xdr:cNvPr id="8" name="Text Box 244">
          <a:extLst>
            <a:ext uri="{FF2B5EF4-FFF2-40B4-BE49-F238E27FC236}">
              <a16:creationId xmlns:a16="http://schemas.microsoft.com/office/drawing/2014/main" id="{00000000-0008-0000-0100-000008000000}"/>
            </a:ext>
          </a:extLst>
        </xdr:cNvPr>
        <xdr:cNvSpPr txBox="1">
          <a:spLocks noChangeArrowheads="1"/>
        </xdr:cNvSpPr>
      </xdr:nvSpPr>
      <xdr:spPr bwMode="auto">
        <a:xfrm>
          <a:off x="1555863" y="550308"/>
          <a:ext cx="328751" cy="226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editAs="absolute">
    <xdr:from>
      <xdr:col>5</xdr:col>
      <xdr:colOff>311429</xdr:colOff>
      <xdr:row>3</xdr:row>
      <xdr:rowOff>95580</xdr:rowOff>
    </xdr:from>
    <xdr:to>
      <xdr:col>5</xdr:col>
      <xdr:colOff>721586</xdr:colOff>
      <xdr:row>5</xdr:row>
      <xdr:rowOff>13374</xdr:rowOff>
    </xdr:to>
    <xdr:sp macro="" textlink="">
      <xdr:nvSpPr>
        <xdr:cNvPr id="9" name="Text Box 248">
          <a:extLst>
            <a:ext uri="{FF2B5EF4-FFF2-40B4-BE49-F238E27FC236}">
              <a16:creationId xmlns:a16="http://schemas.microsoft.com/office/drawing/2014/main" id="{00000000-0008-0000-0100-000009000000}"/>
            </a:ext>
          </a:extLst>
        </xdr:cNvPr>
        <xdr:cNvSpPr txBox="1">
          <a:spLocks noChangeArrowheads="1"/>
        </xdr:cNvSpPr>
      </xdr:nvSpPr>
      <xdr:spPr bwMode="auto">
        <a:xfrm>
          <a:off x="5874029" y="581355"/>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5</xdr:col>
      <xdr:colOff>1215475</xdr:colOff>
      <xdr:row>3</xdr:row>
      <xdr:rowOff>101710</xdr:rowOff>
    </xdr:from>
    <xdr:to>
      <xdr:col>6</xdr:col>
      <xdr:colOff>219884</xdr:colOff>
      <xdr:row>5</xdr:row>
      <xdr:rowOff>31062</xdr:rowOff>
    </xdr:to>
    <xdr:sp macro="" textlink="">
      <xdr:nvSpPr>
        <xdr:cNvPr id="10" name="Text Box 249">
          <a:extLst>
            <a:ext uri="{FF2B5EF4-FFF2-40B4-BE49-F238E27FC236}">
              <a16:creationId xmlns:a16="http://schemas.microsoft.com/office/drawing/2014/main" id="{00000000-0008-0000-0100-00000A000000}"/>
            </a:ext>
          </a:extLst>
        </xdr:cNvPr>
        <xdr:cNvSpPr txBox="1">
          <a:spLocks noChangeArrowheads="1"/>
        </xdr:cNvSpPr>
      </xdr:nvSpPr>
      <xdr:spPr bwMode="auto">
        <a:xfrm>
          <a:off x="6778075" y="587485"/>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VCC2</a:t>
          </a:r>
        </a:p>
      </xdr:txBody>
    </xdr:sp>
    <xdr:clientData/>
  </xdr:twoCellAnchor>
  <xdr:twoCellAnchor editAs="absolute">
    <xdr:from>
      <xdr:col>2</xdr:col>
      <xdr:colOff>589169</xdr:colOff>
      <xdr:row>28</xdr:row>
      <xdr:rowOff>141288</xdr:rowOff>
    </xdr:from>
    <xdr:to>
      <xdr:col>2</xdr:col>
      <xdr:colOff>834519</xdr:colOff>
      <xdr:row>30</xdr:row>
      <xdr:rowOff>35965</xdr:rowOff>
    </xdr:to>
    <xdr:sp macro="" textlink="">
      <xdr:nvSpPr>
        <xdr:cNvPr id="11" name="Text Box 256">
          <a:extLst>
            <a:ext uri="{FF2B5EF4-FFF2-40B4-BE49-F238E27FC236}">
              <a16:creationId xmlns:a16="http://schemas.microsoft.com/office/drawing/2014/main" id="{00000000-0008-0000-0100-00000B000000}"/>
            </a:ext>
          </a:extLst>
        </xdr:cNvPr>
        <xdr:cNvSpPr txBox="1">
          <a:spLocks noChangeArrowheads="1"/>
        </xdr:cNvSpPr>
      </xdr:nvSpPr>
      <xdr:spPr bwMode="auto">
        <a:xfrm>
          <a:off x="2579894" y="4675188"/>
          <a:ext cx="245350" cy="21852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editAs="absolute">
    <xdr:from>
      <xdr:col>2</xdr:col>
      <xdr:colOff>289675</xdr:colOff>
      <xdr:row>23</xdr:row>
      <xdr:rowOff>132059</xdr:rowOff>
    </xdr:from>
    <xdr:to>
      <xdr:col>2</xdr:col>
      <xdr:colOff>604177</xdr:colOff>
      <xdr:row>25</xdr:row>
      <xdr:rowOff>52247</xdr:rowOff>
    </xdr:to>
    <xdr:sp macro="" textlink="">
      <xdr:nvSpPr>
        <xdr:cNvPr id="12" name="Text Box 257">
          <a:extLst>
            <a:ext uri="{FF2B5EF4-FFF2-40B4-BE49-F238E27FC236}">
              <a16:creationId xmlns:a16="http://schemas.microsoft.com/office/drawing/2014/main" id="{00000000-0008-0000-0100-00000C000000}"/>
            </a:ext>
          </a:extLst>
        </xdr:cNvPr>
        <xdr:cNvSpPr txBox="1">
          <a:spLocks noChangeArrowheads="1"/>
        </xdr:cNvSpPr>
      </xdr:nvSpPr>
      <xdr:spPr bwMode="auto">
        <a:xfrm>
          <a:off x="2280400" y="3856334"/>
          <a:ext cx="314502" cy="244038"/>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900" b="0" i="0" strike="noStrike">
              <a:solidFill>
                <a:srgbClr val="000000"/>
              </a:solidFill>
              <a:latin typeface="Arial" pitchFamily="34" charset="0"/>
              <a:cs typeface="Arial" pitchFamily="34" charset="0"/>
            </a:rPr>
            <a:t>C</a:t>
          </a:r>
          <a:r>
            <a:rPr lang="en-US" sz="900" b="0" i="0"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705821</xdr:colOff>
      <xdr:row>24</xdr:row>
      <xdr:rowOff>20397</xdr:rowOff>
    </xdr:from>
    <xdr:to>
      <xdr:col>2</xdr:col>
      <xdr:colOff>1015990</xdr:colOff>
      <xdr:row>25</xdr:row>
      <xdr:rowOff>77654</xdr:rowOff>
    </xdr:to>
    <xdr:sp macro="" textlink="">
      <xdr:nvSpPr>
        <xdr:cNvPr id="13" name="Text Box 258">
          <a:extLst>
            <a:ext uri="{FF2B5EF4-FFF2-40B4-BE49-F238E27FC236}">
              <a16:creationId xmlns:a16="http://schemas.microsoft.com/office/drawing/2014/main" id="{00000000-0008-0000-0100-00000D000000}"/>
            </a:ext>
          </a:extLst>
        </xdr:cNvPr>
        <xdr:cNvSpPr txBox="1">
          <a:spLocks noChangeArrowheads="1"/>
        </xdr:cNvSpPr>
      </xdr:nvSpPr>
      <xdr:spPr bwMode="auto">
        <a:xfrm>
          <a:off x="2696546" y="3906597"/>
          <a:ext cx="310169" cy="219182"/>
        </a:xfrm>
        <a:prstGeom prst="rect">
          <a:avLst/>
        </a:prstGeom>
        <a:noFill/>
        <a:ln w="9525">
          <a:noFill/>
          <a:miter lim="800000"/>
          <a:headEnd/>
          <a:tailEnd/>
        </a:ln>
      </xdr:spPr>
      <xdr:txBody>
        <a:bodyPr vertOverflow="clip" wrap="square" lIns="27432" tIns="27432" rIns="0" bIns="0" anchor="t" upright="1"/>
        <a:lstStyle/>
        <a:p>
          <a:pPr algn="ctr"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editAs="absolute">
    <xdr:from>
      <xdr:col>2</xdr:col>
      <xdr:colOff>392266</xdr:colOff>
      <xdr:row>29</xdr:row>
      <xdr:rowOff>139047</xdr:rowOff>
    </xdr:from>
    <xdr:to>
      <xdr:col>2</xdr:col>
      <xdr:colOff>814853</xdr:colOff>
      <xdr:row>31</xdr:row>
      <xdr:rowOff>37817</xdr:rowOff>
    </xdr:to>
    <xdr:sp macro="" textlink="'Variable Management'!B355">
      <xdr:nvSpPr>
        <xdr:cNvPr id="14" name="Text Box 262">
          <a:extLst>
            <a:ext uri="{FF2B5EF4-FFF2-40B4-BE49-F238E27FC236}">
              <a16:creationId xmlns:a16="http://schemas.microsoft.com/office/drawing/2014/main" id="{00000000-0008-0000-0100-00000E000000}"/>
            </a:ext>
          </a:extLst>
        </xdr:cNvPr>
        <xdr:cNvSpPr txBox="1">
          <a:spLocks noChangeArrowheads="1" noTextEdit="1"/>
        </xdr:cNvSpPr>
      </xdr:nvSpPr>
      <xdr:spPr bwMode="auto">
        <a:xfrm>
          <a:off x="2382991" y="4834872"/>
          <a:ext cx="422587" cy="222620"/>
        </a:xfrm>
        <a:prstGeom prst="rect">
          <a:avLst/>
        </a:prstGeom>
        <a:noFill/>
        <a:ln w="9525">
          <a:noFill/>
          <a:miter lim="800000"/>
          <a:headEnd/>
          <a:tailEnd/>
        </a:ln>
      </xdr:spPr>
      <xdr:txBody>
        <a:bodyPr vertOverflow="clip" wrap="square" lIns="27432" tIns="22860" rIns="0" bIns="0" anchor="ctr" upright="1"/>
        <a:lstStyle/>
        <a:p>
          <a:pPr algn="r" rtl="0">
            <a:defRPr sz="1000"/>
          </a:pPr>
          <a:fld id="{2D8520E2-C481-4B17-83BA-3FA209B7A03A}" type="TxLink">
            <a:rPr lang="en-US" sz="1000" b="0" i="0" u="none" strike="noStrike" baseline="0">
              <a:solidFill>
                <a:srgbClr val="000000"/>
              </a:solidFill>
              <a:latin typeface="Arial" pitchFamily="34" charset="0"/>
              <a:cs typeface="Arial" pitchFamily="34" charset="0"/>
            </a:rPr>
            <a:pPr algn="r"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669788</xdr:colOff>
      <xdr:row>25</xdr:row>
      <xdr:rowOff>51975</xdr:rowOff>
    </xdr:from>
    <xdr:to>
      <xdr:col>3</xdr:col>
      <xdr:colOff>54224</xdr:colOff>
      <xdr:row>26</xdr:row>
      <xdr:rowOff>113383</xdr:rowOff>
    </xdr:to>
    <xdr:sp macro="" textlink="'Variable Management'!B353">
      <xdr:nvSpPr>
        <xdr:cNvPr id="15" name="Text Box 263">
          <a:extLst>
            <a:ext uri="{FF2B5EF4-FFF2-40B4-BE49-F238E27FC236}">
              <a16:creationId xmlns:a16="http://schemas.microsoft.com/office/drawing/2014/main" id="{00000000-0008-0000-0100-00000F000000}"/>
            </a:ext>
          </a:extLst>
        </xdr:cNvPr>
        <xdr:cNvSpPr txBox="1">
          <a:spLocks noChangeArrowheads="1" noTextEdit="1"/>
        </xdr:cNvSpPr>
      </xdr:nvSpPr>
      <xdr:spPr bwMode="auto">
        <a:xfrm>
          <a:off x="2660513" y="4100100"/>
          <a:ext cx="460761" cy="223333"/>
        </a:xfrm>
        <a:prstGeom prst="rect">
          <a:avLst/>
        </a:prstGeom>
        <a:noFill/>
        <a:ln w="9525">
          <a:noFill/>
          <a:miter lim="800000"/>
          <a:headEnd/>
          <a:tailEnd/>
        </a:ln>
      </xdr:spPr>
      <xdr:txBody>
        <a:bodyPr vertOverflow="clip" wrap="square" lIns="27432" tIns="22860" rIns="0" bIns="0" anchor="t" upright="1"/>
        <a:lstStyle/>
        <a:p>
          <a:pPr algn="l" rtl="0">
            <a:defRPr sz="1000"/>
          </a:pPr>
          <a:fld id="{EDB14F34-7391-4353-9626-FAE030CE211F}" type="TxLink">
            <a:rPr lang="en-US" sz="900" b="0" i="0" u="none" strike="noStrike" baseline="0">
              <a:solidFill>
                <a:srgbClr val="000000"/>
              </a:solidFill>
              <a:latin typeface="Arial" pitchFamily="34" charset="0"/>
              <a:cs typeface="Arial" pitchFamily="34" charset="0"/>
            </a:rPr>
            <a:pPr algn="l" rtl="0">
              <a:defRPr sz="1000"/>
            </a:pPr>
            <a:t>12kΩ</a:t>
          </a:fld>
          <a:endParaRPr lang="el-GR" sz="9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379595</xdr:colOff>
      <xdr:row>19</xdr:row>
      <xdr:rowOff>91412</xdr:rowOff>
    </xdr:from>
    <xdr:to>
      <xdr:col>2</xdr:col>
      <xdr:colOff>1061575</xdr:colOff>
      <xdr:row>21</xdr:row>
      <xdr:rowOff>30464</xdr:rowOff>
    </xdr:to>
    <xdr:sp macro="" textlink="'Variable Management'!B380">
      <xdr:nvSpPr>
        <xdr:cNvPr id="16" name="Text Box 265">
          <a:extLst>
            <a:ext uri="{FF2B5EF4-FFF2-40B4-BE49-F238E27FC236}">
              <a16:creationId xmlns:a16="http://schemas.microsoft.com/office/drawing/2014/main" id="{00000000-0008-0000-0100-000010000000}"/>
            </a:ext>
          </a:extLst>
        </xdr:cNvPr>
        <xdr:cNvSpPr txBox="1">
          <a:spLocks noChangeArrowheads="1" noTextEdit="1"/>
        </xdr:cNvSpPr>
      </xdr:nvSpPr>
      <xdr:spPr bwMode="auto">
        <a:xfrm>
          <a:off x="2370320" y="3167987"/>
          <a:ext cx="681980" cy="262902"/>
        </a:xfrm>
        <a:prstGeom prst="rect">
          <a:avLst/>
        </a:prstGeom>
        <a:noFill/>
        <a:ln w="9525">
          <a:noFill/>
          <a:miter lim="800000"/>
          <a:headEnd/>
          <a:tailEnd/>
        </a:ln>
      </xdr:spPr>
      <xdr:txBody>
        <a:bodyPr vertOverflow="clip" wrap="square" lIns="27432" tIns="22860" rIns="0" bIns="0" anchor="t" upright="1"/>
        <a:lstStyle/>
        <a:p>
          <a:pPr algn="r" rtl="0">
            <a:defRPr sz="1000"/>
          </a:pPr>
          <a:fld id="{30247B59-D142-4194-9028-13C083D6194C}" type="TxLink">
            <a:rPr lang="en-US" sz="1000" b="0" i="0" u="none" strike="noStrike" baseline="0">
              <a:solidFill>
                <a:srgbClr val="000000"/>
              </a:solidFill>
              <a:latin typeface="Arialri"/>
              <a:cs typeface="Arial" pitchFamily="34" charset="0"/>
            </a:rPr>
            <a:pPr algn="r" rtl="0">
              <a:defRPr sz="1000"/>
            </a:pPr>
            <a:t>100kΩ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96201</xdr:colOff>
      <xdr:row>13</xdr:row>
      <xdr:rowOff>12640</xdr:rowOff>
    </xdr:from>
    <xdr:to>
      <xdr:col>1</xdr:col>
      <xdr:colOff>596825</xdr:colOff>
      <xdr:row>14</xdr:row>
      <xdr:rowOff>57839</xdr:rowOff>
    </xdr:to>
    <xdr:sp macro="" textlink="'Variable Management'!B345">
      <xdr:nvSpPr>
        <xdr:cNvPr id="17" name="Text Box 267">
          <a:extLst>
            <a:ext uri="{FF2B5EF4-FFF2-40B4-BE49-F238E27FC236}">
              <a16:creationId xmlns:a16="http://schemas.microsoft.com/office/drawing/2014/main" id="{00000000-0008-0000-0100-000011000000}"/>
            </a:ext>
          </a:extLst>
        </xdr:cNvPr>
        <xdr:cNvSpPr txBox="1">
          <a:spLocks noChangeArrowheads="1" noTextEdit="1"/>
        </xdr:cNvSpPr>
      </xdr:nvSpPr>
      <xdr:spPr bwMode="auto">
        <a:xfrm>
          <a:off x="734376" y="2117665"/>
          <a:ext cx="500624" cy="207124"/>
        </a:xfrm>
        <a:prstGeom prst="rect">
          <a:avLst/>
        </a:prstGeom>
        <a:noFill/>
        <a:ln w="9525">
          <a:noFill/>
          <a:miter lim="800000"/>
          <a:headEnd/>
          <a:tailEnd/>
        </a:ln>
      </xdr:spPr>
      <xdr:txBody>
        <a:bodyPr vertOverflow="clip" wrap="square" lIns="27432" tIns="22860" rIns="0" bIns="0" anchor="ctr" upright="1"/>
        <a:lstStyle/>
        <a:p>
          <a:pPr algn="r" rtl="0">
            <a:defRPr sz="1000"/>
          </a:pPr>
          <a:fld id="{DEF62FD0-959B-4627-B7E8-61CA1688D174}" type="TxLink">
            <a:rPr lang="en-US" sz="1000" b="0" i="0" u="none" strike="noStrike" baseline="0">
              <a:solidFill>
                <a:srgbClr val="000000"/>
              </a:solidFill>
              <a:latin typeface="Arial" pitchFamily="34" charset="0"/>
              <a:cs typeface="Arial" pitchFamily="34" charset="0"/>
            </a:rPr>
            <a:pPr algn="r"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943743</xdr:colOff>
      <xdr:row>11</xdr:row>
      <xdr:rowOff>5363</xdr:rowOff>
    </xdr:from>
    <xdr:to>
      <xdr:col>2</xdr:col>
      <xdr:colOff>37971</xdr:colOff>
      <xdr:row>12</xdr:row>
      <xdr:rowOff>52531</xdr:rowOff>
    </xdr:to>
    <xdr:sp macro="" textlink="'Variable Management'!B339">
      <xdr:nvSpPr>
        <xdr:cNvPr id="18" name="Text Box 275">
          <a:extLst>
            <a:ext uri="{FF2B5EF4-FFF2-40B4-BE49-F238E27FC236}">
              <a16:creationId xmlns:a16="http://schemas.microsoft.com/office/drawing/2014/main" id="{00000000-0008-0000-0100-000012000000}"/>
            </a:ext>
          </a:extLst>
        </xdr:cNvPr>
        <xdr:cNvSpPr txBox="1">
          <a:spLocks noChangeArrowheads="1" noTextEdit="1"/>
        </xdr:cNvSpPr>
      </xdr:nvSpPr>
      <xdr:spPr bwMode="auto">
        <a:xfrm>
          <a:off x="1581918" y="1786538"/>
          <a:ext cx="446778" cy="20909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876850</xdr:colOff>
      <xdr:row>4</xdr:row>
      <xdr:rowOff>95130</xdr:rowOff>
    </xdr:from>
    <xdr:to>
      <xdr:col>1</xdr:col>
      <xdr:colOff>1352510</xdr:colOff>
      <xdr:row>5</xdr:row>
      <xdr:rowOff>156921</xdr:rowOff>
    </xdr:to>
    <xdr:sp macro="" textlink="'Variable Management'!B349">
      <xdr:nvSpPr>
        <xdr:cNvPr id="19" name="Text Box 276">
          <a:extLst>
            <a:ext uri="{FF2B5EF4-FFF2-40B4-BE49-F238E27FC236}">
              <a16:creationId xmlns:a16="http://schemas.microsoft.com/office/drawing/2014/main" id="{00000000-0008-0000-0100-000013000000}"/>
            </a:ext>
          </a:extLst>
        </xdr:cNvPr>
        <xdr:cNvSpPr txBox="1">
          <a:spLocks noChangeArrowheads="1" noTextEdit="1"/>
        </xdr:cNvSpPr>
      </xdr:nvSpPr>
      <xdr:spPr bwMode="auto">
        <a:xfrm>
          <a:off x="1515025" y="742830"/>
          <a:ext cx="475660" cy="223716"/>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1328µF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870011</xdr:colOff>
      <xdr:row>32</xdr:row>
      <xdr:rowOff>86651</xdr:rowOff>
    </xdr:from>
    <xdr:to>
      <xdr:col>3</xdr:col>
      <xdr:colOff>1307654</xdr:colOff>
      <xdr:row>33</xdr:row>
      <xdr:rowOff>158938</xdr:rowOff>
    </xdr:to>
    <xdr:sp macro="" textlink="'Variable Management'!B381">
      <xdr:nvSpPr>
        <xdr:cNvPr id="20" name="Text Box 281">
          <a:extLst>
            <a:ext uri="{FF2B5EF4-FFF2-40B4-BE49-F238E27FC236}">
              <a16:creationId xmlns:a16="http://schemas.microsoft.com/office/drawing/2014/main" id="{00000000-0008-0000-0100-000014000000}"/>
            </a:ext>
          </a:extLst>
        </xdr:cNvPr>
        <xdr:cNvSpPr txBox="1">
          <a:spLocks noChangeArrowheads="1" noTextEdit="1"/>
        </xdr:cNvSpPr>
      </xdr:nvSpPr>
      <xdr:spPr bwMode="auto">
        <a:xfrm>
          <a:off x="3937061" y="5268251"/>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7460045-3ADA-4E36-A50B-8C5C548E137C}" type="TxLink">
            <a:rPr lang="en-US" sz="1000" b="0" i="0" u="none" strike="noStrike">
              <a:solidFill>
                <a:srgbClr val="000000"/>
              </a:solidFill>
              <a:latin typeface="Arial" pitchFamily="34" charset="0"/>
              <a:cs typeface="Arial" pitchFamily="34" charset="0"/>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0</xdr:col>
      <xdr:colOff>0</xdr:colOff>
      <xdr:row>10</xdr:row>
      <xdr:rowOff>19036</xdr:rowOff>
    </xdr:from>
    <xdr:to>
      <xdr:col>0</xdr:col>
      <xdr:colOff>482804</xdr:colOff>
      <xdr:row>11</xdr:row>
      <xdr:rowOff>101723</xdr:rowOff>
    </xdr:to>
    <xdr:sp macro="" textlink="'Variable Management'!B343">
      <xdr:nvSpPr>
        <xdr:cNvPr id="21" name="Text Box 285">
          <a:extLst>
            <a:ext uri="{FF2B5EF4-FFF2-40B4-BE49-F238E27FC236}">
              <a16:creationId xmlns:a16="http://schemas.microsoft.com/office/drawing/2014/main" id="{00000000-0008-0000-0100-000015000000}"/>
            </a:ext>
          </a:extLst>
        </xdr:cNvPr>
        <xdr:cNvSpPr txBox="1">
          <a:spLocks noChangeArrowheads="1" noTextEdit="1"/>
        </xdr:cNvSpPr>
      </xdr:nvSpPr>
      <xdr:spPr bwMode="auto">
        <a:xfrm>
          <a:off x="0" y="1638286"/>
          <a:ext cx="482804" cy="244612"/>
        </a:xfrm>
        <a:prstGeom prst="rect">
          <a:avLst/>
        </a:prstGeom>
        <a:noFill/>
        <a:ln w="9525">
          <a:noFill/>
          <a:miter lim="800000"/>
          <a:headEnd/>
          <a:tailEnd/>
        </a:ln>
      </xdr:spPr>
      <xdr:txBody>
        <a:bodyPr vertOverflow="clip" wrap="square" lIns="27432" tIns="22860" rIns="0" bIns="0" anchor="ctr" upright="1"/>
        <a:lstStyle/>
        <a:p>
          <a:pPr algn="r" rtl="0">
            <a:defRPr sz="1000"/>
          </a:pPr>
          <a:fld id="{702C2B8A-7C4B-4FDB-B229-3170089D9686}" type="TxLink">
            <a:rPr lang="en-US" sz="1000" b="1" i="0" u="none" strike="noStrike" baseline="0">
              <a:solidFill>
                <a:srgbClr val="FF0000"/>
              </a:solidFill>
              <a:latin typeface="Arial" pitchFamily="34" charset="0"/>
              <a:cs typeface="Arial" pitchFamily="34" charset="0"/>
            </a:rPr>
            <a:pPr algn="r" rtl="0">
              <a:defRPr sz="1000"/>
            </a:pPr>
            <a:t>24V</a:t>
          </a:fld>
          <a:endParaRPr lang="en-US" sz="1000" b="1" i="0" u="none" strike="noStrike" baseline="0">
            <a:solidFill>
              <a:srgbClr val="FF0000"/>
            </a:solidFill>
            <a:latin typeface="Arial" pitchFamily="34" charset="0"/>
            <a:cs typeface="Arial" pitchFamily="34" charset="0"/>
          </a:endParaRPr>
        </a:p>
      </xdr:txBody>
    </xdr:sp>
    <xdr:clientData/>
  </xdr:twoCellAnchor>
  <xdr:twoCellAnchor editAs="absolute">
    <xdr:from>
      <xdr:col>0</xdr:col>
      <xdr:colOff>10795</xdr:colOff>
      <xdr:row>11</xdr:row>
      <xdr:rowOff>64131</xdr:rowOff>
    </xdr:from>
    <xdr:to>
      <xdr:col>0</xdr:col>
      <xdr:colOff>467973</xdr:colOff>
      <xdr:row>12</xdr:row>
      <xdr:rowOff>144760</xdr:rowOff>
    </xdr:to>
    <xdr:sp macro="" textlink="'Variable Management'!B386">
      <xdr:nvSpPr>
        <xdr:cNvPr id="22" name="Text Box 286">
          <a:extLst>
            <a:ext uri="{FF2B5EF4-FFF2-40B4-BE49-F238E27FC236}">
              <a16:creationId xmlns:a16="http://schemas.microsoft.com/office/drawing/2014/main" id="{00000000-0008-0000-0100-000016000000}"/>
            </a:ext>
          </a:extLst>
        </xdr:cNvPr>
        <xdr:cNvSpPr txBox="1">
          <a:spLocks noChangeArrowheads="1" noTextEdit="1"/>
        </xdr:cNvSpPr>
      </xdr:nvSpPr>
      <xdr:spPr bwMode="auto">
        <a:xfrm>
          <a:off x="10795" y="1845306"/>
          <a:ext cx="457178" cy="242554"/>
        </a:xfrm>
        <a:prstGeom prst="rect">
          <a:avLst/>
        </a:prstGeom>
        <a:noFill/>
        <a:ln w="9525">
          <a:noFill/>
          <a:miter lim="800000"/>
          <a:headEnd/>
          <a:tailEnd/>
        </a:ln>
      </xdr:spPr>
      <xdr:txBody>
        <a:bodyPr vertOverflow="clip" wrap="square" lIns="27432" tIns="22860" rIns="0" bIns="0" anchor="t" upright="1"/>
        <a:lstStyle/>
        <a:p>
          <a:pPr algn="r" rtl="0">
            <a:defRPr sz="1000"/>
          </a:pPr>
          <a:fld id="{E0FB88FA-F39E-4ACF-AB5E-DCB628763AAE}" type="TxLink">
            <a:rPr lang="en-US" sz="1000" b="1" i="0" u="none" strike="noStrike">
              <a:solidFill>
                <a:srgbClr val="FF0000"/>
              </a:solidFill>
              <a:latin typeface="Arial" pitchFamily="34" charset="0"/>
              <a:cs typeface="Arial" pitchFamily="34" charset="0"/>
            </a:rPr>
            <a:pPr algn="r" rtl="0">
              <a:defRPr sz="1000"/>
            </a:pPr>
            <a:t>60A</a:t>
          </a:fld>
          <a:endParaRPr lang="en-US" sz="1000" b="1" i="0" strike="noStrike">
            <a:solidFill>
              <a:srgbClr val="FF0000"/>
            </a:solidFill>
            <a:latin typeface="Arial" pitchFamily="34" charset="0"/>
            <a:cs typeface="Arial" pitchFamily="34" charset="0"/>
          </a:endParaRPr>
        </a:p>
      </xdr:txBody>
    </xdr:sp>
    <xdr:clientData/>
  </xdr:twoCellAnchor>
  <xdr:twoCellAnchor editAs="absolute">
    <xdr:from>
      <xdr:col>2</xdr:col>
      <xdr:colOff>658119</xdr:colOff>
      <xdr:row>17</xdr:row>
      <xdr:rowOff>92548</xdr:rowOff>
    </xdr:from>
    <xdr:to>
      <xdr:col>2</xdr:col>
      <xdr:colOff>924041</xdr:colOff>
      <xdr:row>18</xdr:row>
      <xdr:rowOff>122438</xdr:rowOff>
    </xdr:to>
    <xdr:sp macro="" textlink="">
      <xdr:nvSpPr>
        <xdr:cNvPr id="23" name="Text Box 251">
          <a:extLst>
            <a:ext uri="{FF2B5EF4-FFF2-40B4-BE49-F238E27FC236}">
              <a16:creationId xmlns:a16="http://schemas.microsoft.com/office/drawing/2014/main" id="{00000000-0008-0000-0100-000017000000}"/>
            </a:ext>
          </a:extLst>
        </xdr:cNvPr>
        <xdr:cNvSpPr txBox="1">
          <a:spLocks noChangeArrowheads="1"/>
        </xdr:cNvSpPr>
      </xdr:nvSpPr>
      <xdr:spPr bwMode="auto">
        <a:xfrm>
          <a:off x="2648844" y="2845273"/>
          <a:ext cx="265922" cy="191815"/>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T</a:t>
          </a:r>
        </a:p>
      </xdr:txBody>
    </xdr:sp>
    <xdr:clientData/>
  </xdr:twoCellAnchor>
  <xdr:twoCellAnchor editAs="absolute">
    <xdr:from>
      <xdr:col>5</xdr:col>
      <xdr:colOff>891111</xdr:colOff>
      <xdr:row>7</xdr:row>
      <xdr:rowOff>51329</xdr:rowOff>
    </xdr:from>
    <xdr:to>
      <xdr:col>5</xdr:col>
      <xdr:colOff>1353903</xdr:colOff>
      <xdr:row>8</xdr:row>
      <xdr:rowOff>112679</xdr:rowOff>
    </xdr:to>
    <xdr:sp macro="" textlink="">
      <xdr:nvSpPr>
        <xdr:cNvPr id="24" name="Text Box 247">
          <a:extLst>
            <a:ext uri="{FF2B5EF4-FFF2-40B4-BE49-F238E27FC236}">
              <a16:creationId xmlns:a16="http://schemas.microsoft.com/office/drawing/2014/main" id="{00000000-0008-0000-0100-000018000000}"/>
            </a:ext>
          </a:extLst>
        </xdr:cNvPr>
        <xdr:cNvSpPr txBox="1">
          <a:spLocks noChangeArrowheads="1"/>
        </xdr:cNvSpPr>
      </xdr:nvSpPr>
      <xdr:spPr bwMode="auto">
        <a:xfrm>
          <a:off x="6453711" y="1184804"/>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BOOT2</a:t>
          </a:r>
        </a:p>
      </xdr:txBody>
    </xdr:sp>
    <xdr:clientData/>
  </xdr:twoCellAnchor>
  <xdr:twoCellAnchor editAs="absolute">
    <xdr:from>
      <xdr:col>1</xdr:col>
      <xdr:colOff>1199239</xdr:colOff>
      <xdr:row>12</xdr:row>
      <xdr:rowOff>117699</xdr:rowOff>
    </xdr:from>
    <xdr:to>
      <xdr:col>2</xdr:col>
      <xdr:colOff>169074</xdr:colOff>
      <xdr:row>14</xdr:row>
      <xdr:rowOff>39099</xdr:rowOff>
    </xdr:to>
    <xdr:sp macro="" textlink="">
      <xdr:nvSpPr>
        <xdr:cNvPr id="25" name="Text Box 244">
          <a:extLst>
            <a:ext uri="{FF2B5EF4-FFF2-40B4-BE49-F238E27FC236}">
              <a16:creationId xmlns:a16="http://schemas.microsoft.com/office/drawing/2014/main" id="{00000000-0008-0000-0100-000019000000}"/>
            </a:ext>
          </a:extLst>
        </xdr:cNvPr>
        <xdr:cNvSpPr txBox="1">
          <a:spLocks noChangeArrowheads="1"/>
        </xdr:cNvSpPr>
      </xdr:nvSpPr>
      <xdr:spPr bwMode="auto">
        <a:xfrm>
          <a:off x="1837414" y="2060799"/>
          <a:ext cx="322385" cy="245250"/>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editAs="absolute">
    <xdr:from>
      <xdr:col>2</xdr:col>
      <xdr:colOff>10173</xdr:colOff>
      <xdr:row>8</xdr:row>
      <xdr:rowOff>65261</xdr:rowOff>
    </xdr:from>
    <xdr:to>
      <xdr:col>2</xdr:col>
      <xdr:colOff>329779</xdr:colOff>
      <xdr:row>10</xdr:row>
      <xdr:rowOff>10533</xdr:rowOff>
    </xdr:to>
    <xdr:sp macro="" textlink="">
      <xdr:nvSpPr>
        <xdr:cNvPr id="26" name="Text Box 244">
          <a:extLst>
            <a:ext uri="{FF2B5EF4-FFF2-40B4-BE49-F238E27FC236}">
              <a16:creationId xmlns:a16="http://schemas.microsoft.com/office/drawing/2014/main" id="{00000000-0008-0000-0100-00001A000000}"/>
            </a:ext>
          </a:extLst>
        </xdr:cNvPr>
        <xdr:cNvSpPr txBox="1">
          <a:spLocks noChangeArrowheads="1"/>
        </xdr:cNvSpPr>
      </xdr:nvSpPr>
      <xdr:spPr bwMode="auto">
        <a:xfrm>
          <a:off x="2000898" y="1360661"/>
          <a:ext cx="319606" cy="2691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editAs="absolute">
    <xdr:from>
      <xdr:col>1</xdr:col>
      <xdr:colOff>428508</xdr:colOff>
      <xdr:row>8</xdr:row>
      <xdr:rowOff>133037</xdr:rowOff>
    </xdr:from>
    <xdr:to>
      <xdr:col>1</xdr:col>
      <xdr:colOff>909453</xdr:colOff>
      <xdr:row>10</xdr:row>
      <xdr:rowOff>80249</xdr:rowOff>
    </xdr:to>
    <xdr:sp macro="" textlink="'Variable Management'!B341">
      <xdr:nvSpPr>
        <xdr:cNvPr id="27" name="Text Box 275">
          <a:extLst>
            <a:ext uri="{FF2B5EF4-FFF2-40B4-BE49-F238E27FC236}">
              <a16:creationId xmlns:a16="http://schemas.microsoft.com/office/drawing/2014/main" id="{00000000-0008-0000-0100-00001B000000}"/>
            </a:ext>
          </a:extLst>
        </xdr:cNvPr>
        <xdr:cNvSpPr txBox="1">
          <a:spLocks noChangeArrowheads="1" noTextEdit="1"/>
        </xdr:cNvSpPr>
      </xdr:nvSpPr>
      <xdr:spPr bwMode="auto">
        <a:xfrm>
          <a:off x="1066683" y="1428437"/>
          <a:ext cx="480945" cy="271062"/>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1234493</xdr:colOff>
      <xdr:row>5</xdr:row>
      <xdr:rowOff>4688</xdr:rowOff>
    </xdr:from>
    <xdr:to>
      <xdr:col>6</xdr:col>
      <xdr:colOff>313486</xdr:colOff>
      <xdr:row>6</xdr:row>
      <xdr:rowOff>75670</xdr:rowOff>
    </xdr:to>
    <xdr:sp macro="" textlink="">
      <xdr:nvSpPr>
        <xdr:cNvPr id="28" name="Text Box 279">
          <a:extLst>
            <a:ext uri="{FF2B5EF4-FFF2-40B4-BE49-F238E27FC236}">
              <a16:creationId xmlns:a16="http://schemas.microsoft.com/office/drawing/2014/main" id="{00000000-0008-0000-0100-00001C000000}"/>
            </a:ext>
          </a:extLst>
        </xdr:cNvPr>
        <xdr:cNvSpPr txBox="1">
          <a:spLocks noChangeArrowheads="1"/>
        </xdr:cNvSpPr>
      </xdr:nvSpPr>
      <xdr:spPr bwMode="auto">
        <a:xfrm>
          <a:off x="6797093" y="814313"/>
          <a:ext cx="450593" cy="232907"/>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285960</xdr:colOff>
      <xdr:row>12</xdr:row>
      <xdr:rowOff>83920</xdr:rowOff>
    </xdr:from>
    <xdr:to>
      <xdr:col>6</xdr:col>
      <xdr:colOff>561742</xdr:colOff>
      <xdr:row>14</xdr:row>
      <xdr:rowOff>51172</xdr:rowOff>
    </xdr:to>
    <xdr:sp macro="" textlink="">
      <xdr:nvSpPr>
        <xdr:cNvPr id="29" name="Text Box 244">
          <a:extLst>
            <a:ext uri="{FF2B5EF4-FFF2-40B4-BE49-F238E27FC236}">
              <a16:creationId xmlns:a16="http://schemas.microsoft.com/office/drawing/2014/main" id="{00000000-0008-0000-0100-00001D000000}"/>
            </a:ext>
          </a:extLst>
        </xdr:cNvPr>
        <xdr:cNvSpPr txBox="1">
          <a:spLocks noChangeArrowheads="1"/>
        </xdr:cNvSpPr>
      </xdr:nvSpPr>
      <xdr:spPr bwMode="auto">
        <a:xfrm>
          <a:off x="7220160" y="2027020"/>
          <a:ext cx="275782" cy="2911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4</a:t>
          </a:r>
        </a:p>
      </xdr:txBody>
    </xdr:sp>
    <xdr:clientData/>
  </xdr:twoCellAnchor>
  <xdr:twoCellAnchor editAs="absolute">
    <xdr:from>
      <xdr:col>6</xdr:col>
      <xdr:colOff>292065</xdr:colOff>
      <xdr:row>8</xdr:row>
      <xdr:rowOff>56469</xdr:rowOff>
    </xdr:from>
    <xdr:to>
      <xdr:col>6</xdr:col>
      <xdr:colOff>569068</xdr:colOff>
      <xdr:row>9</xdr:row>
      <xdr:rowOff>161392</xdr:rowOff>
    </xdr:to>
    <xdr:sp macro="" textlink="">
      <xdr:nvSpPr>
        <xdr:cNvPr id="30" name="Text Box 244">
          <a:extLst>
            <a:ext uri="{FF2B5EF4-FFF2-40B4-BE49-F238E27FC236}">
              <a16:creationId xmlns:a16="http://schemas.microsoft.com/office/drawing/2014/main" id="{00000000-0008-0000-0100-00001E000000}"/>
            </a:ext>
          </a:extLst>
        </xdr:cNvPr>
        <xdr:cNvSpPr txBox="1">
          <a:spLocks noChangeArrowheads="1"/>
        </xdr:cNvSpPr>
      </xdr:nvSpPr>
      <xdr:spPr bwMode="auto">
        <a:xfrm>
          <a:off x="7226265" y="1351869"/>
          <a:ext cx="277003" cy="26684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3</a:t>
          </a:r>
        </a:p>
      </xdr:txBody>
    </xdr:sp>
    <xdr:clientData/>
  </xdr:twoCellAnchor>
  <xdr:twoCellAnchor editAs="absolute">
    <xdr:from>
      <xdr:col>2</xdr:col>
      <xdr:colOff>118463</xdr:colOff>
      <xdr:row>24</xdr:row>
      <xdr:rowOff>154077</xdr:rowOff>
    </xdr:from>
    <xdr:to>
      <xdr:col>2</xdr:col>
      <xdr:colOff>623979</xdr:colOff>
      <xdr:row>26</xdr:row>
      <xdr:rowOff>73629</xdr:rowOff>
    </xdr:to>
    <xdr:sp macro="" textlink="'Variable Management'!B354">
      <xdr:nvSpPr>
        <xdr:cNvPr id="31" name="Text Box 261">
          <a:extLst>
            <a:ext uri="{FF2B5EF4-FFF2-40B4-BE49-F238E27FC236}">
              <a16:creationId xmlns:a16="http://schemas.microsoft.com/office/drawing/2014/main" id="{00000000-0008-0000-0100-00001F000000}"/>
            </a:ext>
          </a:extLst>
        </xdr:cNvPr>
        <xdr:cNvSpPr txBox="1">
          <a:spLocks noChangeArrowheads="1" noTextEdit="1"/>
        </xdr:cNvSpPr>
      </xdr:nvSpPr>
      <xdr:spPr bwMode="auto">
        <a:xfrm>
          <a:off x="2109188" y="4040277"/>
          <a:ext cx="505516" cy="243402"/>
        </a:xfrm>
        <a:prstGeom prst="rect">
          <a:avLst/>
        </a:prstGeom>
        <a:noFill/>
        <a:ln w="9525">
          <a:noFill/>
          <a:miter lim="800000"/>
          <a:headEnd/>
          <a:tailEnd/>
        </a:ln>
      </xdr:spPr>
      <xdr:txBody>
        <a:bodyPr vertOverflow="clip" wrap="square" lIns="27432" tIns="22860" rIns="0" bIns="0" anchor="t" upright="1"/>
        <a:lstStyle/>
        <a:p>
          <a:pPr algn="r" rtl="0">
            <a:defRPr sz="1000"/>
          </a:pPr>
          <a:fld id="{B9060F6D-CAA3-48E6-BAE7-37C16D6980D0}" type="TxLink">
            <a:rPr lang="en-US" sz="900" b="0" i="0" u="none" strike="noStrike" baseline="0">
              <a:solidFill>
                <a:srgbClr val="000000"/>
              </a:solidFill>
              <a:latin typeface="Arialri"/>
              <a:cs typeface="Arial" pitchFamily="34" charset="0"/>
            </a:rPr>
            <a:pPr algn="r" rtl="0">
              <a:defRPr sz="1000"/>
            </a:pPr>
            <a:t>5.6nF</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389074</xdr:colOff>
      <xdr:row>2</xdr:row>
      <xdr:rowOff>90854</xdr:rowOff>
    </xdr:from>
    <xdr:to>
      <xdr:col>2</xdr:col>
      <xdr:colOff>33752</xdr:colOff>
      <xdr:row>4</xdr:row>
      <xdr:rowOff>30183</xdr:rowOff>
    </xdr:to>
    <xdr:sp macro="" textlink="'Variable Management'!B388">
      <xdr:nvSpPr>
        <xdr:cNvPr id="32" name="Text Box 283">
          <a:extLst>
            <a:ext uri="{FF2B5EF4-FFF2-40B4-BE49-F238E27FC236}">
              <a16:creationId xmlns:a16="http://schemas.microsoft.com/office/drawing/2014/main" id="{00000000-0008-0000-0100-000020000000}"/>
            </a:ext>
          </a:extLst>
        </xdr:cNvPr>
        <xdr:cNvSpPr txBox="1">
          <a:spLocks noChangeArrowheads="1" noTextEdit="1"/>
        </xdr:cNvSpPr>
      </xdr:nvSpPr>
      <xdr:spPr bwMode="auto">
        <a:xfrm>
          <a:off x="1027249" y="414704"/>
          <a:ext cx="997228" cy="263179"/>
        </a:xfrm>
        <a:prstGeom prst="rect">
          <a:avLst/>
        </a:prstGeom>
        <a:noFill/>
        <a:ln w="9525">
          <a:noFill/>
          <a:miter lim="800000"/>
          <a:headEnd/>
          <a:tailEnd/>
        </a:ln>
      </xdr:spPr>
      <xdr:txBody>
        <a:bodyPr vertOverflow="clip" wrap="square" lIns="27432" tIns="22860" rIns="0" bIns="0" anchor="t" upright="1"/>
        <a:lstStyle/>
        <a:p>
          <a:pPr algn="l" rtl="0">
            <a:defRPr sz="1000"/>
          </a:pPr>
          <a:fld id="{B114F7CE-60BB-40BD-BD7F-B22E7592FFCF}" type="TxLink">
            <a:rPr lang="en-US" sz="1050" b="1" i="0" u="none" strike="noStrike">
              <a:solidFill>
                <a:srgbClr val="FF0000"/>
              </a:solidFill>
              <a:latin typeface="Arial"/>
              <a:cs typeface="Arial"/>
            </a:rPr>
            <a:pPr algn="l" rtl="0">
              <a:defRPr sz="1000"/>
            </a:pPr>
            <a:t>36V...51V</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3</xdr:col>
      <xdr:colOff>82930</xdr:colOff>
      <xdr:row>3</xdr:row>
      <xdr:rowOff>74154</xdr:rowOff>
    </xdr:from>
    <xdr:to>
      <xdr:col>3</xdr:col>
      <xdr:colOff>493087</xdr:colOff>
      <xdr:row>4</xdr:row>
      <xdr:rowOff>153873</xdr:rowOff>
    </xdr:to>
    <xdr:sp macro="" textlink="">
      <xdr:nvSpPr>
        <xdr:cNvPr id="33" name="Text Box 248">
          <a:extLst>
            <a:ext uri="{FF2B5EF4-FFF2-40B4-BE49-F238E27FC236}">
              <a16:creationId xmlns:a16="http://schemas.microsoft.com/office/drawing/2014/main" id="{00000000-0008-0000-0100-000021000000}"/>
            </a:ext>
          </a:extLst>
        </xdr:cNvPr>
        <xdr:cNvSpPr txBox="1">
          <a:spLocks noChangeArrowheads="1"/>
        </xdr:cNvSpPr>
      </xdr:nvSpPr>
      <xdr:spPr bwMode="auto">
        <a:xfrm>
          <a:off x="3149980" y="559929"/>
          <a:ext cx="410157" cy="24164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D</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4</xdr:col>
      <xdr:colOff>786366</xdr:colOff>
      <xdr:row>32</xdr:row>
      <xdr:rowOff>51348</xdr:rowOff>
    </xdr:from>
    <xdr:to>
      <xdr:col>5</xdr:col>
      <xdr:colOff>61458</xdr:colOff>
      <xdr:row>33</xdr:row>
      <xdr:rowOff>125538</xdr:rowOff>
    </xdr:to>
    <xdr:sp macro="" textlink="">
      <xdr:nvSpPr>
        <xdr:cNvPr id="34" name="Text Box 279">
          <a:extLst>
            <a:ext uri="{FF2B5EF4-FFF2-40B4-BE49-F238E27FC236}">
              <a16:creationId xmlns:a16="http://schemas.microsoft.com/office/drawing/2014/main" id="{00000000-0008-0000-0100-000022000000}"/>
            </a:ext>
          </a:extLst>
        </xdr:cNvPr>
        <xdr:cNvSpPr txBox="1">
          <a:spLocks noChangeArrowheads="1"/>
        </xdr:cNvSpPr>
      </xdr:nvSpPr>
      <xdr:spPr bwMode="auto">
        <a:xfrm>
          <a:off x="5196441" y="5232948"/>
          <a:ext cx="427617" cy="2361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470nF</a:t>
          </a:r>
          <a:endParaRPr lang="en-US" sz="1000">
            <a:latin typeface="Arial" pitchFamily="34" charset="0"/>
            <a:cs typeface="Arial" pitchFamily="34" charset="0"/>
          </a:endParaRPr>
        </a:p>
      </xdr:txBody>
    </xdr:sp>
    <xdr:clientData/>
  </xdr:twoCellAnchor>
  <xdr:twoCellAnchor editAs="absolute">
    <xdr:from>
      <xdr:col>2</xdr:col>
      <xdr:colOff>551311</xdr:colOff>
      <xdr:row>7</xdr:row>
      <xdr:rowOff>49455</xdr:rowOff>
    </xdr:from>
    <xdr:to>
      <xdr:col>2</xdr:col>
      <xdr:colOff>1014103</xdr:colOff>
      <xdr:row>8</xdr:row>
      <xdr:rowOff>110805</xdr:rowOff>
    </xdr:to>
    <xdr:sp macro="" textlink="">
      <xdr:nvSpPr>
        <xdr:cNvPr id="35" name="Text Box 247">
          <a:extLst>
            <a:ext uri="{FF2B5EF4-FFF2-40B4-BE49-F238E27FC236}">
              <a16:creationId xmlns:a16="http://schemas.microsoft.com/office/drawing/2014/main" id="{00000000-0008-0000-0100-000023000000}"/>
            </a:ext>
          </a:extLst>
        </xdr:cNvPr>
        <xdr:cNvSpPr txBox="1">
          <a:spLocks noChangeArrowheads="1"/>
        </xdr:cNvSpPr>
      </xdr:nvSpPr>
      <xdr:spPr bwMode="auto">
        <a:xfrm>
          <a:off x="2542036" y="1182930"/>
          <a:ext cx="462792" cy="22327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BOOT1</a:t>
          </a:r>
        </a:p>
      </xdr:txBody>
    </xdr:sp>
    <xdr:clientData/>
  </xdr:twoCellAnchor>
  <xdr:twoCellAnchor editAs="absolute">
    <xdr:from>
      <xdr:col>2</xdr:col>
      <xdr:colOff>335584</xdr:colOff>
      <xdr:row>3</xdr:row>
      <xdr:rowOff>102202</xdr:rowOff>
    </xdr:from>
    <xdr:to>
      <xdr:col>2</xdr:col>
      <xdr:colOff>711593</xdr:colOff>
      <xdr:row>5</xdr:row>
      <xdr:rowOff>31554</xdr:rowOff>
    </xdr:to>
    <xdr:sp macro="" textlink="">
      <xdr:nvSpPr>
        <xdr:cNvPr id="36" name="Text Box 249">
          <a:extLst>
            <a:ext uri="{FF2B5EF4-FFF2-40B4-BE49-F238E27FC236}">
              <a16:creationId xmlns:a16="http://schemas.microsoft.com/office/drawing/2014/main" id="{00000000-0008-0000-0100-000024000000}"/>
            </a:ext>
          </a:extLst>
        </xdr:cNvPr>
        <xdr:cNvSpPr txBox="1">
          <a:spLocks noChangeArrowheads="1"/>
        </xdr:cNvSpPr>
      </xdr:nvSpPr>
      <xdr:spPr bwMode="auto">
        <a:xfrm>
          <a:off x="2326309" y="587977"/>
          <a:ext cx="376009" cy="253202"/>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VCC1</a:t>
          </a:r>
        </a:p>
      </xdr:txBody>
    </xdr:sp>
    <xdr:clientData/>
  </xdr:twoCellAnchor>
  <xdr:twoCellAnchor editAs="absolute">
    <xdr:from>
      <xdr:col>2</xdr:col>
      <xdr:colOff>358133</xdr:colOff>
      <xdr:row>5</xdr:row>
      <xdr:rowOff>25459</xdr:rowOff>
    </xdr:from>
    <xdr:to>
      <xdr:col>2</xdr:col>
      <xdr:colOff>810191</xdr:colOff>
      <xdr:row>6</xdr:row>
      <xdr:rowOff>97632</xdr:rowOff>
    </xdr:to>
    <xdr:sp macro="" textlink="">
      <xdr:nvSpPr>
        <xdr:cNvPr id="37" name="Text Box 279">
          <a:extLst>
            <a:ext uri="{FF2B5EF4-FFF2-40B4-BE49-F238E27FC236}">
              <a16:creationId xmlns:a16="http://schemas.microsoft.com/office/drawing/2014/main" id="{00000000-0008-0000-0100-000025000000}"/>
            </a:ext>
          </a:extLst>
        </xdr:cNvPr>
        <xdr:cNvSpPr txBox="1">
          <a:spLocks noChangeArrowheads="1"/>
        </xdr:cNvSpPr>
      </xdr:nvSpPr>
      <xdr:spPr bwMode="auto">
        <a:xfrm>
          <a:off x="2348858" y="835084"/>
          <a:ext cx="452058" cy="234098"/>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6</xdr:col>
      <xdr:colOff>542992</xdr:colOff>
      <xdr:row>8</xdr:row>
      <xdr:rowOff>130514</xdr:rowOff>
    </xdr:from>
    <xdr:to>
      <xdr:col>7</xdr:col>
      <xdr:colOff>232513</xdr:colOff>
      <xdr:row>10</xdr:row>
      <xdr:rowOff>82171</xdr:rowOff>
    </xdr:to>
    <xdr:sp macro="" textlink="">
      <xdr:nvSpPr>
        <xdr:cNvPr id="38" name="Text Box 235">
          <a:extLst>
            <a:ext uri="{FF2B5EF4-FFF2-40B4-BE49-F238E27FC236}">
              <a16:creationId xmlns:a16="http://schemas.microsoft.com/office/drawing/2014/main" id="{00000000-0008-0000-0100-000026000000}"/>
            </a:ext>
          </a:extLst>
        </xdr:cNvPr>
        <xdr:cNvSpPr txBox="1">
          <a:spLocks noChangeArrowheads="1"/>
        </xdr:cNvSpPr>
      </xdr:nvSpPr>
      <xdr:spPr bwMode="auto">
        <a:xfrm>
          <a:off x="7477192" y="1425914"/>
          <a:ext cx="337221" cy="27550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6</xdr:col>
      <xdr:colOff>493138</xdr:colOff>
      <xdr:row>11</xdr:row>
      <xdr:rowOff>33204</xdr:rowOff>
    </xdr:from>
    <xdr:to>
      <xdr:col>7</xdr:col>
      <xdr:colOff>292216</xdr:colOff>
      <xdr:row>12</xdr:row>
      <xdr:rowOff>79640</xdr:rowOff>
    </xdr:to>
    <xdr:sp macro="" textlink="'Variable Management'!D339">
      <xdr:nvSpPr>
        <xdr:cNvPr id="39" name="Text Box 275">
          <a:extLst>
            <a:ext uri="{FF2B5EF4-FFF2-40B4-BE49-F238E27FC236}">
              <a16:creationId xmlns:a16="http://schemas.microsoft.com/office/drawing/2014/main" id="{00000000-0008-0000-0100-000027000000}"/>
            </a:ext>
          </a:extLst>
        </xdr:cNvPr>
        <xdr:cNvSpPr txBox="1">
          <a:spLocks noChangeArrowheads="1" noTextEdit="1"/>
        </xdr:cNvSpPr>
      </xdr:nvSpPr>
      <xdr:spPr bwMode="auto">
        <a:xfrm>
          <a:off x="7427338" y="1814379"/>
          <a:ext cx="446778" cy="208361"/>
        </a:xfrm>
        <a:prstGeom prst="rect">
          <a:avLst/>
        </a:prstGeom>
        <a:noFill/>
        <a:ln w="9525">
          <a:noFill/>
          <a:miter lim="800000"/>
          <a:headEnd/>
          <a:tailEnd/>
        </a:ln>
      </xdr:spPr>
      <xdr:txBody>
        <a:bodyPr vertOverflow="clip" wrap="square" lIns="27432" tIns="22860" rIns="0" bIns="0" anchor="ctr" upright="1"/>
        <a:lstStyle/>
        <a:p>
          <a:pPr algn="ctr" rtl="0">
            <a:defRPr sz="1000"/>
          </a:pPr>
          <a:fld id="{2F63E7DC-2453-4724-968B-35D106402735}" type="TxLink">
            <a:rPr lang="en-US" sz="1000" b="0" i="0" u="none" strike="noStrike" baseline="0">
              <a:solidFill>
                <a:srgbClr val="000000"/>
              </a:solidFill>
              <a:latin typeface="Arial"/>
              <a:cs typeface="Arial"/>
            </a:rPr>
            <a:pPr algn="ctr" rtl="0">
              <a:defRPr sz="1000"/>
            </a:pPr>
            <a:t>10µH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442930</xdr:colOff>
      <xdr:row>7</xdr:row>
      <xdr:rowOff>145281</xdr:rowOff>
    </xdr:from>
    <xdr:to>
      <xdr:col>7</xdr:col>
      <xdr:colOff>686791</xdr:colOff>
      <xdr:row>9</xdr:row>
      <xdr:rowOff>42727</xdr:rowOff>
    </xdr:to>
    <xdr:sp macro="" textlink="">
      <xdr:nvSpPr>
        <xdr:cNvPr id="40" name="Text Box 234">
          <a:extLst>
            <a:ext uri="{FF2B5EF4-FFF2-40B4-BE49-F238E27FC236}">
              <a16:creationId xmlns:a16="http://schemas.microsoft.com/office/drawing/2014/main" id="{00000000-0008-0000-0100-000028000000}"/>
            </a:ext>
          </a:extLst>
        </xdr:cNvPr>
        <xdr:cNvSpPr txBox="1">
          <a:spLocks noChangeArrowheads="1"/>
        </xdr:cNvSpPr>
      </xdr:nvSpPr>
      <xdr:spPr bwMode="auto">
        <a:xfrm>
          <a:off x="8024830" y="1278756"/>
          <a:ext cx="243861" cy="22129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S2</a:t>
          </a:r>
        </a:p>
      </xdr:txBody>
    </xdr:sp>
    <xdr:clientData/>
  </xdr:twoCellAnchor>
  <xdr:twoCellAnchor editAs="absolute">
    <xdr:from>
      <xdr:col>7</xdr:col>
      <xdr:colOff>333992</xdr:colOff>
      <xdr:row>9</xdr:row>
      <xdr:rowOff>5547</xdr:rowOff>
    </xdr:from>
    <xdr:to>
      <xdr:col>7</xdr:col>
      <xdr:colOff>814937</xdr:colOff>
      <xdr:row>10</xdr:row>
      <xdr:rowOff>117614</xdr:rowOff>
    </xdr:to>
    <xdr:sp macro="" textlink="'Variable Management'!D341">
      <xdr:nvSpPr>
        <xdr:cNvPr id="41" name="Text Box 275">
          <a:extLst>
            <a:ext uri="{FF2B5EF4-FFF2-40B4-BE49-F238E27FC236}">
              <a16:creationId xmlns:a16="http://schemas.microsoft.com/office/drawing/2014/main" id="{00000000-0008-0000-0100-000029000000}"/>
            </a:ext>
          </a:extLst>
        </xdr:cNvPr>
        <xdr:cNvSpPr txBox="1">
          <a:spLocks noChangeArrowheads="1" noTextEdit="1"/>
        </xdr:cNvSpPr>
      </xdr:nvSpPr>
      <xdr:spPr bwMode="auto">
        <a:xfrm>
          <a:off x="7915892" y="1462872"/>
          <a:ext cx="480945" cy="273992"/>
        </a:xfrm>
        <a:prstGeom prst="rect">
          <a:avLst/>
        </a:prstGeom>
        <a:noFill/>
        <a:ln w="9525">
          <a:noFill/>
          <a:miter lim="800000"/>
          <a:headEnd/>
          <a:tailEnd/>
        </a:ln>
      </xdr:spPr>
      <xdr:txBody>
        <a:bodyPr vertOverflow="clip" wrap="square" lIns="27432" tIns="22860" rIns="0" bIns="0" anchor="ctr" upright="1"/>
        <a:lstStyle/>
        <a:p>
          <a:pPr algn="ctr" rtl="0">
            <a:defRPr sz="1000"/>
          </a:pPr>
          <a:fld id="{60FAD3C8-B2D7-499A-BD55-279D7DCA2E93}" type="TxLink">
            <a:rPr lang="en-US" sz="1000" b="0" i="0" u="none" strike="noStrike" baseline="0">
              <a:solidFill>
                <a:srgbClr val="000000"/>
              </a:solidFill>
              <a:latin typeface="Arial"/>
              <a:cs typeface="Arial"/>
            </a:rPr>
            <a:pPr algn="ctr" rtl="0">
              <a:defRPr sz="1000"/>
            </a:pPr>
            <a:t>2.2mΩ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699873</xdr:colOff>
      <xdr:row>11</xdr:row>
      <xdr:rowOff>119100</xdr:rowOff>
    </xdr:from>
    <xdr:to>
      <xdr:col>8</xdr:col>
      <xdr:colOff>8795</xdr:colOff>
      <xdr:row>13</xdr:row>
      <xdr:rowOff>26530</xdr:rowOff>
    </xdr:to>
    <xdr:sp macro="" textlink="">
      <xdr:nvSpPr>
        <xdr:cNvPr id="42" name="Text Box 228">
          <a:extLst>
            <a:ext uri="{FF2B5EF4-FFF2-40B4-BE49-F238E27FC236}">
              <a16:creationId xmlns:a16="http://schemas.microsoft.com/office/drawing/2014/main" id="{00000000-0008-0000-0100-00002A000000}"/>
            </a:ext>
          </a:extLst>
        </xdr:cNvPr>
        <xdr:cNvSpPr txBox="1">
          <a:spLocks noChangeArrowheads="1"/>
        </xdr:cNvSpPr>
      </xdr:nvSpPr>
      <xdr:spPr bwMode="auto">
        <a:xfrm>
          <a:off x="8281773" y="1900275"/>
          <a:ext cx="385247" cy="23128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O2</a:t>
          </a:r>
        </a:p>
      </xdr:txBody>
    </xdr:sp>
    <xdr:clientData/>
  </xdr:twoCellAnchor>
  <xdr:twoCellAnchor editAs="absolute">
    <xdr:from>
      <xdr:col>7</xdr:col>
      <xdr:colOff>673381</xdr:colOff>
      <xdr:row>13</xdr:row>
      <xdr:rowOff>4119</xdr:rowOff>
    </xdr:from>
    <xdr:to>
      <xdr:col>8</xdr:col>
      <xdr:colOff>37004</xdr:colOff>
      <xdr:row>14</xdr:row>
      <xdr:rowOff>47211</xdr:rowOff>
    </xdr:to>
    <xdr:sp macro="" textlink="'Variable Management'!D345">
      <xdr:nvSpPr>
        <xdr:cNvPr id="43" name="Text Box 267">
          <a:extLst>
            <a:ext uri="{FF2B5EF4-FFF2-40B4-BE49-F238E27FC236}">
              <a16:creationId xmlns:a16="http://schemas.microsoft.com/office/drawing/2014/main" id="{00000000-0008-0000-0100-00002B000000}"/>
            </a:ext>
          </a:extLst>
        </xdr:cNvPr>
        <xdr:cNvSpPr txBox="1">
          <a:spLocks noChangeArrowheads="1" noTextEdit="1"/>
        </xdr:cNvSpPr>
      </xdr:nvSpPr>
      <xdr:spPr bwMode="auto">
        <a:xfrm>
          <a:off x="8255281" y="2109144"/>
          <a:ext cx="439948" cy="205017"/>
        </a:xfrm>
        <a:prstGeom prst="rect">
          <a:avLst/>
        </a:prstGeom>
        <a:noFill/>
        <a:ln w="9525">
          <a:noFill/>
          <a:miter lim="800000"/>
          <a:headEnd/>
          <a:tailEnd/>
        </a:ln>
      </xdr:spPr>
      <xdr:txBody>
        <a:bodyPr vertOverflow="clip" wrap="square" lIns="27432" tIns="22860" rIns="0" bIns="0" anchor="ctr" upright="1"/>
        <a:lstStyle/>
        <a:p>
          <a:pPr algn="l" rtl="0">
            <a:defRPr sz="1000"/>
          </a:pPr>
          <a:fld id="{B2AFD63C-308B-40D8-9608-99758D799EB5}" type="TxLink">
            <a:rPr lang="en-US" sz="1000" b="0" i="0" u="none" strike="noStrike" baseline="0">
              <a:solidFill>
                <a:srgbClr val="000000"/>
              </a:solidFill>
              <a:latin typeface="Arial"/>
              <a:cs typeface="Arial"/>
            </a:rPr>
            <a:pPr algn="l" rtl="0">
              <a:defRPr sz="1000"/>
            </a:pPr>
            <a:t>102µF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3</xdr:col>
      <xdr:colOff>1286322</xdr:colOff>
      <xdr:row>32</xdr:row>
      <xdr:rowOff>88557</xdr:rowOff>
    </xdr:from>
    <xdr:to>
      <xdr:col>4</xdr:col>
      <xdr:colOff>380940</xdr:colOff>
      <xdr:row>33</xdr:row>
      <xdr:rowOff>160844</xdr:rowOff>
    </xdr:to>
    <xdr:sp macro="" textlink="'Variable Management'!B382">
      <xdr:nvSpPr>
        <xdr:cNvPr id="44" name="Text Box 281">
          <a:extLst>
            <a:ext uri="{FF2B5EF4-FFF2-40B4-BE49-F238E27FC236}">
              <a16:creationId xmlns:a16="http://schemas.microsoft.com/office/drawing/2014/main" id="{00000000-0008-0000-0100-00002C000000}"/>
            </a:ext>
          </a:extLst>
        </xdr:cNvPr>
        <xdr:cNvSpPr txBox="1">
          <a:spLocks noChangeArrowheads="1" noTextEdit="1"/>
        </xdr:cNvSpPr>
      </xdr:nvSpPr>
      <xdr:spPr bwMode="auto">
        <a:xfrm>
          <a:off x="4353372" y="5270157"/>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322769A2-A935-402D-A6FA-E206A769B9F2}" type="TxLink">
            <a:rPr lang="en-US" sz="1000" b="0" i="0" u="none" strike="noStrike">
              <a:solidFill>
                <a:srgbClr val="000000"/>
              </a:solidFill>
              <a:latin typeface="Arial"/>
              <a:cs typeface="Arial"/>
            </a:rPr>
            <a:pPr algn="ctr"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8</xdr:col>
      <xdr:colOff>317575</xdr:colOff>
      <xdr:row>10</xdr:row>
      <xdr:rowOff>5781</xdr:rowOff>
    </xdr:from>
    <xdr:to>
      <xdr:col>8</xdr:col>
      <xdr:colOff>796749</xdr:colOff>
      <xdr:row>11</xdr:row>
      <xdr:rowOff>88468</xdr:rowOff>
    </xdr:to>
    <xdr:sp macro="" textlink="'Variable Management'!D343">
      <xdr:nvSpPr>
        <xdr:cNvPr id="45" name="Text Box 285">
          <a:extLst>
            <a:ext uri="{FF2B5EF4-FFF2-40B4-BE49-F238E27FC236}">
              <a16:creationId xmlns:a16="http://schemas.microsoft.com/office/drawing/2014/main" id="{00000000-0008-0000-0100-00002D000000}"/>
            </a:ext>
          </a:extLst>
        </xdr:cNvPr>
        <xdr:cNvSpPr txBox="1">
          <a:spLocks noChangeArrowheads="1" noTextEdit="1"/>
        </xdr:cNvSpPr>
      </xdr:nvSpPr>
      <xdr:spPr bwMode="auto">
        <a:xfrm>
          <a:off x="8975800" y="1625031"/>
          <a:ext cx="479174" cy="244612"/>
        </a:xfrm>
        <a:prstGeom prst="rect">
          <a:avLst/>
        </a:prstGeom>
        <a:noFill/>
        <a:ln w="9525">
          <a:noFill/>
          <a:miter lim="800000"/>
          <a:headEnd/>
          <a:tailEnd/>
        </a:ln>
      </xdr:spPr>
      <xdr:txBody>
        <a:bodyPr vertOverflow="clip" wrap="square" lIns="27432" tIns="22860" rIns="0" bIns="0" anchor="ctr" upright="1"/>
        <a:lstStyle/>
        <a:p>
          <a:pPr algn="l" rtl="0">
            <a:defRPr sz="1000"/>
          </a:pPr>
          <a:fld id="{AE313110-4AE9-4356-BA49-88A0938F85FF}" type="TxLink">
            <a:rPr lang="en-US" sz="1000" b="1" i="0" u="none" strike="noStrike" baseline="0">
              <a:solidFill>
                <a:srgbClr val="FF0000"/>
              </a:solidFill>
              <a:latin typeface="Arial"/>
              <a:cs typeface="Arial"/>
            </a:rPr>
            <a:pPr algn="l" rtl="0">
              <a:defRPr sz="1000"/>
            </a:pPr>
            <a:t> </a:t>
          </a:fld>
          <a:endParaRPr lang="en-US" sz="1050" b="1" i="0" u="none" strike="noStrike" baseline="0">
            <a:solidFill>
              <a:srgbClr val="FF0000"/>
            </a:solidFill>
            <a:latin typeface="Arial" pitchFamily="34" charset="0"/>
            <a:cs typeface="Arial" pitchFamily="34" charset="0"/>
          </a:endParaRPr>
        </a:p>
      </xdr:txBody>
    </xdr:sp>
    <xdr:clientData/>
  </xdr:twoCellAnchor>
  <xdr:twoCellAnchor editAs="absolute">
    <xdr:from>
      <xdr:col>8</xdr:col>
      <xdr:colOff>327414</xdr:colOff>
      <xdr:row>11</xdr:row>
      <xdr:rowOff>58203</xdr:rowOff>
    </xdr:from>
    <xdr:to>
      <xdr:col>8</xdr:col>
      <xdr:colOff>780962</xdr:colOff>
      <xdr:row>12</xdr:row>
      <xdr:rowOff>138832</xdr:rowOff>
    </xdr:to>
    <xdr:sp macro="" textlink="'Variable Management'!D386">
      <xdr:nvSpPr>
        <xdr:cNvPr id="46" name="Text Box 286">
          <a:extLst>
            <a:ext uri="{FF2B5EF4-FFF2-40B4-BE49-F238E27FC236}">
              <a16:creationId xmlns:a16="http://schemas.microsoft.com/office/drawing/2014/main" id="{00000000-0008-0000-0100-00002E000000}"/>
            </a:ext>
          </a:extLst>
        </xdr:cNvPr>
        <xdr:cNvSpPr txBox="1">
          <a:spLocks noChangeArrowheads="1" noTextEdit="1"/>
        </xdr:cNvSpPr>
      </xdr:nvSpPr>
      <xdr:spPr bwMode="auto">
        <a:xfrm>
          <a:off x="8985639" y="1839378"/>
          <a:ext cx="453548" cy="242554"/>
        </a:xfrm>
        <a:prstGeom prst="rect">
          <a:avLst/>
        </a:prstGeom>
        <a:noFill/>
        <a:ln w="9525">
          <a:noFill/>
          <a:miter lim="800000"/>
          <a:headEnd/>
          <a:tailEnd/>
        </a:ln>
      </xdr:spPr>
      <xdr:txBody>
        <a:bodyPr vertOverflow="clip" wrap="square" lIns="27432" tIns="22860" rIns="0" bIns="0" anchor="t" upright="1"/>
        <a:lstStyle/>
        <a:p>
          <a:pPr algn="l" rtl="0">
            <a:defRPr sz="1000"/>
          </a:pPr>
          <a:fld id="{00875F72-81FD-4544-A8D5-3EBFCC9D309F}" type="TxLink">
            <a:rPr lang="en-US" sz="1000" b="1" i="0" u="none" strike="noStrike">
              <a:solidFill>
                <a:srgbClr val="FF0000"/>
              </a:solidFill>
              <a:latin typeface="Arial"/>
              <a:cs typeface="Arial"/>
            </a:rPr>
            <a:pPr algn="l" rtl="0">
              <a:defRPr sz="1000"/>
            </a:pPr>
            <a:t> </a:t>
          </a:fld>
          <a:endParaRPr lang="en-US" sz="1050" b="1" i="0" strike="noStrike">
            <a:solidFill>
              <a:srgbClr val="FF0000"/>
            </a:solidFill>
            <a:latin typeface="Arial" pitchFamily="34" charset="0"/>
            <a:cs typeface="Arial" pitchFamily="34" charset="0"/>
          </a:endParaRPr>
        </a:p>
      </xdr:txBody>
    </xdr:sp>
    <xdr:clientData/>
  </xdr:twoCellAnchor>
  <xdr:twoCellAnchor editAs="absolute">
    <xdr:from>
      <xdr:col>4</xdr:col>
      <xdr:colOff>360386</xdr:colOff>
      <xdr:row>31</xdr:row>
      <xdr:rowOff>44509</xdr:rowOff>
    </xdr:from>
    <xdr:to>
      <xdr:col>4</xdr:col>
      <xdr:colOff>687542</xdr:colOff>
      <xdr:row>32</xdr:row>
      <xdr:rowOff>142603</xdr:rowOff>
    </xdr:to>
    <xdr:sp macro="" textlink="">
      <xdr:nvSpPr>
        <xdr:cNvPr id="47" name="Text Box 251">
          <a:extLst>
            <a:ext uri="{FF2B5EF4-FFF2-40B4-BE49-F238E27FC236}">
              <a16:creationId xmlns:a16="http://schemas.microsoft.com/office/drawing/2014/main" id="{00000000-0008-0000-0100-00002F000000}"/>
            </a:ext>
          </a:extLst>
        </xdr:cNvPr>
        <xdr:cNvSpPr txBox="1">
          <a:spLocks noChangeArrowheads="1"/>
        </xdr:cNvSpPr>
      </xdr:nvSpPr>
      <xdr:spPr bwMode="auto">
        <a:xfrm>
          <a:off x="4770461" y="5064184"/>
          <a:ext cx="327156" cy="26001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RES</a:t>
          </a:r>
        </a:p>
      </xdr:txBody>
    </xdr:sp>
    <xdr:clientData/>
  </xdr:twoCellAnchor>
  <xdr:twoCellAnchor editAs="absolute">
    <xdr:from>
      <xdr:col>4</xdr:col>
      <xdr:colOff>333830</xdr:colOff>
      <xdr:row>32</xdr:row>
      <xdr:rowOff>89315</xdr:rowOff>
    </xdr:from>
    <xdr:to>
      <xdr:col>4</xdr:col>
      <xdr:colOff>771473</xdr:colOff>
      <xdr:row>33</xdr:row>
      <xdr:rowOff>161602</xdr:rowOff>
    </xdr:to>
    <xdr:sp macro="" textlink="'Variable Management'!B383">
      <xdr:nvSpPr>
        <xdr:cNvPr id="48" name="Text Box 281">
          <a:extLst>
            <a:ext uri="{FF2B5EF4-FFF2-40B4-BE49-F238E27FC236}">
              <a16:creationId xmlns:a16="http://schemas.microsoft.com/office/drawing/2014/main" id="{00000000-0008-0000-0100-000030000000}"/>
            </a:ext>
          </a:extLst>
        </xdr:cNvPr>
        <xdr:cNvSpPr txBox="1">
          <a:spLocks noChangeArrowheads="1" noTextEdit="1"/>
        </xdr:cNvSpPr>
      </xdr:nvSpPr>
      <xdr:spPr bwMode="auto">
        <a:xfrm>
          <a:off x="4743905" y="5270915"/>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7EB4F7F9-CE77-410B-B4F3-251CFE7816F2}" type="TxLink">
            <a:rPr lang="en-US" sz="1000" b="0" i="0" u="none" strike="noStrike">
              <a:solidFill>
                <a:srgbClr val="000000"/>
              </a:solidFill>
              <a:latin typeface="Arial"/>
              <a:cs typeface="Arial"/>
            </a:rPr>
            <a:pPr algn="ctr" rtl="0">
              <a:defRPr sz="1000"/>
            </a:pPr>
            <a:t>470nF</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1306355</xdr:colOff>
      <xdr:row>24</xdr:row>
      <xdr:rowOff>132056</xdr:rowOff>
    </xdr:from>
    <xdr:to>
      <xdr:col>6</xdr:col>
      <xdr:colOff>440271</xdr:colOff>
      <xdr:row>26</xdr:row>
      <xdr:rowOff>54540</xdr:rowOff>
    </xdr:to>
    <xdr:sp macro="" textlink="'Variable Management'!D354">
      <xdr:nvSpPr>
        <xdr:cNvPr id="49" name="Text Box 261">
          <a:extLst>
            <a:ext uri="{FF2B5EF4-FFF2-40B4-BE49-F238E27FC236}">
              <a16:creationId xmlns:a16="http://schemas.microsoft.com/office/drawing/2014/main" id="{00000000-0008-0000-0100-000031000000}"/>
            </a:ext>
          </a:extLst>
        </xdr:cNvPr>
        <xdr:cNvSpPr txBox="1">
          <a:spLocks noChangeArrowheads="1" noTextEdit="1"/>
        </xdr:cNvSpPr>
      </xdr:nvSpPr>
      <xdr:spPr bwMode="auto">
        <a:xfrm>
          <a:off x="6868955" y="4018256"/>
          <a:ext cx="505516" cy="246334"/>
        </a:xfrm>
        <a:prstGeom prst="rect">
          <a:avLst/>
        </a:prstGeom>
        <a:noFill/>
        <a:ln w="9525">
          <a:noFill/>
          <a:miter lim="800000"/>
          <a:headEnd/>
          <a:tailEnd/>
        </a:ln>
      </xdr:spPr>
      <xdr:txBody>
        <a:bodyPr vertOverflow="clip" wrap="square" lIns="27432" tIns="22860" rIns="0" bIns="0" anchor="ctr" upright="1"/>
        <a:lstStyle/>
        <a:p>
          <a:pPr algn="l" rtl="0">
            <a:defRPr sz="1000"/>
          </a:pPr>
          <a:fld id="{4DC9070C-4611-4454-862F-8BF8F515B22E}" type="TxLink">
            <a:rPr lang="en-US" sz="1000" b="0" i="0" u="none" strike="noStrike" baseline="0">
              <a:solidFill>
                <a:srgbClr val="000000"/>
              </a:solidFill>
              <a:latin typeface="Arial"/>
              <a:cs typeface="Arial"/>
            </a:rPr>
            <a:pPr algn="l" rtl="0">
              <a:defRPr sz="1000"/>
            </a:pPr>
            <a:t> </a:t>
          </a:fld>
          <a:endParaRPr lang="en-US" sz="9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812466</xdr:colOff>
      <xdr:row>25</xdr:row>
      <xdr:rowOff>4768</xdr:rowOff>
    </xdr:from>
    <xdr:to>
      <xdr:col>5</xdr:col>
      <xdr:colOff>1273227</xdr:colOff>
      <xdr:row>26</xdr:row>
      <xdr:rowOff>82260</xdr:rowOff>
    </xdr:to>
    <xdr:sp macro="" textlink="'Variable Management'!D353">
      <xdr:nvSpPr>
        <xdr:cNvPr id="50" name="Text Box 263">
          <a:extLst>
            <a:ext uri="{FF2B5EF4-FFF2-40B4-BE49-F238E27FC236}">
              <a16:creationId xmlns:a16="http://schemas.microsoft.com/office/drawing/2014/main" id="{00000000-0008-0000-0100-000032000000}"/>
            </a:ext>
          </a:extLst>
        </xdr:cNvPr>
        <xdr:cNvSpPr txBox="1">
          <a:spLocks noChangeArrowheads="1" noTextEdit="1"/>
        </xdr:cNvSpPr>
      </xdr:nvSpPr>
      <xdr:spPr bwMode="auto">
        <a:xfrm>
          <a:off x="6375066" y="4052893"/>
          <a:ext cx="460761" cy="239417"/>
        </a:xfrm>
        <a:prstGeom prst="rect">
          <a:avLst/>
        </a:prstGeom>
        <a:noFill/>
        <a:ln w="9525">
          <a:noFill/>
          <a:miter lim="800000"/>
          <a:headEnd/>
          <a:tailEnd/>
        </a:ln>
      </xdr:spPr>
      <xdr:txBody>
        <a:bodyPr vertOverflow="clip" wrap="square" lIns="27432" tIns="22860" rIns="0" bIns="0" anchor="ctr" upright="1"/>
        <a:lstStyle/>
        <a:p>
          <a:pPr algn="l" rtl="0">
            <a:defRPr sz="1000"/>
          </a:pPr>
          <a:fld id="{51C069D1-ABA1-4481-AAE8-8F33F807B29E}"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1061260</xdr:colOff>
      <xdr:row>30</xdr:row>
      <xdr:rowOff>10588</xdr:rowOff>
    </xdr:from>
    <xdr:to>
      <xdr:col>6</xdr:col>
      <xdr:colOff>109866</xdr:colOff>
      <xdr:row>31</xdr:row>
      <xdr:rowOff>67162</xdr:rowOff>
    </xdr:to>
    <xdr:sp macro="" textlink="'Variable Management'!D355">
      <xdr:nvSpPr>
        <xdr:cNvPr id="51" name="Text Box 262">
          <a:extLst>
            <a:ext uri="{FF2B5EF4-FFF2-40B4-BE49-F238E27FC236}">
              <a16:creationId xmlns:a16="http://schemas.microsoft.com/office/drawing/2014/main" id="{00000000-0008-0000-0100-000033000000}"/>
            </a:ext>
          </a:extLst>
        </xdr:cNvPr>
        <xdr:cNvSpPr txBox="1">
          <a:spLocks noChangeArrowheads="1" noTextEdit="1"/>
        </xdr:cNvSpPr>
      </xdr:nvSpPr>
      <xdr:spPr bwMode="auto">
        <a:xfrm>
          <a:off x="6623860" y="4868338"/>
          <a:ext cx="420206" cy="218499"/>
        </a:xfrm>
        <a:prstGeom prst="rect">
          <a:avLst/>
        </a:prstGeom>
        <a:noFill/>
        <a:ln w="9525">
          <a:noFill/>
          <a:miter lim="800000"/>
          <a:headEnd/>
          <a:tailEnd/>
        </a:ln>
      </xdr:spPr>
      <xdr:txBody>
        <a:bodyPr vertOverflow="clip" wrap="square" lIns="27432" tIns="22860" rIns="0" bIns="0" anchor="ctr" upright="1"/>
        <a:lstStyle/>
        <a:p>
          <a:pPr algn="ctr" rtl="0">
            <a:defRPr sz="1000"/>
          </a:pPr>
          <a:fld id="{B54DC493-A440-4D94-AB5A-78A72A6D12C9}" type="TxLink">
            <a:rPr lang="en-US" sz="1000" b="0" i="0" u="none" strike="noStrike" baseline="0">
              <a:solidFill>
                <a:srgbClr val="000000"/>
              </a:solidFill>
              <a:latin typeface="Arial"/>
              <a:cs typeface="Arial"/>
            </a:rPr>
            <a:pPr algn="ct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1336311</xdr:colOff>
      <xdr:row>21</xdr:row>
      <xdr:rowOff>5273</xdr:rowOff>
    </xdr:from>
    <xdr:to>
      <xdr:col>6</xdr:col>
      <xdr:colOff>340720</xdr:colOff>
      <xdr:row>22</xdr:row>
      <xdr:rowOff>92154</xdr:rowOff>
    </xdr:to>
    <xdr:sp macro="" textlink="">
      <xdr:nvSpPr>
        <xdr:cNvPr id="52" name="Text Box 249">
          <a:extLst>
            <a:ext uri="{FF2B5EF4-FFF2-40B4-BE49-F238E27FC236}">
              <a16:creationId xmlns:a16="http://schemas.microsoft.com/office/drawing/2014/main" id="{00000000-0008-0000-0100-000034000000}"/>
            </a:ext>
          </a:extLst>
        </xdr:cNvPr>
        <xdr:cNvSpPr txBox="1">
          <a:spLocks noChangeArrowheads="1"/>
        </xdr:cNvSpPr>
      </xdr:nvSpPr>
      <xdr:spPr bwMode="auto">
        <a:xfrm>
          <a:off x="6898911" y="3405698"/>
          <a:ext cx="376009" cy="24880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VCCX</a:t>
          </a:r>
        </a:p>
      </xdr:txBody>
    </xdr:sp>
    <xdr:clientData/>
  </xdr:twoCellAnchor>
  <xdr:twoCellAnchor editAs="absolute">
    <xdr:from>
      <xdr:col>5</xdr:col>
      <xdr:colOff>1353417</xdr:colOff>
      <xdr:row>22</xdr:row>
      <xdr:rowOff>50849</xdr:rowOff>
    </xdr:from>
    <xdr:to>
      <xdr:col>6</xdr:col>
      <xdr:colOff>432410</xdr:colOff>
      <xdr:row>23</xdr:row>
      <xdr:rowOff>125953</xdr:rowOff>
    </xdr:to>
    <xdr:sp macro="" textlink="">
      <xdr:nvSpPr>
        <xdr:cNvPr id="53" name="Text Box 279">
          <a:extLst>
            <a:ext uri="{FF2B5EF4-FFF2-40B4-BE49-F238E27FC236}">
              <a16:creationId xmlns:a16="http://schemas.microsoft.com/office/drawing/2014/main" id="{00000000-0008-0000-0100-000035000000}"/>
            </a:ext>
          </a:extLst>
        </xdr:cNvPr>
        <xdr:cNvSpPr txBox="1">
          <a:spLocks noChangeArrowheads="1"/>
        </xdr:cNvSpPr>
      </xdr:nvSpPr>
      <xdr:spPr bwMode="auto">
        <a:xfrm>
          <a:off x="6916017" y="3613199"/>
          <a:ext cx="450593" cy="2370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2.2</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editAs="absolute">
    <xdr:from>
      <xdr:col>5</xdr:col>
      <xdr:colOff>232907</xdr:colOff>
      <xdr:row>30</xdr:row>
      <xdr:rowOff>62142</xdr:rowOff>
    </xdr:from>
    <xdr:to>
      <xdr:col>5</xdr:col>
      <xdr:colOff>720824</xdr:colOff>
      <xdr:row>31</xdr:row>
      <xdr:rowOff>85347</xdr:rowOff>
    </xdr:to>
    <xdr:sp macro="" textlink="'Variable Management'!B362">
      <xdr:nvSpPr>
        <xdr:cNvPr id="54" name="Text Box 266">
          <a:extLst>
            <a:ext uri="{FF2B5EF4-FFF2-40B4-BE49-F238E27FC236}">
              <a16:creationId xmlns:a16="http://schemas.microsoft.com/office/drawing/2014/main" id="{00000000-0008-0000-0100-000036000000}"/>
            </a:ext>
          </a:extLst>
        </xdr:cNvPr>
        <xdr:cNvSpPr txBox="1">
          <a:spLocks noChangeArrowheads="1" noTextEdit="1"/>
        </xdr:cNvSpPr>
      </xdr:nvSpPr>
      <xdr:spPr bwMode="auto">
        <a:xfrm>
          <a:off x="5795507" y="4919892"/>
          <a:ext cx="487917" cy="185130"/>
        </a:xfrm>
        <a:prstGeom prst="rect">
          <a:avLst/>
        </a:prstGeom>
        <a:noFill/>
        <a:ln w="9525">
          <a:noFill/>
          <a:miter lim="800000"/>
          <a:headEnd/>
          <a:tailEnd/>
        </a:ln>
      </xdr:spPr>
      <xdr:txBody>
        <a:bodyPr vertOverflow="clip" wrap="square" lIns="27432" tIns="22860" rIns="0" bIns="0" anchor="t" upright="1"/>
        <a:lstStyle/>
        <a:p>
          <a:pPr algn="l" rtl="0">
            <a:defRPr sz="1000"/>
          </a:pPr>
          <a:fld id="{F0D4FEFA-1BCB-42BA-B0A4-AAEA1128161F}" type="TxLink">
            <a:rPr lang="en-US" sz="1000" b="0" i="0" u="none" strike="noStrike" baseline="0">
              <a:solidFill>
                <a:srgbClr val="000000"/>
              </a:solidFill>
              <a:latin typeface="Arialri"/>
              <a:cs typeface="Arial" pitchFamily="34" charset="0"/>
            </a:rPr>
            <a:pPr algn="l" rtl="0">
              <a:defRPr sz="1000"/>
            </a:pPr>
            <a:t>10nF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254916</xdr:colOff>
      <xdr:row>28</xdr:row>
      <xdr:rowOff>156904</xdr:rowOff>
    </xdr:from>
    <xdr:to>
      <xdr:col>5</xdr:col>
      <xdr:colOff>636692</xdr:colOff>
      <xdr:row>30</xdr:row>
      <xdr:rowOff>84367</xdr:rowOff>
    </xdr:to>
    <xdr:sp macro="" textlink="">
      <xdr:nvSpPr>
        <xdr:cNvPr id="55" name="Text Box 233">
          <a:extLst>
            <a:ext uri="{FF2B5EF4-FFF2-40B4-BE49-F238E27FC236}">
              <a16:creationId xmlns:a16="http://schemas.microsoft.com/office/drawing/2014/main" id="{00000000-0008-0000-0100-000037000000}"/>
            </a:ext>
          </a:extLst>
        </xdr:cNvPr>
        <xdr:cNvSpPr txBox="1">
          <a:spLocks noChangeArrowheads="1"/>
        </xdr:cNvSpPr>
      </xdr:nvSpPr>
      <xdr:spPr bwMode="auto">
        <a:xfrm>
          <a:off x="5817516" y="4690804"/>
          <a:ext cx="381776" cy="251313"/>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D</a:t>
          </a:r>
        </a:p>
      </xdr:txBody>
    </xdr:sp>
    <xdr:clientData/>
  </xdr:twoCellAnchor>
  <xdr:twoCellAnchor editAs="absolute">
    <xdr:from>
      <xdr:col>3</xdr:col>
      <xdr:colOff>848696</xdr:colOff>
      <xdr:row>31</xdr:row>
      <xdr:rowOff>59142</xdr:rowOff>
    </xdr:from>
    <xdr:to>
      <xdr:col>3</xdr:col>
      <xdr:colOff>1286339</xdr:colOff>
      <xdr:row>32</xdr:row>
      <xdr:rowOff>135824</xdr:rowOff>
    </xdr:to>
    <xdr:sp macro="" textlink="'Variable Management'!C381">
      <xdr:nvSpPr>
        <xdr:cNvPr id="56" name="Text Box 281">
          <a:extLst>
            <a:ext uri="{FF2B5EF4-FFF2-40B4-BE49-F238E27FC236}">
              <a16:creationId xmlns:a16="http://schemas.microsoft.com/office/drawing/2014/main" id="{00000000-0008-0000-0100-000038000000}"/>
            </a:ext>
          </a:extLst>
        </xdr:cNvPr>
        <xdr:cNvSpPr txBox="1">
          <a:spLocks noChangeArrowheads="1" noTextEdit="1"/>
        </xdr:cNvSpPr>
      </xdr:nvSpPr>
      <xdr:spPr bwMode="auto">
        <a:xfrm>
          <a:off x="3915746" y="5078817"/>
          <a:ext cx="437643" cy="238607"/>
        </a:xfrm>
        <a:prstGeom prst="rect">
          <a:avLst/>
        </a:prstGeom>
        <a:noFill/>
        <a:ln w="9525">
          <a:noFill/>
          <a:miter lim="800000"/>
          <a:headEnd/>
          <a:tailEnd/>
        </a:ln>
      </xdr:spPr>
      <xdr:txBody>
        <a:bodyPr vertOverflow="clip" wrap="square" lIns="27432" tIns="22860" rIns="0" bIns="0" anchor="t" upright="1"/>
        <a:lstStyle/>
        <a:p>
          <a:pPr algn="ctr" rtl="0">
            <a:defRPr sz="1000"/>
          </a:pPr>
          <a:fld id="{93649659-1DBC-410C-945D-E7A8A6F21F96}" type="TxLink">
            <a:rPr lang="en-US" sz="1000" b="0" i="0" u="none" strike="noStrike">
              <a:solidFill>
                <a:srgbClr val="000000"/>
              </a:solidFill>
              <a:latin typeface="Arial"/>
              <a:cs typeface="Arial"/>
            </a:rPr>
            <a:pPr algn="ctr" rtl="0">
              <a:defRPr sz="1000"/>
            </a:pPr>
            <a:t> </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3</xdr:col>
      <xdr:colOff>1264865</xdr:colOff>
      <xdr:row>31</xdr:row>
      <xdr:rowOff>82588</xdr:rowOff>
    </xdr:from>
    <xdr:to>
      <xdr:col>4</xdr:col>
      <xdr:colOff>359483</xdr:colOff>
      <xdr:row>32</xdr:row>
      <xdr:rowOff>154875</xdr:rowOff>
    </xdr:to>
    <xdr:sp macro="" textlink="'Variable Management'!C382">
      <xdr:nvSpPr>
        <xdr:cNvPr id="57" name="Text Box 281">
          <a:extLst>
            <a:ext uri="{FF2B5EF4-FFF2-40B4-BE49-F238E27FC236}">
              <a16:creationId xmlns:a16="http://schemas.microsoft.com/office/drawing/2014/main" id="{00000000-0008-0000-0100-000039000000}"/>
            </a:ext>
          </a:extLst>
        </xdr:cNvPr>
        <xdr:cNvSpPr txBox="1">
          <a:spLocks noChangeArrowheads="1" noTextEdit="1"/>
        </xdr:cNvSpPr>
      </xdr:nvSpPr>
      <xdr:spPr bwMode="auto">
        <a:xfrm>
          <a:off x="4331915" y="5102263"/>
          <a:ext cx="437643" cy="234212"/>
        </a:xfrm>
        <a:prstGeom prst="rect">
          <a:avLst/>
        </a:prstGeom>
        <a:noFill/>
        <a:ln w="9525">
          <a:noFill/>
          <a:miter lim="800000"/>
          <a:headEnd/>
          <a:tailEnd/>
        </a:ln>
      </xdr:spPr>
      <xdr:txBody>
        <a:bodyPr vertOverflow="clip" wrap="square" lIns="27432" tIns="22860" rIns="0" bIns="0" anchor="t" upright="1"/>
        <a:lstStyle/>
        <a:p>
          <a:pPr algn="ctr" rtl="0">
            <a:defRPr sz="1000"/>
          </a:pPr>
          <a:fld id="{05B54FCB-1143-412F-B29D-22C0191403DC}" type="TxLink">
            <a:rPr lang="en-US" sz="1000" b="0" i="0" u="none" strike="noStrike">
              <a:solidFill>
                <a:srgbClr val="000000"/>
              </a:solidFill>
              <a:latin typeface="Arial"/>
              <a:cs typeface="Arial"/>
            </a:rPr>
            <a:pPr algn="ctr" rtl="0">
              <a:defRPr sz="1000"/>
            </a:pPr>
            <a:t>Css</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5</xdr:col>
      <xdr:colOff>857342</xdr:colOff>
      <xdr:row>23</xdr:row>
      <xdr:rowOff>153688</xdr:rowOff>
    </xdr:from>
    <xdr:to>
      <xdr:col>5</xdr:col>
      <xdr:colOff>1318103</xdr:colOff>
      <xdr:row>25</xdr:row>
      <xdr:rowOff>66325</xdr:rowOff>
    </xdr:to>
    <xdr:sp macro="" textlink="'Variable Management'!C353">
      <xdr:nvSpPr>
        <xdr:cNvPr id="58" name="Text Box 263">
          <a:extLst>
            <a:ext uri="{FF2B5EF4-FFF2-40B4-BE49-F238E27FC236}">
              <a16:creationId xmlns:a16="http://schemas.microsoft.com/office/drawing/2014/main" id="{00000000-0008-0000-0100-00003A000000}"/>
            </a:ext>
          </a:extLst>
        </xdr:cNvPr>
        <xdr:cNvSpPr txBox="1">
          <a:spLocks noChangeArrowheads="1" noTextEdit="1"/>
        </xdr:cNvSpPr>
      </xdr:nvSpPr>
      <xdr:spPr bwMode="auto">
        <a:xfrm>
          <a:off x="6419942" y="3877963"/>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4C6F915B-5FDE-431D-BA20-F74B990C95E0}"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1354107</xdr:colOff>
      <xdr:row>23</xdr:row>
      <xdr:rowOff>122915</xdr:rowOff>
    </xdr:from>
    <xdr:to>
      <xdr:col>6</xdr:col>
      <xdr:colOff>443268</xdr:colOff>
      <xdr:row>25</xdr:row>
      <xdr:rowOff>35552</xdr:rowOff>
    </xdr:to>
    <xdr:sp macro="" textlink="'Variable Management'!C354">
      <xdr:nvSpPr>
        <xdr:cNvPr id="59" name="Text Box 263">
          <a:extLst>
            <a:ext uri="{FF2B5EF4-FFF2-40B4-BE49-F238E27FC236}">
              <a16:creationId xmlns:a16="http://schemas.microsoft.com/office/drawing/2014/main" id="{00000000-0008-0000-0100-00003B000000}"/>
            </a:ext>
          </a:extLst>
        </xdr:cNvPr>
        <xdr:cNvSpPr txBox="1">
          <a:spLocks noChangeArrowheads="1" noTextEdit="1"/>
        </xdr:cNvSpPr>
      </xdr:nvSpPr>
      <xdr:spPr bwMode="auto">
        <a:xfrm>
          <a:off x="6916707" y="3847190"/>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169239A1-A17E-4F82-8427-F411D64B50BA}"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1147488</xdr:colOff>
      <xdr:row>28</xdr:row>
      <xdr:rowOff>136836</xdr:rowOff>
    </xdr:from>
    <xdr:to>
      <xdr:col>6</xdr:col>
      <xdr:colOff>236649</xdr:colOff>
      <xdr:row>30</xdr:row>
      <xdr:rowOff>49473</xdr:rowOff>
    </xdr:to>
    <xdr:sp macro="" textlink="'Variable Management'!C355">
      <xdr:nvSpPr>
        <xdr:cNvPr id="60" name="Text Box 263">
          <a:extLst>
            <a:ext uri="{FF2B5EF4-FFF2-40B4-BE49-F238E27FC236}">
              <a16:creationId xmlns:a16="http://schemas.microsoft.com/office/drawing/2014/main" id="{00000000-0008-0000-0100-00003C000000}"/>
            </a:ext>
          </a:extLst>
        </xdr:cNvPr>
        <xdr:cNvSpPr txBox="1">
          <a:spLocks noChangeArrowheads="1" noTextEdit="1"/>
        </xdr:cNvSpPr>
      </xdr:nvSpPr>
      <xdr:spPr bwMode="auto">
        <a:xfrm>
          <a:off x="6710088" y="4670736"/>
          <a:ext cx="460761" cy="236487"/>
        </a:xfrm>
        <a:prstGeom prst="rect">
          <a:avLst/>
        </a:prstGeom>
        <a:noFill/>
        <a:ln w="9525">
          <a:noFill/>
          <a:miter lim="800000"/>
          <a:headEnd/>
          <a:tailEnd/>
        </a:ln>
      </xdr:spPr>
      <xdr:txBody>
        <a:bodyPr vertOverflow="clip" wrap="square" lIns="27432" tIns="22860" rIns="0" bIns="0" anchor="ctr" upright="1"/>
        <a:lstStyle/>
        <a:p>
          <a:pPr algn="l" rtl="0">
            <a:defRPr sz="1000"/>
          </a:pPr>
          <a:fld id="{B132B3F4-179D-4706-9653-4E2B9688EBF6}" type="TxLink">
            <a:rPr lang="en-US" sz="1000" b="0" i="0" u="none" strike="noStrike" baseline="0">
              <a:solidFill>
                <a:srgbClr val="000000"/>
              </a:solidFill>
              <a:latin typeface="Arial"/>
              <a:cs typeface="Arial"/>
            </a:rPr>
            <a:pPr algn="l" rtl="0">
              <a:defRPr sz="1000"/>
            </a:pPr>
            <a:t> </a:t>
          </a:fld>
          <a:endParaRPr lang="el-GR" sz="800" b="0" i="0" u="none" strike="noStrike" baseline="0">
            <a:solidFill>
              <a:srgbClr val="000000"/>
            </a:solidFill>
            <a:latin typeface="Arial" pitchFamily="34" charset="0"/>
            <a:cs typeface="Arial" pitchFamily="34" charset="0"/>
          </a:endParaRPr>
        </a:p>
      </xdr:txBody>
    </xdr:sp>
    <xdr:clientData/>
  </xdr:twoCellAnchor>
  <xdr:twoCellAnchor>
    <xdr:from>
      <xdr:col>3</xdr:col>
      <xdr:colOff>1047750</xdr:colOff>
      <xdr:row>14</xdr:row>
      <xdr:rowOff>38100</xdr:rowOff>
    </xdr:from>
    <xdr:to>
      <xdr:col>4</xdr:col>
      <xdr:colOff>928321</xdr:colOff>
      <xdr:row>20</xdr:row>
      <xdr:rowOff>19050</xdr:rowOff>
    </xdr:to>
    <xdr:sp macro="" textlink="'Variable Management'!X25">
      <xdr:nvSpPr>
        <xdr:cNvPr id="61" name="Text Box 24">
          <a:extLst>
            <a:ext uri="{FF2B5EF4-FFF2-40B4-BE49-F238E27FC236}">
              <a16:creationId xmlns:a16="http://schemas.microsoft.com/office/drawing/2014/main" id="{00000000-0008-0000-0100-00003D000000}"/>
            </a:ext>
          </a:extLst>
        </xdr:cNvPr>
        <xdr:cNvSpPr txBox="1">
          <a:spLocks noChangeArrowheads="1" noTextEdit="1"/>
        </xdr:cNvSpPr>
      </xdr:nvSpPr>
      <xdr:spPr bwMode="auto">
        <a:xfrm>
          <a:off x="4114800" y="2305050"/>
          <a:ext cx="1223596" cy="952500"/>
        </a:xfrm>
        <a:prstGeom prst="rect">
          <a:avLst/>
        </a:prstGeom>
        <a:solidFill>
          <a:srgbClr val="D1FFFF"/>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C5C27CF7-D706-47E0-A45D-5E0BE790EDB6}" type="TxLink">
            <a:rPr lang="en-US" sz="1400" b="1" i="0" u="none" strike="noStrike" baseline="0">
              <a:solidFill>
                <a:srgbClr val="FF0000"/>
              </a:solidFill>
              <a:latin typeface="Arial"/>
              <a:cs typeface="Arial"/>
            </a:rPr>
            <a:pPr algn="ctr" rtl="0">
              <a:defRPr sz="1000"/>
            </a:pPr>
            <a:t>LM5143A-Q1</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257175</xdr:colOff>
      <xdr:row>6</xdr:row>
      <xdr:rowOff>114300</xdr:rowOff>
    </xdr:from>
    <xdr:to>
      <xdr:col>12</xdr:col>
      <xdr:colOff>369105</xdr:colOff>
      <xdr:row>43</xdr:row>
      <xdr:rowOff>66675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7175" y="1619250"/>
          <a:ext cx="7427130" cy="5943600"/>
        </a:xfrm>
        <a:prstGeom prst="rect">
          <a:avLst/>
        </a:prstGeom>
      </xdr:spPr>
    </xdr:pic>
    <xdr:clientData/>
  </xdr:twoCellAnchor>
  <xdr:twoCellAnchor editAs="oneCell">
    <xdr:from>
      <xdr:col>12</xdr:col>
      <xdr:colOff>542925</xdr:colOff>
      <xdr:row>6</xdr:row>
      <xdr:rowOff>114299</xdr:rowOff>
    </xdr:from>
    <xdr:to>
      <xdr:col>24</xdr:col>
      <xdr:colOff>17043</xdr:colOff>
      <xdr:row>43</xdr:row>
      <xdr:rowOff>66674</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8125" y="1619249"/>
          <a:ext cx="7408443" cy="594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352425</xdr:colOff>
      <xdr:row>23</xdr:row>
      <xdr:rowOff>104775</xdr:rowOff>
    </xdr:from>
    <xdr:to>
      <xdr:col>19</xdr:col>
      <xdr:colOff>561975</xdr:colOff>
      <xdr:row>54</xdr:row>
      <xdr:rowOff>152400</xdr:rowOff>
    </xdr:to>
    <xdr:grpSp>
      <xdr:nvGrpSpPr>
        <xdr:cNvPr id="2" name="Group 14">
          <a:extLst>
            <a:ext uri="{FF2B5EF4-FFF2-40B4-BE49-F238E27FC236}">
              <a16:creationId xmlns:a16="http://schemas.microsoft.com/office/drawing/2014/main" id="{00000000-0008-0000-0300-000002000000}"/>
            </a:ext>
          </a:extLst>
        </xdr:cNvPr>
        <xdr:cNvGrpSpPr>
          <a:grpSpLocks/>
        </xdr:cNvGrpSpPr>
      </xdr:nvGrpSpPr>
      <xdr:grpSpPr bwMode="auto">
        <a:xfrm>
          <a:off x="12461875" y="4073525"/>
          <a:ext cx="6432550" cy="5172075"/>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354">
        <xdr:nvSpPr>
          <xdr:cNvPr id="4" name="Text Box 5">
            <a:extLst>
              <a:ext uri="{FF2B5EF4-FFF2-40B4-BE49-F238E27FC236}">
                <a16:creationId xmlns:a16="http://schemas.microsoft.com/office/drawing/2014/main" id="{00000000-0008-0000-03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5.6nF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3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363">
        <xdr:nvSpPr>
          <xdr:cNvPr id="6" name="Text Box 9">
            <a:extLst>
              <a:ext uri="{FF2B5EF4-FFF2-40B4-BE49-F238E27FC236}">
                <a16:creationId xmlns:a16="http://schemas.microsoft.com/office/drawing/2014/main" id="{00000000-0008-0000-03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390kΩ</a:t>
            </a:fld>
            <a:endParaRPr lang="el-GR" sz="1000" b="1" i="0" u="none" strike="noStrike" baseline="0">
              <a:solidFill>
                <a:srgbClr val="000000"/>
              </a:solidFill>
              <a:latin typeface="Arial"/>
              <a:cs typeface="Arial"/>
            </a:endParaRPr>
          </a:p>
        </xdr:txBody>
      </xdr:sp>
      <xdr:sp macro="" textlink="$A$364">
        <xdr:nvSpPr>
          <xdr:cNvPr id="7" name="Text Box 10">
            <a:extLst>
              <a:ext uri="{FF2B5EF4-FFF2-40B4-BE49-F238E27FC236}">
                <a16:creationId xmlns:a16="http://schemas.microsoft.com/office/drawing/2014/main" id="{00000000-0008-0000-03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10kΩ</a:t>
            </a:fld>
            <a:endParaRPr lang="el-GR" sz="1000" b="1" i="0" u="none" strike="noStrike" baseline="0">
              <a:solidFill>
                <a:srgbClr val="000000"/>
              </a:solidFill>
              <a:latin typeface="Arial"/>
              <a:cs typeface="Arial"/>
            </a:endParaRPr>
          </a:p>
        </xdr:txBody>
      </xdr:sp>
      <xdr:sp macro="" textlink="$A$353">
        <xdr:nvSpPr>
          <xdr:cNvPr id="8" name="Text Box 4">
            <a:extLst>
              <a:ext uri="{FF2B5EF4-FFF2-40B4-BE49-F238E27FC236}">
                <a16:creationId xmlns:a16="http://schemas.microsoft.com/office/drawing/2014/main" id="{00000000-0008-0000-03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12kΩ</a:t>
            </a:fld>
            <a:endParaRPr lang="el-GR" sz="1000" b="1" i="0" u="none" strike="noStrike" baseline="0">
              <a:solidFill>
                <a:srgbClr val="000000"/>
              </a:solidFill>
              <a:latin typeface="Arial"/>
              <a:cs typeface="Arial"/>
            </a:endParaRPr>
          </a:p>
        </xdr:txBody>
      </xdr:sp>
      <xdr:sp macro="" textlink="$A$343">
        <xdr:nvSpPr>
          <xdr:cNvPr id="9" name="Text Box 9">
            <a:extLst>
              <a:ext uri="{FF2B5EF4-FFF2-40B4-BE49-F238E27FC236}">
                <a16:creationId xmlns:a16="http://schemas.microsoft.com/office/drawing/2014/main" id="{00000000-0008-0000-03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24V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357">
      <xdr:nvSpPr>
        <xdr:cNvPr id="10" name="Text Box 4">
          <a:extLst>
            <a:ext uri="{FF2B5EF4-FFF2-40B4-BE49-F238E27FC236}">
              <a16:creationId xmlns:a16="http://schemas.microsoft.com/office/drawing/2014/main" id="{00000000-0008-0000-03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358">
      <xdr:nvSpPr>
        <xdr:cNvPr id="11" name="Text Box 4">
          <a:extLst>
            <a:ext uri="{FF2B5EF4-FFF2-40B4-BE49-F238E27FC236}">
              <a16:creationId xmlns:a16="http://schemas.microsoft.com/office/drawing/2014/main" id="{00000000-0008-0000-03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359">
      <xdr:nvSpPr>
        <xdr:cNvPr id="12" name="Text Box 4">
          <a:extLst>
            <a:ext uri="{FF2B5EF4-FFF2-40B4-BE49-F238E27FC236}">
              <a16:creationId xmlns:a16="http://schemas.microsoft.com/office/drawing/2014/main" id="{00000000-0008-0000-03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30MHz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16</xdr:col>
      <xdr:colOff>381000</xdr:colOff>
      <xdr:row>3</xdr:row>
      <xdr:rowOff>1960</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55244</xdr:colOff>
      <xdr:row>14</xdr:row>
      <xdr:rowOff>163829</xdr:rowOff>
    </xdr:from>
    <xdr:to>
      <xdr:col>12</xdr:col>
      <xdr:colOff>443864</xdr:colOff>
      <xdr:row>43</xdr:row>
      <xdr:rowOff>106679</xdr:rowOff>
    </xdr:to>
    <xdr:graphicFrame macro="">
      <xdr:nvGraphicFramePr>
        <xdr:cNvPr id="2" name="Chart 102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942975</xdr:colOff>
      <xdr:row>14</xdr:row>
      <xdr:rowOff>142875</xdr:rowOff>
    </xdr:from>
    <xdr:to>
      <xdr:col>10</xdr:col>
      <xdr:colOff>304800</xdr:colOff>
      <xdr:row>40</xdr:row>
      <xdr:rowOff>66675</xdr:rowOff>
    </xdr:to>
    <xdr:graphicFrame macro="">
      <xdr:nvGraphicFramePr>
        <xdr:cNvPr id="2" name="Chart 102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6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6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9.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366">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30</xdr:col>
      <xdr:colOff>874395</xdr:colOff>
      <xdr:row>44</xdr:row>
      <xdr:rowOff>38100</xdr:rowOff>
    </xdr:from>
    <xdr:to>
      <xdr:col>41</xdr:col>
      <xdr:colOff>668655</xdr:colOff>
      <xdr:row>73</xdr:row>
      <xdr:rowOff>57150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880110</xdr:colOff>
      <xdr:row>13</xdr:row>
      <xdr:rowOff>78105</xdr:rowOff>
    </xdr:from>
    <xdr:to>
      <xdr:col>40</xdr:col>
      <xdr:colOff>579120</xdr:colOff>
      <xdr:row>42</xdr:row>
      <xdr:rowOff>106680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146685</xdr:colOff>
      <xdr:row>13</xdr:row>
      <xdr:rowOff>101992</xdr:rowOff>
    </xdr:from>
    <xdr:to>
      <xdr:col>29</xdr:col>
      <xdr:colOff>578972</xdr:colOff>
      <xdr:row>42</xdr:row>
      <xdr:rowOff>130567</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368">
      <xdr:nvSpPr>
        <xdr:cNvPr id="5" name="Text Box 24">
          <a:extLst>
            <a:ext uri="{FF2B5EF4-FFF2-40B4-BE49-F238E27FC236}">
              <a16:creationId xmlns:a16="http://schemas.microsoft.com/office/drawing/2014/main" id="{00000000-0008-0000-07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98.9%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369">
      <xdr:nvSpPr>
        <xdr:cNvPr id="6" name="Text Box 24">
          <a:extLst>
            <a:ext uri="{FF2B5EF4-FFF2-40B4-BE49-F238E27FC236}">
              <a16:creationId xmlns:a16="http://schemas.microsoft.com/office/drawing/2014/main" id="{00000000-0008-0000-07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99.2%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18</xdr:col>
      <xdr:colOff>586740</xdr:colOff>
      <xdr:row>44</xdr:row>
      <xdr:rowOff>7620</xdr:rowOff>
    </xdr:from>
    <xdr:to>
      <xdr:col>29</xdr:col>
      <xdr:colOff>575310</xdr:colOff>
      <xdr:row>72</xdr:row>
      <xdr:rowOff>112395</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29</xdr:col>
      <xdr:colOff>647700</xdr:colOff>
      <xdr:row>40</xdr:row>
      <xdr:rowOff>38100</xdr:rowOff>
    </xdr:from>
    <xdr:to>
      <xdr:col>40</xdr:col>
      <xdr:colOff>438150</xdr:colOff>
      <xdr:row>69</xdr:row>
      <xdr:rowOff>57150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619125</xdr:colOff>
      <xdr:row>10</xdr:row>
      <xdr:rowOff>19050</xdr:rowOff>
    </xdr:from>
    <xdr:to>
      <xdr:col>39</xdr:col>
      <xdr:colOff>466725</xdr:colOff>
      <xdr:row>39</xdr:row>
      <xdr:rowOff>47625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104775</xdr:colOff>
      <xdr:row>10</xdr:row>
      <xdr:rowOff>2932</xdr:rowOff>
    </xdr:from>
    <xdr:to>
      <xdr:col>29</xdr:col>
      <xdr:colOff>479912</xdr:colOff>
      <xdr:row>39</xdr:row>
      <xdr:rowOff>31507</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4</xdr:col>
      <xdr:colOff>174994</xdr:colOff>
      <xdr:row>4</xdr:row>
      <xdr:rowOff>1021934</xdr:rowOff>
    </xdr:from>
    <xdr:to>
      <xdr:col>4</xdr:col>
      <xdr:colOff>519382</xdr:colOff>
      <xdr:row>4</xdr:row>
      <xdr:rowOff>1280181</xdr:rowOff>
    </xdr:to>
    <xdr:sp macro="" textlink="">
      <xdr:nvSpPr>
        <xdr:cNvPr id="6" name="Text Box 225">
          <a:extLst>
            <a:ext uri="{FF2B5EF4-FFF2-40B4-BE49-F238E27FC236}">
              <a16:creationId xmlns:a16="http://schemas.microsoft.com/office/drawing/2014/main" id="{00000000-0008-0000-0A00-000006000000}"/>
            </a:ext>
          </a:extLst>
        </xdr:cNvPr>
        <xdr:cNvSpPr txBox="1">
          <a:spLocks noChangeArrowheads="1"/>
        </xdr:cNvSpPr>
      </xdr:nvSpPr>
      <xdr:spPr bwMode="auto">
        <a:xfrm>
          <a:off x="10727037" y="1684543"/>
          <a:ext cx="344388"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editAs="absolute">
    <xdr:from>
      <xdr:col>4</xdr:col>
      <xdr:colOff>138496</xdr:colOff>
      <xdr:row>4</xdr:row>
      <xdr:rowOff>1612609</xdr:rowOff>
    </xdr:from>
    <xdr:to>
      <xdr:col>4</xdr:col>
      <xdr:colOff>535387</xdr:colOff>
      <xdr:row>4</xdr:row>
      <xdr:rowOff>1813486</xdr:rowOff>
    </xdr:to>
    <xdr:sp macro="" textlink="">
      <xdr:nvSpPr>
        <xdr:cNvPr id="19" name="Text Box 255">
          <a:extLst>
            <a:ext uri="{FF2B5EF4-FFF2-40B4-BE49-F238E27FC236}">
              <a16:creationId xmlns:a16="http://schemas.microsoft.com/office/drawing/2014/main" id="{00000000-0008-0000-0A00-000013000000}"/>
            </a:ext>
          </a:extLst>
        </xdr:cNvPr>
        <xdr:cNvSpPr txBox="1">
          <a:spLocks noChangeArrowheads="1"/>
        </xdr:cNvSpPr>
      </xdr:nvSpPr>
      <xdr:spPr bwMode="auto">
        <a:xfrm>
          <a:off x="10690539" y="2275218"/>
          <a:ext cx="396891" cy="200877"/>
        </a:xfrm>
        <a:prstGeom prst="rect">
          <a:avLst/>
        </a:prstGeom>
        <a:noFill/>
        <a:ln w="9525">
          <a:noFill/>
          <a:miter lim="800000"/>
          <a:headEnd/>
          <a:tailEnd/>
        </a:ln>
      </xdr:spPr>
      <xdr:txBody>
        <a:bodyPr vertOverflow="clip" wrap="square" lIns="27432" tIns="27432" rIns="0" bIns="0" anchor="ctr"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editAs="absolute">
    <xdr:from>
      <xdr:col>4</xdr:col>
      <xdr:colOff>75295</xdr:colOff>
      <xdr:row>4</xdr:row>
      <xdr:rowOff>1815109</xdr:rowOff>
    </xdr:from>
    <xdr:to>
      <xdr:col>4</xdr:col>
      <xdr:colOff>593447</xdr:colOff>
      <xdr:row>4</xdr:row>
      <xdr:rowOff>1990573</xdr:rowOff>
    </xdr:to>
    <xdr:sp macro="" textlink="'Variable Management'!B364">
      <xdr:nvSpPr>
        <xdr:cNvPr id="26" name="Text Box 264">
          <a:extLst>
            <a:ext uri="{FF2B5EF4-FFF2-40B4-BE49-F238E27FC236}">
              <a16:creationId xmlns:a16="http://schemas.microsoft.com/office/drawing/2014/main" id="{00000000-0008-0000-0A00-00001A000000}"/>
            </a:ext>
          </a:extLst>
        </xdr:cNvPr>
        <xdr:cNvSpPr txBox="1">
          <a:spLocks noChangeArrowheads="1" noTextEdit="1"/>
        </xdr:cNvSpPr>
      </xdr:nvSpPr>
      <xdr:spPr bwMode="auto">
        <a:xfrm>
          <a:off x="10627338" y="2477718"/>
          <a:ext cx="518152" cy="175464"/>
        </a:xfrm>
        <a:prstGeom prst="rect">
          <a:avLst/>
        </a:prstGeom>
        <a:noFill/>
        <a:ln w="9525">
          <a:noFill/>
          <a:miter lim="800000"/>
          <a:headEnd/>
          <a:tailEnd/>
        </a:ln>
      </xdr:spPr>
      <xdr:txBody>
        <a:bodyPr vertOverflow="clip" wrap="square" lIns="27432" tIns="22860" rIns="0" bIns="0" anchor="ctr"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4</xdr:col>
      <xdr:colOff>183706</xdr:colOff>
      <xdr:row>4</xdr:row>
      <xdr:rowOff>1194204</xdr:rowOff>
    </xdr:from>
    <xdr:to>
      <xdr:col>5</xdr:col>
      <xdr:colOff>96224</xdr:colOff>
      <xdr:row>4</xdr:row>
      <xdr:rowOff>1487293</xdr:rowOff>
    </xdr:to>
    <xdr:sp macro="" textlink="'Variable Management'!B363">
      <xdr:nvSpPr>
        <xdr:cNvPr id="30" name="Text Box 268">
          <a:extLst>
            <a:ext uri="{FF2B5EF4-FFF2-40B4-BE49-F238E27FC236}">
              <a16:creationId xmlns:a16="http://schemas.microsoft.com/office/drawing/2014/main" id="{00000000-0008-0000-0A00-00001E000000}"/>
            </a:ext>
          </a:extLst>
        </xdr:cNvPr>
        <xdr:cNvSpPr txBox="1">
          <a:spLocks noChangeArrowheads="1" noTextEdit="1"/>
        </xdr:cNvSpPr>
      </xdr:nvSpPr>
      <xdr:spPr bwMode="auto">
        <a:xfrm>
          <a:off x="10735749" y="1856813"/>
          <a:ext cx="525432" cy="29308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390kΩ</a:t>
          </a:fld>
          <a:endParaRPr lang="el-GR" sz="1000" b="0" i="0" strike="noStrike">
            <a:solidFill>
              <a:srgbClr val="000000"/>
            </a:solidFill>
            <a:latin typeface="Arial" pitchFamily="34" charset="0"/>
            <a:cs typeface="Arial" pitchFamily="34" charset="0"/>
          </a:endParaRPr>
        </a:p>
      </xdr:txBody>
    </xdr:sp>
    <xdr:clientData/>
  </xdr:twoCellAnchor>
  <xdr:twoCellAnchor editAs="oneCell">
    <xdr:from>
      <xdr:col>0</xdr:col>
      <xdr:colOff>704849</xdr:colOff>
      <xdr:row>7</xdr:row>
      <xdr:rowOff>3810</xdr:rowOff>
    </xdr:from>
    <xdr:to>
      <xdr:col>2</xdr:col>
      <xdr:colOff>8381</xdr:colOff>
      <xdr:row>8</xdr:row>
      <xdr:rowOff>62623</xdr:rowOff>
    </xdr:to>
    <xdr:pic>
      <xdr:nvPicPr>
        <xdr:cNvPr id="248" name="Picture 247">
          <a:extLst>
            <a:ext uri="{FF2B5EF4-FFF2-40B4-BE49-F238E27FC236}">
              <a16:creationId xmlns:a16="http://schemas.microsoft.com/office/drawing/2014/main" id="{00000000-0008-0000-0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57950"/>
          <a:ext cx="8897112" cy="52556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2</xdr:col>
      <xdr:colOff>20954</xdr:colOff>
      <xdr:row>5</xdr:row>
      <xdr:rowOff>70049</xdr:rowOff>
    </xdr:to>
    <xdr:pic>
      <xdr:nvPicPr>
        <xdr:cNvPr id="249" name="Picture 248">
          <a:extLst>
            <a:ext uri="{FF2B5EF4-FFF2-40B4-BE49-F238E27FC236}">
              <a16:creationId xmlns:a16="http://schemas.microsoft.com/office/drawing/2014/main" id="{00000000-0008-0000-0A00-0000F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8</xdr:row>
      <xdr:rowOff>161924</xdr:rowOff>
    </xdr:from>
    <xdr:to>
      <xdr:col>2</xdr:col>
      <xdr:colOff>20954</xdr:colOff>
      <xdr:row>10</xdr:row>
      <xdr:rowOff>70049</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49" y="11801474"/>
          <a:ext cx="8641080" cy="5270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rinterSettings" Target="../printerSettings/printerSettings1.bin"/><Relationship Id="rId21" Type="http://schemas.openxmlformats.org/officeDocument/2006/relationships/comments" Target="../comments1.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20" Type="http://schemas.openxmlformats.org/officeDocument/2006/relationships/ctrlProp" Target="../ctrlProps/ctrlProp14.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ti.com/nexfet" TargetMode="Externa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I457"/>
  <sheetViews>
    <sheetView tabSelected="1" topLeftCell="A79" zoomScaleNormal="100" zoomScaleSheetLayoutView="100" workbookViewId="0">
      <selection activeCell="E95" sqref="E95"/>
    </sheetView>
  </sheetViews>
  <sheetFormatPr defaultColWidth="9.08984375" defaultRowHeight="13" x14ac:dyDescent="0.3"/>
  <cols>
    <col min="1" max="1" width="8.36328125" style="189" customWidth="1"/>
    <col min="2" max="2" width="8.36328125" style="79" customWidth="1"/>
    <col min="3" max="3" width="13.54296875" style="79" customWidth="1"/>
    <col min="4" max="4" width="8.36328125" style="79" customWidth="1"/>
    <col min="5" max="5" width="6.90625" style="79" customWidth="1"/>
    <col min="6" max="6" width="7.54296875" style="79" customWidth="1"/>
    <col min="7" max="7" width="12.54296875" style="79" customWidth="1"/>
    <col min="8" max="8" width="11.90625" style="79" customWidth="1"/>
    <col min="9" max="9" width="9.08984375" style="79" customWidth="1"/>
    <col min="10" max="10" width="6.90625" style="79" customWidth="1"/>
    <col min="11" max="11" width="7.54296875" style="79" customWidth="1"/>
    <col min="12" max="12" width="12.453125" style="79" bestFit="1" customWidth="1"/>
    <col min="13" max="15" width="9.08984375" style="79"/>
    <col min="16" max="16" width="10.08984375" style="79" customWidth="1"/>
    <col min="17" max="17" width="89" style="79" customWidth="1"/>
    <col min="18" max="18" width="3.08984375" style="79" customWidth="1"/>
    <col min="19" max="19" width="10" style="79" bestFit="1" customWidth="1"/>
    <col min="20" max="16384" width="9.08984375" style="79"/>
  </cols>
  <sheetData>
    <row r="1" spans="1:18" ht="47.25" customHeight="1" x14ac:dyDescent="0.3">
      <c r="A1" s="669" t="s">
        <v>850</v>
      </c>
      <c r="B1" s="670"/>
      <c r="C1" s="670"/>
      <c r="D1" s="670"/>
      <c r="E1" s="670"/>
      <c r="F1" s="670"/>
      <c r="G1" s="670"/>
      <c r="H1" s="670"/>
      <c r="I1" s="670"/>
      <c r="J1" s="670"/>
      <c r="K1" s="670"/>
      <c r="L1" s="670"/>
      <c r="M1" s="670"/>
      <c r="N1" s="670"/>
      <c r="O1" s="670"/>
      <c r="P1" s="670"/>
      <c r="Q1" s="670"/>
      <c r="R1" s="500"/>
    </row>
    <row r="2" spans="1:18" ht="14.15" customHeight="1" x14ac:dyDescent="0.65">
      <c r="A2" s="503"/>
      <c r="B2" s="504"/>
      <c r="C2" s="504"/>
      <c r="D2" s="504"/>
      <c r="E2" s="504"/>
      <c r="F2" s="504"/>
      <c r="G2" s="504"/>
      <c r="H2" s="504"/>
      <c r="I2" s="504"/>
      <c r="J2" s="504"/>
      <c r="K2" s="504"/>
      <c r="L2" s="504"/>
      <c r="M2" s="504"/>
      <c r="N2" s="504"/>
      <c r="O2" s="518" t="s">
        <v>614</v>
      </c>
      <c r="P2" s="504"/>
      <c r="Q2" s="504"/>
      <c r="R2" s="500"/>
    </row>
    <row r="3" spans="1:18" ht="15.9" customHeight="1" x14ac:dyDescent="0.65">
      <c r="A3" s="505" t="s">
        <v>237</v>
      </c>
      <c r="B3" s="506"/>
      <c r="C3" s="517" t="s">
        <v>238</v>
      </c>
      <c r="D3" s="507"/>
      <c r="E3" s="120"/>
      <c r="F3" s="511" t="s">
        <v>146</v>
      </c>
      <c r="G3" s="512"/>
      <c r="H3" s="504"/>
      <c r="I3" s="504"/>
      <c r="J3" s="512"/>
      <c r="K3" s="513"/>
      <c r="L3" s="514"/>
      <c r="M3" s="500"/>
      <c r="N3" s="500"/>
      <c r="O3" s="668" t="s">
        <v>51</v>
      </c>
      <c r="P3" s="668"/>
      <c r="Q3" s="500" t="s">
        <v>168</v>
      </c>
      <c r="R3" s="500"/>
    </row>
    <row r="4" spans="1:18" ht="13.5" customHeight="1" thickBot="1" x14ac:dyDescent="0.5">
      <c r="A4" s="508"/>
      <c r="B4" s="509"/>
      <c r="C4" s="510"/>
      <c r="D4" s="510"/>
      <c r="E4" s="510"/>
      <c r="F4" s="510"/>
      <c r="G4" s="510"/>
      <c r="H4" s="510"/>
      <c r="I4" s="510"/>
      <c r="J4" s="510"/>
      <c r="K4" s="510"/>
      <c r="L4" s="510"/>
      <c r="M4" s="515"/>
      <c r="N4" s="515"/>
      <c r="O4" s="515"/>
      <c r="P4" s="515"/>
      <c r="Q4" s="516"/>
      <c r="R4" s="500"/>
    </row>
    <row r="5" spans="1:18" ht="20.149999999999999" customHeight="1" thickBot="1" x14ac:dyDescent="0.5">
      <c r="A5" s="184" t="s">
        <v>225</v>
      </c>
      <c r="B5" s="119"/>
      <c r="C5" s="80"/>
      <c r="D5" s="80"/>
      <c r="E5" s="82"/>
      <c r="F5" s="80"/>
      <c r="G5" s="108"/>
      <c r="H5" s="83"/>
      <c r="I5" s="83"/>
      <c r="J5" s="83"/>
      <c r="K5" s="83"/>
      <c r="L5" s="83"/>
      <c r="M5" s="83"/>
      <c r="N5" s="83"/>
      <c r="O5" s="83"/>
      <c r="P5" s="83"/>
      <c r="Q5" s="107"/>
      <c r="R5" s="500"/>
    </row>
    <row r="6" spans="1:18" ht="15.75" customHeight="1" x14ac:dyDescent="0.3">
      <c r="A6" s="267"/>
      <c r="B6" s="268"/>
      <c r="C6" s="561"/>
      <c r="D6" s="561"/>
      <c r="E6" s="561"/>
      <c r="F6" s="562"/>
      <c r="G6" s="130"/>
      <c r="H6" s="128"/>
      <c r="I6" s="83"/>
      <c r="J6" s="83"/>
      <c r="K6" s="83"/>
      <c r="L6" s="83"/>
      <c r="M6" s="83"/>
      <c r="N6" s="83"/>
      <c r="O6" s="83"/>
      <c r="P6" s="83"/>
      <c r="Q6" s="107"/>
      <c r="R6" s="500"/>
    </row>
    <row r="7" spans="1:18" ht="13.5" customHeight="1" x14ac:dyDescent="0.3">
      <c r="A7" s="258"/>
      <c r="B7" s="257"/>
      <c r="C7" s="259"/>
      <c r="D7" s="271" t="s">
        <v>791</v>
      </c>
      <c r="E7" s="272">
        <v>36</v>
      </c>
      <c r="F7" s="273" t="s">
        <v>0</v>
      </c>
      <c r="G7" s="130"/>
      <c r="H7" s="128"/>
      <c r="I7" s="83"/>
      <c r="J7" s="83"/>
      <c r="K7" s="83"/>
      <c r="L7" s="83"/>
      <c r="M7" s="83"/>
      <c r="N7" s="83"/>
      <c r="O7" s="83"/>
      <c r="P7" s="83"/>
      <c r="Q7" s="107"/>
      <c r="R7" s="500"/>
    </row>
    <row r="8" spans="1:18" ht="13.5" customHeight="1" x14ac:dyDescent="0.3">
      <c r="A8" s="258"/>
      <c r="B8" s="257"/>
      <c r="C8" s="259"/>
      <c r="D8" s="271" t="s">
        <v>792</v>
      </c>
      <c r="E8" s="272">
        <v>45</v>
      </c>
      <c r="F8" s="287" t="s">
        <v>0</v>
      </c>
      <c r="G8" s="130"/>
      <c r="H8" s="128"/>
      <c r="I8" s="83"/>
      <c r="J8" s="83"/>
      <c r="K8" s="83"/>
      <c r="L8" s="83"/>
      <c r="M8" s="83"/>
      <c r="N8" s="83"/>
      <c r="O8" s="83"/>
      <c r="P8" s="83"/>
      <c r="Q8" s="107"/>
      <c r="R8" s="500"/>
    </row>
    <row r="9" spans="1:18" ht="13.5" customHeight="1" thickBot="1" x14ac:dyDescent="0.35">
      <c r="A9" s="258"/>
      <c r="B9" s="257"/>
      <c r="C9" s="259"/>
      <c r="D9" s="271" t="s">
        <v>793</v>
      </c>
      <c r="E9" s="272">
        <v>51</v>
      </c>
      <c r="F9" s="273" t="s">
        <v>0</v>
      </c>
      <c r="G9" s="130"/>
      <c r="H9" s="128"/>
      <c r="I9" s="83"/>
      <c r="J9" s="83"/>
      <c r="K9" s="83"/>
      <c r="L9" s="83"/>
      <c r="M9" s="83"/>
      <c r="N9" s="83"/>
      <c r="O9" s="83"/>
      <c r="P9" s="83"/>
      <c r="Q9" s="107"/>
      <c r="R9" s="500"/>
    </row>
    <row r="10" spans="1:18" ht="13.5" customHeight="1" x14ac:dyDescent="0.3">
      <c r="A10" s="258"/>
      <c r="B10" s="257"/>
      <c r="C10" s="259"/>
      <c r="D10" s="271" t="s">
        <v>803</v>
      </c>
      <c r="E10" s="272">
        <v>24</v>
      </c>
      <c r="F10" s="273" t="s">
        <v>0</v>
      </c>
      <c r="G10" s="566"/>
      <c r="H10" s="561"/>
      <c r="I10" s="567" t="s">
        <v>637</v>
      </c>
      <c r="J10" s="568">
        <v>5</v>
      </c>
      <c r="K10" s="569" t="s">
        <v>0</v>
      </c>
      <c r="L10" s="83"/>
      <c r="M10" s="83"/>
      <c r="N10" s="83"/>
      <c r="O10" s="83"/>
      <c r="P10" s="83"/>
      <c r="Q10" s="107"/>
      <c r="R10" s="500"/>
    </row>
    <row r="11" spans="1:18" ht="15.75" customHeight="1" thickBot="1" x14ac:dyDescent="0.35">
      <c r="A11" s="258"/>
      <c r="B11" s="257"/>
      <c r="C11" s="259"/>
      <c r="D11" s="271" t="s">
        <v>804</v>
      </c>
      <c r="E11" s="272">
        <v>60</v>
      </c>
      <c r="F11" s="273" t="s">
        <v>1</v>
      </c>
      <c r="G11" s="564"/>
      <c r="H11" s="570"/>
      <c r="I11" s="571" t="s">
        <v>638</v>
      </c>
      <c r="J11" s="572">
        <v>12</v>
      </c>
      <c r="K11" s="573" t="s">
        <v>1</v>
      </c>
      <c r="L11" s="83"/>
      <c r="M11" s="83"/>
      <c r="N11" s="83"/>
      <c r="O11" s="83"/>
      <c r="P11" s="83"/>
      <c r="Q11" s="107"/>
      <c r="R11" s="500"/>
    </row>
    <row r="12" spans="1:18" ht="13.5" customHeight="1" x14ac:dyDescent="0.3">
      <c r="A12" s="258"/>
      <c r="B12" s="257"/>
      <c r="C12" s="259"/>
      <c r="D12" s="271" t="s">
        <v>794</v>
      </c>
      <c r="E12" s="274">
        <v>220</v>
      </c>
      <c r="F12" s="273" t="s">
        <v>2</v>
      </c>
      <c r="G12" s="130"/>
      <c r="H12" s="128"/>
      <c r="I12" s="83"/>
      <c r="J12" s="83"/>
      <c r="K12" s="83"/>
      <c r="L12" s="83"/>
      <c r="M12" s="83"/>
      <c r="N12" s="83"/>
      <c r="O12" s="83"/>
      <c r="P12" s="83"/>
      <c r="Q12" s="107"/>
      <c r="R12" s="500"/>
    </row>
    <row r="13" spans="1:18" ht="13.5" customHeight="1" x14ac:dyDescent="0.3">
      <c r="A13" s="609"/>
      <c r="B13" s="257"/>
      <c r="C13" s="259"/>
      <c r="D13" s="259" t="s">
        <v>281</v>
      </c>
      <c r="E13" s="259">
        <f>IF('Standard Value Calculator'!O4/1000&gt;288, "N/A",'Standard Value Calculator'!O4/1000)</f>
        <v>100</v>
      </c>
      <c r="F13" s="261" t="s">
        <v>50</v>
      </c>
      <c r="G13" s="130"/>
      <c r="H13" s="128"/>
      <c r="I13" s="83"/>
      <c r="J13" s="83"/>
      <c r="K13" s="83"/>
      <c r="L13" s="83"/>
      <c r="M13" s="83"/>
      <c r="N13" s="83"/>
      <c r="O13" s="83"/>
      <c r="P13" s="83"/>
      <c r="Q13" s="107"/>
      <c r="R13" s="500"/>
    </row>
    <row r="14" spans="1:18" ht="17.25" customHeight="1" thickBot="1" x14ac:dyDescent="0.35">
      <c r="A14" s="263"/>
      <c r="B14" s="264"/>
      <c r="C14" s="265"/>
      <c r="D14" s="611" t="s">
        <v>790</v>
      </c>
      <c r="E14" s="646">
        <v>25</v>
      </c>
      <c r="F14" s="610" t="s">
        <v>226</v>
      </c>
      <c r="G14" s="130"/>
      <c r="H14" s="128"/>
      <c r="I14" s="83"/>
      <c r="J14" s="83"/>
      <c r="K14" s="83"/>
      <c r="L14" s="83"/>
      <c r="M14" s="83"/>
      <c r="N14" s="83"/>
      <c r="O14" s="83"/>
      <c r="P14" s="83"/>
      <c r="Q14" s="107"/>
      <c r="R14" s="500"/>
    </row>
    <row r="15" spans="1:18" ht="17.25" customHeight="1" x14ac:dyDescent="0.3">
      <c r="A15" s="609"/>
      <c r="B15" s="257"/>
      <c r="C15" s="259"/>
      <c r="D15" s="647"/>
      <c r="E15" s="650"/>
      <c r="F15" s="649"/>
      <c r="G15" s="130"/>
      <c r="H15" s="128"/>
      <c r="I15" s="83"/>
      <c r="J15" s="83"/>
      <c r="K15" s="83"/>
      <c r="L15" s="83"/>
      <c r="M15" s="83"/>
      <c r="N15" s="83"/>
      <c r="O15" s="83"/>
      <c r="P15" s="83"/>
      <c r="Q15" s="107"/>
      <c r="R15" s="500"/>
    </row>
    <row r="16" spans="1:18" ht="20.149999999999999" customHeight="1" thickBot="1" x14ac:dyDescent="0.4">
      <c r="A16" s="184" t="s">
        <v>818</v>
      </c>
      <c r="B16" s="132"/>
      <c r="C16" s="128"/>
      <c r="D16" s="128"/>
      <c r="E16" s="128"/>
      <c r="F16" s="128"/>
      <c r="G16" s="130"/>
      <c r="H16" s="128"/>
      <c r="I16" s="83"/>
      <c r="J16" s="83"/>
      <c r="K16" s="83"/>
      <c r="L16" s="83"/>
      <c r="M16" s="83"/>
      <c r="N16" s="83"/>
      <c r="O16" s="83"/>
      <c r="P16" s="83"/>
      <c r="Q16" s="107"/>
      <c r="R16" s="500"/>
    </row>
    <row r="17" spans="1:18" ht="15" customHeight="1" x14ac:dyDescent="0.4">
      <c r="A17" s="267"/>
      <c r="B17" s="154"/>
      <c r="C17" s="154"/>
      <c r="D17" s="156" t="s">
        <v>653</v>
      </c>
      <c r="E17" s="302">
        <v>60</v>
      </c>
      <c r="F17" s="157" t="s">
        <v>1</v>
      </c>
      <c r="G17" s="566"/>
      <c r="H17" s="175"/>
      <c r="I17" s="156" t="s">
        <v>653</v>
      </c>
      <c r="J17" s="302">
        <v>16</v>
      </c>
      <c r="K17" s="157" t="s">
        <v>1</v>
      </c>
      <c r="L17" s="83"/>
      <c r="M17" s="83"/>
      <c r="N17" s="83"/>
      <c r="O17" s="83"/>
      <c r="P17" s="83"/>
      <c r="Q17" s="107"/>
      <c r="R17" s="500"/>
    </row>
    <row r="18" spans="1:18" ht="15" customHeight="1" x14ac:dyDescent="0.3">
      <c r="A18" s="258"/>
      <c r="B18" s="128"/>
      <c r="C18" s="128"/>
      <c r="D18" s="125" t="s">
        <v>308</v>
      </c>
      <c r="E18" s="304">
        <f>Rs_ideal*1000</f>
        <v>2.2424855228056479</v>
      </c>
      <c r="F18" s="163" t="s">
        <v>49</v>
      </c>
      <c r="G18" s="130"/>
      <c r="H18" s="128"/>
      <c r="I18" s="125" t="s">
        <v>308</v>
      </c>
      <c r="J18" s="304">
        <f>Rs2_ideal*1000</f>
        <v>3.5290345985516227</v>
      </c>
      <c r="K18" s="163" t="s">
        <v>49</v>
      </c>
      <c r="L18" s="83"/>
      <c r="M18" s="83"/>
      <c r="N18" s="83"/>
      <c r="O18" s="83"/>
      <c r="P18" s="83"/>
      <c r="Q18" s="107"/>
      <c r="R18" s="500"/>
    </row>
    <row r="19" spans="1:18" ht="13.65" customHeight="1" x14ac:dyDescent="0.4">
      <c r="A19" s="258"/>
      <c r="B19" s="128"/>
      <c r="C19" s="128"/>
      <c r="D19" s="153" t="s">
        <v>307</v>
      </c>
      <c r="E19" s="129">
        <v>2.2000000000000002</v>
      </c>
      <c r="F19" s="158" t="s">
        <v>49</v>
      </c>
      <c r="G19" s="130"/>
      <c r="H19" s="128"/>
      <c r="I19" s="153" t="s">
        <v>676</v>
      </c>
      <c r="J19" s="129">
        <v>4</v>
      </c>
      <c r="K19" s="158" t="s">
        <v>49</v>
      </c>
      <c r="L19" s="83"/>
      <c r="M19" s="83"/>
      <c r="N19" s="83"/>
      <c r="O19" s="83"/>
      <c r="P19" s="83"/>
      <c r="Q19" s="107"/>
      <c r="R19" s="500"/>
    </row>
    <row r="20" spans="1:18" ht="13.5" customHeight="1" x14ac:dyDescent="0.4">
      <c r="A20" s="258"/>
      <c r="B20" s="128"/>
      <c r="C20" s="128"/>
      <c r="D20" s="529" t="s">
        <v>693</v>
      </c>
      <c r="E20" s="555">
        <f>'Variable Management'!B95</f>
        <v>33.18181818181818</v>
      </c>
      <c r="F20" s="163" t="s">
        <v>1</v>
      </c>
      <c r="G20" s="130"/>
      <c r="H20" s="128"/>
      <c r="I20" s="529" t="s">
        <v>673</v>
      </c>
      <c r="J20" s="555">
        <f>'Variable Management'!D95</f>
        <v>18.25</v>
      </c>
      <c r="K20" s="163" t="s">
        <v>1</v>
      </c>
      <c r="L20" s="83"/>
      <c r="M20" s="83"/>
      <c r="N20" s="83"/>
      <c r="O20" s="83"/>
      <c r="P20" s="83"/>
      <c r="Q20" s="107"/>
      <c r="R20" s="500"/>
    </row>
    <row r="21" spans="1:18" ht="13.65" customHeight="1" x14ac:dyDescent="0.4">
      <c r="A21" s="258"/>
      <c r="B21" s="128"/>
      <c r="C21" s="128"/>
      <c r="D21" s="529" t="s">
        <v>668</v>
      </c>
      <c r="E21" s="530">
        <f>'Variable Management'!B105</f>
        <v>2.1658602593646399</v>
      </c>
      <c r="F21" s="163" t="s">
        <v>116</v>
      </c>
      <c r="G21" s="130"/>
      <c r="H21" s="128"/>
      <c r="I21" s="529" t="s">
        <v>674</v>
      </c>
      <c r="J21" s="530">
        <f>'Variable Management'!D105</f>
        <v>0.77954230905737953</v>
      </c>
      <c r="K21" s="163" t="s">
        <v>116</v>
      </c>
      <c r="L21" s="83"/>
      <c r="M21" s="83"/>
      <c r="N21" s="83"/>
      <c r="O21" s="83"/>
      <c r="P21" s="83"/>
      <c r="Q21" s="107"/>
      <c r="R21" s="500"/>
    </row>
    <row r="22" spans="1:18" ht="13.65" customHeight="1" x14ac:dyDescent="0.4">
      <c r="A22" s="258"/>
      <c r="B22" s="128"/>
      <c r="C22" s="113"/>
      <c r="D22" s="303" t="s">
        <v>285</v>
      </c>
      <c r="E22" s="260">
        <f>'Variable Management'!B97</f>
        <v>62.717593502820584</v>
      </c>
      <c r="F22" s="261" t="s">
        <v>1</v>
      </c>
      <c r="G22" s="130"/>
      <c r="H22" s="128"/>
      <c r="I22" s="303" t="s">
        <v>285</v>
      </c>
      <c r="J22" s="260">
        <f>'Variable Management'!D97</f>
        <v>13.712088198288416</v>
      </c>
      <c r="K22" s="261" t="s">
        <v>1</v>
      </c>
      <c r="L22" s="83"/>
      <c r="M22" s="83"/>
      <c r="N22" s="83"/>
      <c r="O22" s="83"/>
      <c r="P22" s="83"/>
      <c r="Q22" s="107"/>
      <c r="R22" s="500"/>
    </row>
    <row r="23" spans="1:18" ht="13.65" customHeight="1" x14ac:dyDescent="0.4">
      <c r="A23" s="258"/>
      <c r="B23" s="128"/>
      <c r="C23" s="125" t="s">
        <v>517</v>
      </c>
      <c r="D23" s="303" t="s">
        <v>286</v>
      </c>
      <c r="E23" s="260">
        <f>'Variable Management'!B98</f>
        <v>61.257307464204011</v>
      </c>
      <c r="F23" s="261" t="s">
        <v>1</v>
      </c>
      <c r="G23" s="130"/>
      <c r="H23" s="125" t="s">
        <v>672</v>
      </c>
      <c r="I23" s="303" t="s">
        <v>286</v>
      </c>
      <c r="J23" s="260">
        <f>'Variable Management'!D98</f>
        <v>13.564456132008321</v>
      </c>
      <c r="K23" s="261" t="s">
        <v>1</v>
      </c>
      <c r="L23" s="83"/>
      <c r="M23" s="83"/>
      <c r="N23" s="83"/>
      <c r="O23" s="83"/>
      <c r="P23" s="83"/>
      <c r="Q23" s="107"/>
      <c r="R23" s="500"/>
    </row>
    <row r="24" spans="1:18" ht="13.5" customHeight="1" thickBot="1" x14ac:dyDescent="0.45">
      <c r="A24" s="282"/>
      <c r="B24" s="176"/>
      <c r="C24" s="176"/>
      <c r="D24" s="574" t="s">
        <v>287</v>
      </c>
      <c r="E24" s="575">
        <f>'Variable Management'!B99</f>
        <v>60.569743967699551</v>
      </c>
      <c r="F24" s="284" t="s">
        <v>1</v>
      </c>
      <c r="G24" s="564"/>
      <c r="H24" s="176"/>
      <c r="I24" s="574" t="s">
        <v>287</v>
      </c>
      <c r="J24" s="575">
        <f>'Variable Management'!D99</f>
        <v>13.4949549994107</v>
      </c>
      <c r="K24" s="284" t="s">
        <v>1</v>
      </c>
      <c r="L24" s="83"/>
      <c r="M24" s="83"/>
      <c r="N24" s="83"/>
      <c r="O24" s="83"/>
      <c r="P24" s="83"/>
      <c r="Q24" s="107"/>
      <c r="R24" s="500"/>
    </row>
    <row r="25" spans="1:18" ht="17.25" customHeight="1" x14ac:dyDescent="0.3">
      <c r="A25" s="609"/>
      <c r="B25" s="257"/>
      <c r="C25" s="259"/>
      <c r="D25" s="647"/>
      <c r="E25" s="650"/>
      <c r="F25" s="649"/>
      <c r="G25" s="130"/>
      <c r="H25" s="128"/>
      <c r="I25" s="83"/>
      <c r="J25" s="83"/>
      <c r="K25" s="83"/>
      <c r="L25" s="83"/>
      <c r="M25" s="83"/>
      <c r="N25" s="83"/>
      <c r="O25" s="83"/>
      <c r="P25" s="83"/>
      <c r="Q25" s="107"/>
      <c r="R25" s="500"/>
    </row>
    <row r="26" spans="1:18" ht="19.5" customHeight="1" thickBot="1" x14ac:dyDescent="0.4">
      <c r="A26" s="184" t="s">
        <v>819</v>
      </c>
      <c r="B26" s="132"/>
      <c r="C26" s="133"/>
      <c r="D26" s="133"/>
      <c r="E26" s="134"/>
      <c r="F26" s="133"/>
      <c r="G26" s="130"/>
      <c r="H26" s="128"/>
      <c r="I26" s="83"/>
      <c r="J26" s="83"/>
      <c r="K26" s="83"/>
      <c r="L26" s="83"/>
      <c r="M26" s="83"/>
      <c r="N26" s="83"/>
      <c r="O26" s="83"/>
      <c r="P26" s="83"/>
      <c r="Q26" s="107"/>
      <c r="R26" s="500"/>
    </row>
    <row r="27" spans="1:18" ht="13.5" customHeight="1" x14ac:dyDescent="0.3">
      <c r="A27" s="185"/>
      <c r="B27" s="154"/>
      <c r="C27" s="155"/>
      <c r="D27" s="155" t="s">
        <v>702</v>
      </c>
      <c r="E27" s="560">
        <f>Lopt*1000000</f>
        <v>10</v>
      </c>
      <c r="F27" s="162" t="s">
        <v>217</v>
      </c>
      <c r="G27" s="563"/>
      <c r="H27" s="175"/>
      <c r="I27" s="155" t="s">
        <v>632</v>
      </c>
      <c r="J27" s="560">
        <f>Lopt2*1000000</f>
        <v>3.7878787878787881</v>
      </c>
      <c r="K27" s="162" t="s">
        <v>217</v>
      </c>
      <c r="L27" s="83"/>
      <c r="M27" s="83"/>
      <c r="N27" s="83"/>
      <c r="O27" s="83"/>
      <c r="P27" s="83"/>
      <c r="Q27" s="107"/>
      <c r="R27" s="500"/>
    </row>
    <row r="28" spans="1:18" ht="13.5" customHeight="1" x14ac:dyDescent="0.4">
      <c r="A28" s="127"/>
      <c r="B28" s="128"/>
      <c r="C28" s="125"/>
      <c r="D28" s="153" t="s">
        <v>634</v>
      </c>
      <c r="E28" s="129">
        <v>10</v>
      </c>
      <c r="F28" s="158" t="s">
        <v>217</v>
      </c>
      <c r="G28" s="130"/>
      <c r="H28" s="125"/>
      <c r="I28" s="153" t="s">
        <v>633</v>
      </c>
      <c r="J28" s="129">
        <v>2.2000000000000002</v>
      </c>
      <c r="K28" s="158" t="s">
        <v>217</v>
      </c>
      <c r="L28" s="83"/>
      <c r="M28" s="83"/>
      <c r="N28" s="83"/>
      <c r="O28" s="83"/>
      <c r="P28" s="83"/>
      <c r="Q28" s="107"/>
      <c r="R28" s="500"/>
    </row>
    <row r="29" spans="1:18" ht="13.5" customHeight="1" x14ac:dyDescent="0.3">
      <c r="A29" s="127"/>
      <c r="B29" s="128"/>
      <c r="C29" s="125"/>
      <c r="D29" s="153" t="s">
        <v>635</v>
      </c>
      <c r="E29" s="129">
        <v>1.4</v>
      </c>
      <c r="F29" s="158" t="s">
        <v>49</v>
      </c>
      <c r="G29" s="130"/>
      <c r="H29" s="125"/>
      <c r="I29" s="153" t="s">
        <v>636</v>
      </c>
      <c r="J29" s="129">
        <v>5</v>
      </c>
      <c r="K29" s="158" t="s">
        <v>49</v>
      </c>
      <c r="L29" s="83"/>
      <c r="M29" s="83"/>
      <c r="N29" s="83"/>
      <c r="O29" s="83"/>
      <c r="P29" s="83"/>
      <c r="Q29" s="107"/>
      <c r="R29" s="500"/>
    </row>
    <row r="30" spans="1:18" ht="16.5" customHeight="1" thickBot="1" x14ac:dyDescent="0.35">
      <c r="A30" s="282"/>
      <c r="B30" s="283"/>
      <c r="C30" s="281"/>
      <c r="D30" s="281" t="s">
        <v>306</v>
      </c>
      <c r="E30" s="565">
        <f>'Variable Management'!B68*100</f>
        <v>17.021096331441157</v>
      </c>
      <c r="F30" s="284" t="s">
        <v>156</v>
      </c>
      <c r="G30" s="564"/>
      <c r="H30" s="176"/>
      <c r="I30" s="281" t="s">
        <v>675</v>
      </c>
      <c r="J30" s="565">
        <f>'Variable Management'!D68*100</f>
        <v>78.092397799861331</v>
      </c>
      <c r="K30" s="284" t="s">
        <v>156</v>
      </c>
      <c r="L30" s="83"/>
      <c r="M30" s="83"/>
      <c r="N30" s="83"/>
      <c r="O30" s="83"/>
      <c r="P30" s="83"/>
      <c r="Q30" s="107"/>
      <c r="R30" s="500"/>
    </row>
    <row r="31" spans="1:18" ht="14.15" customHeight="1" x14ac:dyDescent="0.3">
      <c r="A31" s="127"/>
      <c r="B31" s="128"/>
      <c r="C31" s="135"/>
      <c r="D31" s="135"/>
      <c r="E31" s="135"/>
      <c r="F31" s="135"/>
      <c r="G31" s="128"/>
      <c r="H31" s="128"/>
      <c r="I31" s="83"/>
      <c r="J31" s="83"/>
      <c r="K31" s="83"/>
      <c r="L31" s="83"/>
      <c r="M31" s="83"/>
      <c r="N31" s="83"/>
      <c r="O31" s="83"/>
      <c r="P31" s="83"/>
      <c r="Q31" s="107"/>
      <c r="R31" s="500"/>
    </row>
    <row r="32" spans="1:18" ht="18" thickBot="1" x14ac:dyDescent="0.4">
      <c r="A32" s="184" t="s">
        <v>616</v>
      </c>
      <c r="B32" s="132"/>
      <c r="C32" s="133"/>
      <c r="D32" s="133"/>
      <c r="E32" s="134"/>
      <c r="F32" s="133"/>
      <c r="G32" s="128"/>
      <c r="H32" s="128"/>
      <c r="I32" s="83"/>
      <c r="J32" s="83"/>
      <c r="K32" s="83"/>
      <c r="L32" s="83"/>
      <c r="M32" s="83"/>
      <c r="N32" s="83"/>
      <c r="O32" s="83"/>
      <c r="P32" s="83"/>
      <c r="Q32" s="107"/>
      <c r="R32" s="500"/>
    </row>
    <row r="33" spans="1:18" ht="15.75" customHeight="1" x14ac:dyDescent="0.4">
      <c r="A33" s="173"/>
      <c r="B33" s="164"/>
      <c r="C33" s="155"/>
      <c r="D33" s="165" t="str">
        <f>IF(MODE=1, "Ch1 Output Voltage Ripple Spec", "Output Voltage Ripple Spec")</f>
        <v>Output Voltage Ripple Spec</v>
      </c>
      <c r="E33" s="166">
        <v>20</v>
      </c>
      <c r="F33" s="157" t="s">
        <v>230</v>
      </c>
      <c r="G33" s="585"/>
      <c r="H33" s="175"/>
      <c r="I33" s="165" t="s">
        <v>696</v>
      </c>
      <c r="J33" s="166">
        <v>50</v>
      </c>
      <c r="K33" s="157" t="s">
        <v>230</v>
      </c>
      <c r="L33" s="83"/>
      <c r="M33" s="83"/>
      <c r="N33" s="83"/>
      <c r="O33" s="83"/>
      <c r="P33" s="83"/>
      <c r="Q33" s="107"/>
      <c r="R33" s="500"/>
    </row>
    <row r="34" spans="1:18" ht="14.15" customHeight="1" x14ac:dyDescent="0.3">
      <c r="A34" s="127"/>
      <c r="B34" s="128"/>
      <c r="C34" s="125"/>
      <c r="D34" s="125" t="str">
        <f>IF(MODE=1, "Ch1 Minimum Output Capacitance", "Minimum Output Capacitance")</f>
        <v>Minimum Output Capacitance</v>
      </c>
      <c r="E34" s="527">
        <f>'Variable Management'!B121</f>
        <v>145.06616191569168</v>
      </c>
      <c r="F34" s="163" t="s">
        <v>218</v>
      </c>
      <c r="G34" s="128"/>
      <c r="H34" s="128"/>
      <c r="I34" s="125" t="s">
        <v>697</v>
      </c>
      <c r="J34" s="527">
        <f>'Variable Management'!D121</f>
        <v>106.48963336344728</v>
      </c>
      <c r="K34" s="163" t="s">
        <v>218</v>
      </c>
      <c r="L34" s="83"/>
      <c r="M34" s="83"/>
      <c r="N34" s="83"/>
      <c r="O34" s="83"/>
      <c r="P34" s="83"/>
      <c r="Q34" s="107"/>
      <c r="R34" s="500"/>
    </row>
    <row r="35" spans="1:18" ht="14.15" customHeight="1" x14ac:dyDescent="0.4">
      <c r="A35" s="127"/>
      <c r="B35" s="128"/>
      <c r="C35" s="125"/>
      <c r="D35" s="124" t="s">
        <v>848</v>
      </c>
      <c r="E35" s="131">
        <v>204</v>
      </c>
      <c r="F35" s="158" t="s">
        <v>218</v>
      </c>
      <c r="G35" s="130"/>
      <c r="H35" s="128"/>
      <c r="I35" s="124" t="s">
        <v>849</v>
      </c>
      <c r="J35" s="131">
        <v>120</v>
      </c>
      <c r="K35" s="158" t="s">
        <v>218</v>
      </c>
      <c r="L35" s="673"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For Single-Output Operation in 2-Phase Mode, tie MODE to VDDA and use FB1 to set VOUT **</v>
      </c>
      <c r="M35" s="674"/>
      <c r="N35" s="674"/>
      <c r="O35" s="674"/>
      <c r="P35" s="674"/>
      <c r="Q35" s="675"/>
      <c r="R35" s="500"/>
    </row>
    <row r="36" spans="1:18" ht="14.15" customHeight="1" x14ac:dyDescent="0.3">
      <c r="A36" s="127"/>
      <c r="B36" s="128"/>
      <c r="C36" s="125"/>
      <c r="D36" s="125" t="str">
        <f>IF(MODE=1, "Ch1 Maximum Permitted ESR", "Maximum Permitted ESR")</f>
        <v>Maximum Permitted ESR</v>
      </c>
      <c r="E36" s="595">
        <f>'Variable Management'!B125</f>
        <v>2.7537675762197464</v>
      </c>
      <c r="F36" s="163" t="s">
        <v>49</v>
      </c>
      <c r="G36" s="130"/>
      <c r="H36" s="128"/>
      <c r="I36" s="125" t="s">
        <v>695</v>
      </c>
      <c r="J36" s="595">
        <f>'Variable Management'!D125</f>
        <v>2.4595547028599096</v>
      </c>
      <c r="K36" s="163" t="s">
        <v>49</v>
      </c>
      <c r="L36" s="673"/>
      <c r="M36" s="674"/>
      <c r="N36" s="674"/>
      <c r="O36" s="674"/>
      <c r="P36" s="674"/>
      <c r="Q36" s="675"/>
      <c r="R36" s="500"/>
    </row>
    <row r="37" spans="1:18" ht="14.15" customHeight="1" x14ac:dyDescent="0.3">
      <c r="A37" s="127"/>
      <c r="B37" s="128"/>
      <c r="C37" s="125"/>
      <c r="D37" s="124" t="str">
        <f>IF(MODE=1, "Ch1 Output Capacitor ESR", "Output Capacitor ESR")</f>
        <v>Output Capacitor ESR</v>
      </c>
      <c r="E37" s="131">
        <v>2</v>
      </c>
      <c r="F37" s="158" t="s">
        <v>49</v>
      </c>
      <c r="G37" s="130"/>
      <c r="H37" s="128"/>
      <c r="I37" s="124" t="s">
        <v>694</v>
      </c>
      <c r="J37" s="131">
        <v>2</v>
      </c>
      <c r="K37" s="158" t="s">
        <v>49</v>
      </c>
      <c r="L37" s="644" t="str">
        <f>CHOOSE(SCH_MODE,  "", "** Tie VCCX to GND if not used **", "** Slave controller (CNTRL2) not shown **","** Slave controller (CNTRL2) not shown **")</f>
        <v>** Tie VCCX to GND if not used **</v>
      </c>
      <c r="M37" s="133"/>
      <c r="N37" s="83"/>
      <c r="O37" s="83"/>
      <c r="P37" s="83"/>
      <c r="Q37" s="645" t="str">
        <f>IF(SCH_MODE=1,  "** Tie VCCX to GND if not used **", "")</f>
        <v/>
      </c>
      <c r="R37" s="500"/>
    </row>
    <row r="38" spans="1:18" ht="14.15" customHeight="1" x14ac:dyDescent="0.4">
      <c r="A38" s="127"/>
      <c r="B38" s="128"/>
      <c r="C38" s="128"/>
      <c r="D38" s="125" t="s">
        <v>559</v>
      </c>
      <c r="E38" s="152">
        <f>'Variable Management'!B127*1000</f>
        <v>17.509099824748674</v>
      </c>
      <c r="F38" s="163" t="s">
        <v>233</v>
      </c>
      <c r="G38" s="130"/>
      <c r="H38" s="128"/>
      <c r="I38" s="125" t="s">
        <v>559</v>
      </c>
      <c r="J38" s="152">
        <f>'Variable Management'!D127*1000</f>
        <v>48.166652732971045</v>
      </c>
      <c r="K38" s="163" t="s">
        <v>233</v>
      </c>
      <c r="L38" s="279" t="str">
        <f>IF(OR(SCH_MODE=3, SCH_MODE=4),"** Tie VCCX to GND if not used **", "")</f>
        <v/>
      </c>
      <c r="M38" s="113"/>
      <c r="N38" s="83"/>
      <c r="O38" s="83"/>
      <c r="P38" s="83"/>
      <c r="Q38" s="107"/>
      <c r="R38" s="500"/>
    </row>
    <row r="39" spans="1:18" ht="14.15" customHeight="1" thickBot="1" x14ac:dyDescent="0.35">
      <c r="A39" s="159"/>
      <c r="B39" s="160"/>
      <c r="C39" s="160"/>
      <c r="D39" s="126" t="s">
        <v>560</v>
      </c>
      <c r="E39" s="590">
        <f>'Variable Management'!B114</f>
        <v>1.6725526672249211</v>
      </c>
      <c r="F39" s="161" t="s">
        <v>145</v>
      </c>
      <c r="G39" s="586"/>
      <c r="H39" s="176"/>
      <c r="I39" s="126" t="s">
        <v>560</v>
      </c>
      <c r="J39" s="590">
        <f>'Variable Management'!D114</f>
        <v>2.7453265110990168</v>
      </c>
      <c r="K39" s="161" t="s">
        <v>145</v>
      </c>
      <c r="L39" s="113"/>
      <c r="M39" s="83"/>
      <c r="N39" s="83"/>
      <c r="O39" s="83"/>
      <c r="P39" s="83"/>
      <c r="Q39" s="607"/>
      <c r="R39" s="500"/>
    </row>
    <row r="40" spans="1:18" ht="13.5" customHeight="1" x14ac:dyDescent="0.3">
      <c r="A40" s="186"/>
      <c r="B40" s="135"/>
      <c r="C40" s="135"/>
      <c r="D40" s="135"/>
      <c r="E40" s="135"/>
      <c r="F40" s="135"/>
      <c r="G40" s="128"/>
      <c r="H40" s="128"/>
      <c r="I40" s="83"/>
      <c r="J40" s="83"/>
      <c r="K40" s="83"/>
      <c r="L40" s="83"/>
      <c r="M40" s="113"/>
      <c r="N40" s="113"/>
      <c r="O40" s="113"/>
      <c r="P40" s="113"/>
      <c r="Q40" s="107"/>
      <c r="R40" s="500"/>
    </row>
    <row r="41" spans="1:18" ht="18" thickBot="1" x14ac:dyDescent="0.4">
      <c r="A41" s="184" t="s">
        <v>617</v>
      </c>
      <c r="B41" s="132"/>
      <c r="C41" s="133"/>
      <c r="D41" s="133"/>
      <c r="E41" s="128"/>
      <c r="F41" s="128"/>
      <c r="G41" s="128"/>
      <c r="H41" s="128"/>
      <c r="I41" s="83"/>
      <c r="J41" s="83"/>
      <c r="K41" s="83"/>
      <c r="L41" s="109"/>
      <c r="M41" s="113"/>
      <c r="N41" s="113"/>
      <c r="O41" s="83"/>
      <c r="P41" s="83"/>
      <c r="Q41" s="107"/>
      <c r="R41" s="500"/>
    </row>
    <row r="42" spans="1:18" ht="14.15" customHeight="1" x14ac:dyDescent="0.4">
      <c r="A42" s="173"/>
      <c r="B42" s="164"/>
      <c r="C42" s="154"/>
      <c r="D42" s="156" t="s">
        <v>565</v>
      </c>
      <c r="E42" s="166">
        <v>100</v>
      </c>
      <c r="F42" s="157" t="s">
        <v>230</v>
      </c>
      <c r="G42" s="128"/>
      <c r="H42" s="128"/>
      <c r="I42" s="83"/>
      <c r="J42" s="110"/>
      <c r="K42" s="83"/>
      <c r="L42" s="83"/>
      <c r="M42" s="83"/>
      <c r="N42" s="83"/>
      <c r="O42" s="83"/>
      <c r="P42" s="83"/>
      <c r="Q42" s="107"/>
      <c r="R42" s="500"/>
    </row>
    <row r="43" spans="1:18" ht="14.15" customHeight="1" x14ac:dyDescent="0.3">
      <c r="A43" s="136"/>
      <c r="B43" s="133"/>
      <c r="C43" s="128"/>
      <c r="D43" s="125" t="s">
        <v>566</v>
      </c>
      <c r="E43" s="595">
        <f>'Variable Management'!B145</f>
        <v>340.90909090909093</v>
      </c>
      <c r="F43" s="163" t="s">
        <v>218</v>
      </c>
      <c r="G43" s="128"/>
      <c r="H43" s="128"/>
      <c r="I43" s="83"/>
      <c r="J43" s="110"/>
      <c r="K43" s="83"/>
      <c r="L43" s="83"/>
      <c r="M43" s="271"/>
      <c r="N43" s="299"/>
      <c r="O43" s="83"/>
      <c r="P43" s="83"/>
      <c r="Q43" s="107"/>
      <c r="R43" s="500"/>
    </row>
    <row r="44" spans="1:18" ht="14.15" customHeight="1" x14ac:dyDescent="0.4">
      <c r="A44" s="127"/>
      <c r="B44" s="128"/>
      <c r="C44" s="133"/>
      <c r="D44" s="153" t="s">
        <v>282</v>
      </c>
      <c r="E44" s="129">
        <v>1328</v>
      </c>
      <c r="F44" s="158" t="s">
        <v>218</v>
      </c>
      <c r="G44" s="128"/>
      <c r="H44" s="128"/>
      <c r="I44" s="83"/>
      <c r="J44" s="110"/>
      <c r="K44" s="83"/>
      <c r="L44" s="83"/>
      <c r="M44" s="83"/>
      <c r="N44" s="83"/>
      <c r="O44" s="83"/>
      <c r="P44" s="83"/>
      <c r="Q44" s="107"/>
      <c r="R44" s="500"/>
    </row>
    <row r="45" spans="1:18" ht="14.15" customHeight="1" x14ac:dyDescent="0.3">
      <c r="A45" s="127"/>
      <c r="B45" s="128"/>
      <c r="C45" s="133"/>
      <c r="D45" s="125" t="s">
        <v>833</v>
      </c>
      <c r="E45" s="526">
        <f>'Variable Management'!B150</f>
        <v>2.2594539405998511</v>
      </c>
      <c r="F45" s="163" t="s">
        <v>49</v>
      </c>
      <c r="G45" s="128"/>
      <c r="H45" s="128"/>
      <c r="I45" s="83"/>
      <c r="J45" s="111"/>
      <c r="K45" s="83"/>
      <c r="L45" s="83"/>
      <c r="M45" s="83"/>
      <c r="N45" s="83"/>
      <c r="O45" s="83"/>
      <c r="P45" s="83"/>
      <c r="Q45" s="107" t="s">
        <v>178</v>
      </c>
      <c r="R45" s="500"/>
    </row>
    <row r="46" spans="1:18" ht="14.15" customHeight="1" x14ac:dyDescent="0.3">
      <c r="A46" s="127"/>
      <c r="B46" s="128"/>
      <c r="C46" s="133"/>
      <c r="D46" s="153" t="s">
        <v>480</v>
      </c>
      <c r="E46" s="129">
        <v>1.5</v>
      </c>
      <c r="F46" s="158" t="s">
        <v>49</v>
      </c>
      <c r="G46" s="128"/>
      <c r="H46" s="128"/>
      <c r="I46" s="83"/>
      <c r="J46" s="111"/>
      <c r="K46" s="83"/>
      <c r="L46" s="83"/>
      <c r="M46" s="83"/>
      <c r="N46" s="83"/>
      <c r="O46" s="83"/>
      <c r="P46" s="83"/>
      <c r="Q46" s="107"/>
      <c r="R46" s="500"/>
    </row>
    <row r="47" spans="1:18" ht="14.15" customHeight="1" x14ac:dyDescent="0.4">
      <c r="A47" s="127"/>
      <c r="B47" s="128"/>
      <c r="C47" s="133"/>
      <c r="D47" s="259" t="s">
        <v>834</v>
      </c>
      <c r="E47" s="152">
        <f>'Variable Management'!B155*1000</f>
        <v>75.016284576251621</v>
      </c>
      <c r="F47" s="163" t="s">
        <v>233</v>
      </c>
      <c r="G47" s="128"/>
      <c r="H47" s="128"/>
      <c r="I47" s="83"/>
      <c r="J47" s="111"/>
      <c r="K47" s="83"/>
      <c r="L47" s="83"/>
      <c r="M47" s="83"/>
      <c r="N47" s="83"/>
      <c r="O47" s="83"/>
      <c r="P47" s="83"/>
      <c r="Q47" s="107"/>
      <c r="R47" s="500"/>
    </row>
    <row r="48" spans="1:18" ht="15.75" customHeight="1" thickBot="1" x14ac:dyDescent="0.35">
      <c r="A48" s="159"/>
      <c r="B48" s="160"/>
      <c r="C48" s="160"/>
      <c r="D48" s="265" t="s">
        <v>561</v>
      </c>
      <c r="E48" s="660">
        <f>'Variable Management'!B138</f>
        <v>15</v>
      </c>
      <c r="F48" s="266" t="s">
        <v>145</v>
      </c>
      <c r="G48" s="128"/>
      <c r="H48" s="128"/>
      <c r="I48" s="83"/>
      <c r="J48" s="83"/>
      <c r="K48" s="83"/>
      <c r="L48" s="83"/>
      <c r="M48" s="83"/>
      <c r="N48" s="83"/>
      <c r="O48" s="83"/>
      <c r="P48" s="83"/>
      <c r="Q48" s="107"/>
      <c r="R48" s="500"/>
    </row>
    <row r="49" spans="1:35" ht="14.15" customHeight="1" x14ac:dyDescent="0.3">
      <c r="A49" s="127"/>
      <c r="B49" s="128"/>
      <c r="C49" s="128"/>
      <c r="D49" s="125"/>
      <c r="E49" s="128"/>
      <c r="F49" s="128"/>
      <c r="G49" s="128"/>
      <c r="H49" s="128"/>
      <c r="I49" s="83"/>
      <c r="J49" s="83"/>
      <c r="K49" s="83"/>
      <c r="L49" s="83"/>
      <c r="M49" s="83"/>
      <c r="N49" s="83"/>
      <c r="O49" s="83"/>
      <c r="P49" s="83"/>
      <c r="Q49" s="107"/>
      <c r="R49" s="500"/>
    </row>
    <row r="50" spans="1:35" ht="18" thickBot="1" x14ac:dyDescent="0.4">
      <c r="A50" s="184" t="s">
        <v>692</v>
      </c>
      <c r="B50" s="132"/>
      <c r="C50" s="128"/>
      <c r="D50" s="125"/>
      <c r="E50" s="128"/>
      <c r="F50" s="128"/>
      <c r="G50" s="128"/>
      <c r="H50" s="137"/>
      <c r="I50" s="113"/>
      <c r="J50" s="113"/>
      <c r="K50" s="113"/>
      <c r="L50" s="113"/>
      <c r="M50" s="113"/>
      <c r="N50" s="83"/>
      <c r="O50" s="83"/>
      <c r="P50" s="83"/>
      <c r="Q50" s="107"/>
      <c r="R50" s="500"/>
    </row>
    <row r="51" spans="1:35" ht="13.65" customHeight="1" x14ac:dyDescent="0.3">
      <c r="A51" s="267"/>
      <c r="B51" s="268"/>
      <c r="C51" s="268"/>
      <c r="D51" s="275" t="s">
        <v>284</v>
      </c>
      <c r="E51" s="276">
        <v>3</v>
      </c>
      <c r="F51" s="270" t="s">
        <v>149</v>
      </c>
      <c r="G51" s="128"/>
      <c r="H51" s="135"/>
      <c r="I51" s="113"/>
      <c r="J51" s="113"/>
      <c r="K51" s="113"/>
      <c r="L51" s="113"/>
      <c r="M51" s="113"/>
      <c r="N51" s="83"/>
      <c r="O51" s="83"/>
      <c r="P51" s="83"/>
      <c r="Q51" s="107"/>
      <c r="R51" s="500"/>
    </row>
    <row r="52" spans="1:35" ht="13.65" customHeight="1" x14ac:dyDescent="0.3">
      <c r="A52" s="258"/>
      <c r="B52" s="257"/>
      <c r="C52" s="257"/>
      <c r="D52" s="259" t="s">
        <v>283</v>
      </c>
      <c r="E52" s="277">
        <f>IF(Tss&gt;0.5/1000,Css_u*1000000000,"N/A")</f>
        <v>100</v>
      </c>
      <c r="F52" s="261" t="s">
        <v>141</v>
      </c>
      <c r="G52" s="128"/>
      <c r="H52" s="135"/>
      <c r="I52" s="113"/>
      <c r="J52" s="113"/>
      <c r="K52" s="113"/>
      <c r="L52" s="113"/>
      <c r="M52" s="113"/>
      <c r="N52" s="83"/>
      <c r="O52" s="83"/>
      <c r="P52" s="83"/>
      <c r="Q52" s="107"/>
      <c r="R52" s="500"/>
    </row>
    <row r="53" spans="1:35" ht="13.65" customHeight="1" x14ac:dyDescent="0.3">
      <c r="A53" s="258"/>
      <c r="B53" s="257"/>
      <c r="C53" s="279"/>
      <c r="D53" s="278" t="s">
        <v>698</v>
      </c>
      <c r="E53" s="272">
        <v>30</v>
      </c>
      <c r="F53" s="273" t="s">
        <v>149</v>
      </c>
      <c r="G53" s="128"/>
      <c r="H53" s="135"/>
      <c r="I53" s="113"/>
      <c r="J53" s="113"/>
      <c r="K53" s="113"/>
      <c r="L53" s="113"/>
      <c r="M53" s="113"/>
      <c r="N53" s="83"/>
      <c r="O53" s="83"/>
      <c r="P53" s="83"/>
      <c r="Q53" s="107"/>
      <c r="R53" s="500"/>
    </row>
    <row r="54" spans="1:35" ht="13.65" customHeight="1" x14ac:dyDescent="0.3">
      <c r="A54" s="258"/>
      <c r="B54" s="257"/>
      <c r="C54" s="257"/>
      <c r="D54" s="259" t="s">
        <v>684</v>
      </c>
      <c r="E54" s="277">
        <f>IF(Tres&gt;1/1000,Cres_u*1000000000,"N/A")</f>
        <v>470</v>
      </c>
      <c r="F54" s="261" t="s">
        <v>141</v>
      </c>
      <c r="G54" s="128"/>
      <c r="H54" s="135"/>
      <c r="I54" s="113"/>
      <c r="J54" s="113"/>
      <c r="K54" s="113"/>
      <c r="L54" s="113"/>
      <c r="M54" s="113"/>
      <c r="N54" s="83"/>
      <c r="O54" s="83"/>
      <c r="P54" s="83"/>
      <c r="Q54" s="107"/>
      <c r="R54" s="500"/>
    </row>
    <row r="55" spans="1:35" ht="15.75" customHeight="1" x14ac:dyDescent="0.3">
      <c r="A55" s="258"/>
      <c r="B55" s="257"/>
      <c r="C55" s="257"/>
      <c r="D55" s="278" t="s">
        <v>613</v>
      </c>
      <c r="E55" s="554">
        <v>9</v>
      </c>
      <c r="F55" s="273" t="str">
        <f>IF(DITHER=1, "kHz", "")</f>
        <v>kHz</v>
      </c>
      <c r="G55" s="128"/>
      <c r="H55" s="128"/>
      <c r="I55" s="83"/>
      <c r="J55" s="81"/>
      <c r="K55" s="123"/>
      <c r="L55" s="83"/>
      <c r="M55" s="113"/>
      <c r="N55" s="83"/>
      <c r="O55" s="83"/>
      <c r="P55" s="83"/>
      <c r="Q55" s="107"/>
      <c r="R55" s="500"/>
    </row>
    <row r="56" spans="1:35" ht="13.65" customHeight="1" x14ac:dyDescent="0.3">
      <c r="A56" s="258"/>
      <c r="B56" s="257"/>
      <c r="C56" s="257"/>
      <c r="D56" s="259" t="str">
        <f>IF(DITHER=1, "DITH Capacitance, Cd", "*Tie DITH to VDDA")</f>
        <v>DITH Capacitance, Cd</v>
      </c>
      <c r="E56" s="259">
        <f>IF(DITHER=1,IF(E55&gt;0,'Standard Value Calculator'!O22*1000000000,"N/A"),"")</f>
        <v>10</v>
      </c>
      <c r="F56" s="261" t="str">
        <f>IF(DITHER=1, "nF", "")</f>
        <v>nF</v>
      </c>
      <c r="G56" s="128"/>
      <c r="H56" s="128"/>
      <c r="I56" s="83"/>
      <c r="J56" s="81"/>
      <c r="K56" s="123"/>
      <c r="L56" s="83"/>
      <c r="M56" s="113"/>
      <c r="N56" s="83"/>
      <c r="O56" s="83"/>
      <c r="P56" s="83"/>
      <c r="Q56" s="107"/>
      <c r="R56" s="500"/>
    </row>
    <row r="57" spans="1:35" ht="15.75" customHeight="1" x14ac:dyDescent="0.3">
      <c r="A57" s="258"/>
      <c r="B57" s="257"/>
      <c r="C57" s="279"/>
      <c r="D57" s="588" t="str">
        <f>IF(DEMB=1, "* Tie DEMB to VDDA", "*Tie DEMB to AGND")</f>
        <v>*Tie DEMB to AGND</v>
      </c>
      <c r="E57" s="647"/>
      <c r="F57" s="261"/>
      <c r="G57" s="128"/>
      <c r="H57" s="128"/>
      <c r="I57" s="83"/>
      <c r="J57" s="81"/>
      <c r="K57" s="123"/>
      <c r="L57" s="83"/>
      <c r="M57" s="113"/>
      <c r="N57" s="83"/>
      <c r="O57" s="83"/>
      <c r="P57" s="83"/>
      <c r="Q57" s="107"/>
      <c r="R57" s="500"/>
    </row>
    <row r="58" spans="1:35" ht="15" customHeight="1" thickBot="1" x14ac:dyDescent="0.35">
      <c r="A58" s="282"/>
      <c r="B58" s="283"/>
      <c r="C58" s="283"/>
      <c r="D58" s="593" t="str">
        <f>IF(MODE=2, "* Tie MODE to VDDA", "* Tie MODE to AGND")</f>
        <v>* Tie MODE to VDDA</v>
      </c>
      <c r="E58" s="587"/>
      <c r="F58" s="284"/>
      <c r="G58" s="128"/>
      <c r="H58" s="128"/>
      <c r="I58" s="83"/>
      <c r="J58" s="81"/>
      <c r="K58" s="123"/>
      <c r="L58" s="83"/>
      <c r="M58" s="113"/>
      <c r="N58" s="83"/>
      <c r="O58" s="83"/>
      <c r="P58" s="83"/>
      <c r="Q58" s="107"/>
      <c r="R58" s="500"/>
    </row>
    <row r="59" spans="1:35" ht="14.15" customHeight="1" x14ac:dyDescent="0.3">
      <c r="A59" s="127"/>
      <c r="B59" s="128"/>
      <c r="C59" s="128"/>
      <c r="D59" s="125"/>
      <c r="E59" s="138"/>
      <c r="F59" s="128"/>
      <c r="G59" s="128"/>
      <c r="H59" s="128"/>
      <c r="I59" s="83"/>
      <c r="J59" s="81"/>
      <c r="K59" s="123"/>
      <c r="L59" s="83"/>
      <c r="M59" s="113"/>
      <c r="N59" s="83"/>
      <c r="O59" s="83"/>
      <c r="P59" s="83"/>
      <c r="Q59" s="107"/>
      <c r="R59" s="500"/>
    </row>
    <row r="60" spans="1:35" ht="19.5" customHeight="1" thickBot="1" x14ac:dyDescent="0.35">
      <c r="A60" s="184" t="s">
        <v>235</v>
      </c>
      <c r="B60" s="140"/>
      <c r="C60" s="133"/>
      <c r="D60" s="556"/>
      <c r="E60" s="134"/>
      <c r="F60" s="133"/>
      <c r="G60" s="128"/>
      <c r="H60" s="128"/>
      <c r="I60" s="83"/>
      <c r="J60" s="83"/>
      <c r="K60" s="83"/>
      <c r="L60" s="83"/>
      <c r="M60" s="83"/>
      <c r="N60" s="83"/>
      <c r="O60" s="83"/>
      <c r="P60" s="83"/>
      <c r="Q60" s="107"/>
      <c r="R60" s="499"/>
      <c r="S60" s="54"/>
      <c r="T60" s="54"/>
      <c r="W60" s="54"/>
      <c r="X60" s="54"/>
      <c r="Y60" s="54"/>
      <c r="AB60" s="54"/>
      <c r="AC60" s="54"/>
      <c r="AD60" s="54"/>
      <c r="AG60" s="54"/>
      <c r="AH60" s="54"/>
      <c r="AI60" s="54"/>
    </row>
    <row r="61" spans="1:35" ht="15" customHeight="1" x14ac:dyDescent="0.3">
      <c r="A61" s="267"/>
      <c r="B61" s="268"/>
      <c r="C61" s="269"/>
      <c r="D61" s="269" t="str">
        <f>IF(MODE=1, "Ch1 Load Pole Frequency", "Load Pole Frequency")</f>
        <v>Load Pole Frequency</v>
      </c>
      <c r="E61" s="368">
        <f>Fp_dominant</f>
        <v>2306.4040504988106</v>
      </c>
      <c r="F61" s="285" t="s">
        <v>9</v>
      </c>
      <c r="G61" s="585"/>
      <c r="H61" s="175"/>
      <c r="I61" s="269" t="s">
        <v>704</v>
      </c>
      <c r="J61" s="368">
        <f>Fp_dominant_Ch2</f>
        <v>4420.681711975064</v>
      </c>
      <c r="K61" s="285" t="s">
        <v>9</v>
      </c>
      <c r="L61" s="83"/>
      <c r="M61" s="83"/>
      <c r="N61" s="83"/>
      <c r="O61" s="83"/>
      <c r="P61" s="83"/>
      <c r="Q61" s="107"/>
      <c r="R61" s="499"/>
      <c r="S61" s="54"/>
      <c r="T61" s="54"/>
      <c r="W61" s="54"/>
      <c r="X61" s="54"/>
      <c r="Y61" s="54"/>
      <c r="AB61" s="54"/>
      <c r="AC61" s="54"/>
      <c r="AD61" s="54"/>
      <c r="AG61" s="54"/>
      <c r="AH61" s="54"/>
      <c r="AI61" s="54"/>
    </row>
    <row r="62" spans="1:35" ht="15" customHeight="1" x14ac:dyDescent="0.3">
      <c r="A62" s="258"/>
      <c r="B62" s="257"/>
      <c r="C62" s="259"/>
      <c r="D62" s="259" t="str">
        <f>IF(MODE=1, "Ch1 ESR Zero Frequency", "ESR Zero Frequency")</f>
        <v>ESR Zero Frequency</v>
      </c>
      <c r="E62" s="262">
        <f>Fesr/1000</f>
        <v>390.08564527881464</v>
      </c>
      <c r="F62" s="261" t="s">
        <v>2</v>
      </c>
      <c r="G62" s="128"/>
      <c r="H62" s="128"/>
      <c r="I62" s="259" t="s">
        <v>707</v>
      </c>
      <c r="J62" s="262">
        <f>Fesr_Ch2/1000</f>
        <v>663.14559697398488</v>
      </c>
      <c r="K62" s="261" t="s">
        <v>2</v>
      </c>
      <c r="L62" s="83"/>
      <c r="M62" s="83"/>
      <c r="N62" s="83"/>
      <c r="O62" s="83"/>
      <c r="P62" s="83"/>
      <c r="Q62" s="107"/>
      <c r="R62" s="499"/>
      <c r="S62" s="54"/>
      <c r="T62" s="54"/>
      <c r="W62" s="54"/>
      <c r="X62" s="54"/>
      <c r="Y62" s="54"/>
      <c r="AB62" s="54"/>
      <c r="AC62" s="54"/>
      <c r="AD62" s="54"/>
      <c r="AG62" s="54"/>
      <c r="AH62" s="54"/>
      <c r="AI62" s="54"/>
    </row>
    <row r="63" spans="1:35" ht="15" customHeight="1" x14ac:dyDescent="0.3">
      <c r="A63" s="258"/>
      <c r="B63" s="257"/>
      <c r="C63" s="259"/>
      <c r="D63" s="280" t="str">
        <f>IF(MODE=1, "Ch1 Desired Crossover Frequency", "Desired Crossover Frequency")</f>
        <v>Desired Crossover Frequency</v>
      </c>
      <c r="E63" s="286">
        <v>22</v>
      </c>
      <c r="F63" s="287" t="str">
        <f>"     kHz "</f>
        <v xml:space="preserve">     kHz </v>
      </c>
      <c r="G63" s="128"/>
      <c r="H63" s="128"/>
      <c r="I63" s="280" t="s">
        <v>706</v>
      </c>
      <c r="J63" s="286">
        <v>66</v>
      </c>
      <c r="K63" s="287" t="str">
        <f>"     kHz "</f>
        <v xml:space="preserve">     kHz </v>
      </c>
      <c r="L63" s="83"/>
      <c r="M63" s="83"/>
      <c r="N63" s="83"/>
      <c r="O63" s="83"/>
      <c r="P63" s="83"/>
      <c r="Q63" s="107"/>
      <c r="R63" s="499"/>
      <c r="S63" s="54"/>
      <c r="T63" s="54"/>
      <c r="W63" s="54"/>
      <c r="X63" s="54"/>
      <c r="Y63" s="54"/>
      <c r="AB63" s="54"/>
      <c r="AC63" s="54"/>
      <c r="AD63" s="54"/>
      <c r="AG63" s="54"/>
      <c r="AH63" s="54"/>
      <c r="AI63" s="54"/>
    </row>
    <row r="64" spans="1:35" ht="15" customHeight="1" x14ac:dyDescent="0.3">
      <c r="A64" s="258"/>
      <c r="B64" s="257"/>
      <c r="C64" s="259"/>
      <c r="D64" s="259" t="str">
        <f>IF(MODE=1, "Ch1 Error Amp Pole Frequency", "Error Amp Pole Frequency")</f>
        <v>Error Amp Pole Frequency</v>
      </c>
      <c r="E64" s="260">
        <f>Fp1_u</f>
        <v>0.44398746460975064</v>
      </c>
      <c r="F64" s="261" t="s">
        <v>9</v>
      </c>
      <c r="G64" s="128"/>
      <c r="H64" s="128"/>
      <c r="I64" s="259" t="s">
        <v>705</v>
      </c>
      <c r="J64" s="260">
        <f>Fp1_u_Ch2</f>
        <v>1.657436684539729</v>
      </c>
      <c r="K64" s="261" t="s">
        <v>9</v>
      </c>
      <c r="L64" s="83"/>
      <c r="M64" s="83"/>
      <c r="N64" s="83"/>
      <c r="O64" s="83"/>
      <c r="P64" s="83"/>
      <c r="Q64" s="107"/>
      <c r="R64" s="499"/>
      <c r="S64" s="54"/>
      <c r="T64" s="54"/>
      <c r="W64" s="54"/>
      <c r="X64" s="54"/>
      <c r="Y64" s="54"/>
      <c r="AB64" s="54"/>
      <c r="AC64" s="54"/>
      <c r="AD64" s="54"/>
      <c r="AG64" s="54"/>
      <c r="AH64" s="54"/>
      <c r="AI64" s="54"/>
    </row>
    <row r="65" spans="1:35" ht="15" customHeight="1" x14ac:dyDescent="0.3">
      <c r="A65" s="258"/>
      <c r="B65" s="257"/>
      <c r="C65" s="259"/>
      <c r="D65" s="280" t="str">
        <f>CHOOSE(Ch1_VOUT, "* Tie FB1 to VDDA for Ch1 3.3V Out", "* Tie FB1 to AGND for Ch1 5V Out", IF(MODE=1, "Ch1 Upper Feedback Resistor", "Upper Feedback Resistor"))</f>
        <v>Upper Feedback Resistor</v>
      </c>
      <c r="E65" s="288">
        <v>390</v>
      </c>
      <c r="F65" s="273" t="s">
        <v>50</v>
      </c>
      <c r="G65" s="128"/>
      <c r="H65" s="128"/>
      <c r="I65" s="280" t="str">
        <f>CHOOSE(Ch2_VOUT, "* Tie FB2 to VDDA for Ch2 3.3V Out", "* Tie FB2 to AGND for Ch2 5V Out", "Ch2 Upper Feedback Resistor")</f>
        <v>* Tie FB2 to AGND for Ch2 5V Out</v>
      </c>
      <c r="J65" s="288">
        <v>115</v>
      </c>
      <c r="K65" s="273" t="s">
        <v>50</v>
      </c>
      <c r="L65" s="83"/>
      <c r="M65" s="83"/>
      <c r="N65" s="83"/>
      <c r="O65" s="83"/>
      <c r="P65" s="83"/>
      <c r="Q65" s="107"/>
      <c r="R65" s="499"/>
      <c r="S65" s="54"/>
      <c r="T65" s="54"/>
      <c r="W65" s="54"/>
      <c r="X65" s="54"/>
      <c r="Y65" s="54"/>
      <c r="AB65" s="54"/>
      <c r="AC65" s="54"/>
      <c r="AD65" s="54"/>
      <c r="AG65" s="54"/>
      <c r="AH65" s="54"/>
      <c r="AI65" s="54"/>
    </row>
    <row r="66" spans="1:35" ht="17.25" customHeight="1" thickBot="1" x14ac:dyDescent="0.35">
      <c r="A66" s="263"/>
      <c r="B66" s="264"/>
      <c r="C66" s="265"/>
      <c r="D66" s="281" t="str">
        <f>IF(Ch1_VOUT=3, IF(MODE=1,"Ch1 Lower Feedback Resistor","Lower Feedback Resistor"),"")</f>
        <v>Lower Feedback Resistor</v>
      </c>
      <c r="E66" s="265">
        <f>IF(Vout=Vref,"OPEN",Rfb2_u/1000)</f>
        <v>10</v>
      </c>
      <c r="F66" s="266" t="str">
        <f>IF(Vout=Vref,"","kΩ")</f>
        <v>kΩ</v>
      </c>
      <c r="G66" s="195"/>
      <c r="H66" s="176"/>
      <c r="I66" s="281" t="str">
        <f>IF(Ch2_VOUT=3, "Ch2 Lower Feedback Resistor","")</f>
        <v/>
      </c>
      <c r="J66" s="265">
        <f>IF(Vout2=Vref,"OPEN",Rfb4_u/1000)</f>
        <v>15.8</v>
      </c>
      <c r="K66" s="266" t="str">
        <f>IF(Vout=Vref,"","kΩ")</f>
        <v>kΩ</v>
      </c>
      <c r="L66" s="83"/>
      <c r="M66" s="83"/>
      <c r="N66" s="83"/>
      <c r="O66" s="83"/>
      <c r="P66" s="83"/>
      <c r="Q66" s="107"/>
      <c r="R66" s="499"/>
      <c r="S66" s="54"/>
      <c r="T66" s="54"/>
      <c r="W66" s="54"/>
      <c r="X66" s="54"/>
      <c r="Y66" s="54"/>
      <c r="AB66" s="54"/>
      <c r="AC66" s="54"/>
      <c r="AD66" s="54"/>
      <c r="AG66" s="54"/>
      <c r="AH66" s="54"/>
      <c r="AI66" s="54"/>
    </row>
    <row r="67" spans="1:35" ht="13.5" customHeight="1" x14ac:dyDescent="0.3">
      <c r="A67" s="187"/>
      <c r="B67" s="549"/>
      <c r="C67" s="146"/>
      <c r="D67" s="135"/>
      <c r="E67" s="135"/>
      <c r="F67" s="135"/>
      <c r="G67" s="145"/>
      <c r="H67" s="144"/>
      <c r="I67" s="83"/>
      <c r="J67" s="83"/>
      <c r="K67" s="83"/>
      <c r="L67" s="83"/>
      <c r="M67" s="83"/>
      <c r="N67" s="83"/>
      <c r="O67" s="83"/>
      <c r="P67" s="83"/>
      <c r="Q67" s="107"/>
      <c r="R67" s="499"/>
      <c r="S67" s="54"/>
      <c r="T67" s="54"/>
      <c r="W67" s="54"/>
      <c r="X67" s="54"/>
      <c r="Y67" s="54"/>
      <c r="AB67" s="54"/>
      <c r="AC67" s="54"/>
      <c r="AD67" s="54"/>
      <c r="AG67" s="54"/>
      <c r="AH67" s="54"/>
      <c r="AI67" s="54"/>
    </row>
    <row r="68" spans="1:35" ht="15.75" customHeight="1" x14ac:dyDescent="0.3">
      <c r="A68" s="475" t="s">
        <v>228</v>
      </c>
      <c r="B68" s="147"/>
      <c r="C68" s="125"/>
      <c r="D68" s="141"/>
      <c r="E68" s="142"/>
      <c r="F68" s="143"/>
      <c r="G68" s="148"/>
      <c r="H68" s="128"/>
      <c r="I68" s="83"/>
      <c r="J68" s="83"/>
      <c r="K68" s="83"/>
      <c r="L68" s="83"/>
      <c r="M68" s="83"/>
      <c r="N68" s="83"/>
      <c r="O68" s="83"/>
      <c r="P68" s="83"/>
      <c r="Q68" s="107"/>
      <c r="R68" s="499"/>
      <c r="S68" s="190"/>
      <c r="T68" s="190"/>
      <c r="U68" s="191"/>
      <c r="V68" s="191"/>
      <c r="W68" s="190"/>
      <c r="X68" s="190"/>
      <c r="Y68" s="190"/>
      <c r="Z68" s="191"/>
      <c r="AA68" s="191"/>
      <c r="AB68" s="190"/>
      <c r="AC68" s="190"/>
      <c r="AD68" s="190"/>
      <c r="AE68" s="191"/>
      <c r="AF68" s="191"/>
      <c r="AG68" s="54"/>
      <c r="AH68" s="54"/>
      <c r="AI68" s="54"/>
    </row>
    <row r="69" spans="1:35" s="203" customFormat="1" ht="13.5" customHeight="1" thickBot="1" x14ac:dyDescent="0.35">
      <c r="A69" s="208"/>
      <c r="B69" s="209" t="s">
        <v>236</v>
      </c>
      <c r="C69" s="210" t="s">
        <v>227</v>
      </c>
      <c r="D69" s="612" t="str">
        <f t="shared" ref="D69" si="0">C69</f>
        <v>Std Values</v>
      </c>
      <c r="E69" s="556"/>
      <c r="F69" s="667" t="s">
        <v>229</v>
      </c>
      <c r="G69" s="667"/>
      <c r="H69" s="667"/>
      <c r="I69" s="198"/>
      <c r="J69" s="198"/>
      <c r="K69" s="198"/>
      <c r="L69" s="198"/>
      <c r="M69" s="198"/>
      <c r="N69" s="198"/>
      <c r="O69" s="198"/>
      <c r="P69" s="198"/>
      <c r="Q69" s="199"/>
      <c r="R69" s="501"/>
      <c r="S69" s="200"/>
      <c r="T69" s="200"/>
      <c r="U69" s="201"/>
      <c r="V69" s="201"/>
      <c r="W69" s="200"/>
      <c r="X69" s="200"/>
      <c r="Y69" s="200"/>
      <c r="Z69" s="201"/>
      <c r="AA69" s="201"/>
      <c r="AB69" s="200"/>
      <c r="AC69" s="200"/>
      <c r="AD69" s="200"/>
      <c r="AE69" s="201"/>
      <c r="AF69" s="201"/>
      <c r="AG69" s="202"/>
      <c r="AH69" s="202"/>
      <c r="AI69" s="202"/>
    </row>
    <row r="70" spans="1:35" ht="15.5" x14ac:dyDescent="0.4">
      <c r="A70" s="171" t="s">
        <v>708</v>
      </c>
      <c r="B70" s="182">
        <f>Rcea1/1000</f>
        <v>12.407531675616003</v>
      </c>
      <c r="C70" s="167">
        <f>'Standard Value Calculator'!O30</f>
        <v>12.4</v>
      </c>
      <c r="D70" s="168">
        <v>12</v>
      </c>
      <c r="E70" s="169" t="s">
        <v>50</v>
      </c>
      <c r="F70" s="519">
        <f>Fp1_u</f>
        <v>0.44398746460975064</v>
      </c>
      <c r="G70" s="431" t="s">
        <v>720</v>
      </c>
      <c r="H70" s="135"/>
      <c r="I70" s="125"/>
      <c r="J70" s="494"/>
      <c r="K70" s="128"/>
      <c r="L70" s="83"/>
      <c r="M70" s="83"/>
      <c r="N70" s="83"/>
      <c r="O70" s="83"/>
      <c r="P70" s="83"/>
      <c r="Q70" s="107"/>
      <c r="R70" s="499"/>
      <c r="S70" s="190"/>
      <c r="T70" s="190"/>
      <c r="U70" s="191"/>
      <c r="V70" s="191"/>
      <c r="W70" s="190"/>
      <c r="X70" s="190"/>
      <c r="Y70" s="190"/>
      <c r="Z70" s="191"/>
      <c r="AA70" s="191"/>
      <c r="AB70" s="190"/>
      <c r="AC70" s="190"/>
      <c r="AD70" s="190"/>
      <c r="AE70" s="191"/>
      <c r="AF70" s="191"/>
      <c r="AG70" s="54"/>
      <c r="AH70" s="54"/>
      <c r="AI70" s="54"/>
    </row>
    <row r="71" spans="1:35" ht="15.5" x14ac:dyDescent="0.4">
      <c r="A71" s="172" t="s">
        <v>231</v>
      </c>
      <c r="B71" s="484">
        <f>Cc1ea*1000000000</f>
        <v>5.8305840295131848</v>
      </c>
      <c r="C71" s="144">
        <f>'Standard Value Calculator'!O31</f>
        <v>5.6</v>
      </c>
      <c r="D71" s="149">
        <f>C71</f>
        <v>5.6</v>
      </c>
      <c r="E71" s="170" t="s">
        <v>141</v>
      </c>
      <c r="F71" s="432">
        <f>Fz1_u/1000</f>
        <v>2.3683771320499458</v>
      </c>
      <c r="G71" s="433" t="s">
        <v>511</v>
      </c>
      <c r="H71" s="135"/>
      <c r="I71" s="125"/>
      <c r="J71" s="494"/>
      <c r="K71" s="128"/>
      <c r="L71" s="83"/>
      <c r="M71" s="83"/>
      <c r="N71" s="83"/>
      <c r="O71" s="83"/>
      <c r="P71" s="83"/>
      <c r="Q71" s="107"/>
      <c r="R71" s="499"/>
      <c r="S71" s="190"/>
      <c r="T71" s="190"/>
      <c r="U71" s="191"/>
      <c r="V71" s="191"/>
      <c r="W71" s="190"/>
      <c r="X71" s="190"/>
      <c r="Y71" s="190"/>
      <c r="Z71" s="191"/>
      <c r="AA71" s="191"/>
      <c r="AB71" s="190"/>
      <c r="AC71" s="190"/>
      <c r="AD71" s="190"/>
      <c r="AE71" s="191"/>
      <c r="AF71" s="191"/>
      <c r="AG71" s="54"/>
      <c r="AH71" s="54"/>
      <c r="AI71" s="54"/>
    </row>
    <row r="72" spans="1:35" ht="16" thickBot="1" x14ac:dyDescent="0.45">
      <c r="A72" s="369" t="s">
        <v>232</v>
      </c>
      <c r="B72" s="183">
        <f>IF(Cc2ea&lt;0, "N/A", Cc2ea*1000000000000)</f>
        <v>110.24548285931344</v>
      </c>
      <c r="C72" s="179">
        <f>'Standard Value Calculator'!O32</f>
        <v>120</v>
      </c>
      <c r="D72" s="180">
        <f>C72</f>
        <v>120</v>
      </c>
      <c r="E72" s="181" t="s">
        <v>30</v>
      </c>
      <c r="F72" s="436">
        <f>Fp2_u/1000</f>
        <v>104.95616848200282</v>
      </c>
      <c r="G72" s="434" t="s">
        <v>512</v>
      </c>
      <c r="H72" s="135"/>
      <c r="I72" s="83"/>
      <c r="J72" s="83"/>
      <c r="K72" s="83"/>
      <c r="L72" s="83"/>
      <c r="M72" s="83"/>
      <c r="N72" s="83"/>
      <c r="O72" s="83"/>
      <c r="P72" s="83"/>
      <c r="Q72" s="107"/>
      <c r="R72" s="499"/>
      <c r="S72" s="190"/>
      <c r="T72" s="190"/>
      <c r="U72" s="191"/>
      <c r="V72" s="191"/>
      <c r="W72" s="190"/>
      <c r="X72" s="190"/>
      <c r="Y72" s="190"/>
      <c r="Z72" s="191"/>
      <c r="AA72" s="191"/>
      <c r="AB72" s="190"/>
      <c r="AC72" s="190"/>
      <c r="AD72" s="190"/>
      <c r="AE72" s="191"/>
      <c r="AF72" s="191"/>
      <c r="AG72" s="54"/>
      <c r="AH72" s="54"/>
      <c r="AI72" s="54"/>
    </row>
    <row r="73" spans="1:35" ht="15.5" x14ac:dyDescent="0.4">
      <c r="A73" s="171" t="s">
        <v>709</v>
      </c>
      <c r="B73" s="182">
        <f>Rcea2/1000</f>
        <v>16.587609192000002</v>
      </c>
      <c r="C73" s="144">
        <f>'Standard Value Calculator'!O34</f>
        <v>16.5</v>
      </c>
      <c r="D73" s="149">
        <f>C73</f>
        <v>16.5</v>
      </c>
      <c r="E73" s="169" t="s">
        <v>50</v>
      </c>
      <c r="F73" s="519">
        <f>Fp1_u_Ch2</f>
        <v>1.657436684539729</v>
      </c>
      <c r="G73" s="431" t="s">
        <v>719</v>
      </c>
      <c r="H73" s="135"/>
      <c r="I73" s="83"/>
      <c r="J73" s="83"/>
      <c r="K73" s="83"/>
      <c r="L73" s="83"/>
      <c r="M73" s="83"/>
      <c r="N73" s="83"/>
      <c r="O73" s="83"/>
      <c r="P73" s="83"/>
      <c r="Q73" s="107"/>
      <c r="R73" s="499"/>
      <c r="S73" s="190"/>
      <c r="T73" s="190"/>
      <c r="U73" s="191"/>
      <c r="V73" s="191"/>
      <c r="W73" s="190"/>
      <c r="X73" s="190"/>
      <c r="Y73" s="190"/>
      <c r="Z73" s="191"/>
      <c r="AA73" s="191"/>
      <c r="AB73" s="190"/>
      <c r="AC73" s="190"/>
      <c r="AD73" s="190"/>
      <c r="AE73" s="191"/>
      <c r="AF73" s="191"/>
      <c r="AG73" s="54"/>
      <c r="AH73" s="54"/>
      <c r="AI73" s="54"/>
    </row>
    <row r="74" spans="1:35" ht="15.5" x14ac:dyDescent="0.4">
      <c r="A74" s="172" t="s">
        <v>710</v>
      </c>
      <c r="B74" s="484">
        <f>Cc3ea*1000000000</f>
        <v>1.4537589513586209</v>
      </c>
      <c r="C74" s="144">
        <f>'Standard Value Calculator'!O35</f>
        <v>1.5</v>
      </c>
      <c r="D74" s="149">
        <f>C74</f>
        <v>1.5</v>
      </c>
      <c r="E74" s="170" t="s">
        <v>141</v>
      </c>
      <c r="F74" s="432">
        <f>Fz1_u_Ch2/1000</f>
        <v>6.43050275853561</v>
      </c>
      <c r="G74" s="433" t="s">
        <v>717</v>
      </c>
      <c r="H74" s="135"/>
      <c r="I74" s="83"/>
      <c r="J74" s="83"/>
      <c r="K74" s="83"/>
      <c r="L74" s="83"/>
      <c r="M74" s="83"/>
      <c r="N74" s="83"/>
      <c r="O74" s="83"/>
      <c r="P74" s="83"/>
      <c r="Q74" s="107"/>
      <c r="R74" s="499"/>
      <c r="S74" s="190"/>
      <c r="T74" s="190"/>
      <c r="U74" s="191"/>
      <c r="V74" s="191"/>
      <c r="W74" s="190"/>
      <c r="X74" s="190"/>
      <c r="Y74" s="190"/>
      <c r="Z74" s="191"/>
      <c r="AA74" s="191"/>
      <c r="AB74" s="190"/>
      <c r="AC74" s="190"/>
      <c r="AD74" s="190"/>
      <c r="AE74" s="191"/>
      <c r="AF74" s="191"/>
      <c r="AG74" s="54"/>
      <c r="AH74" s="54"/>
      <c r="AI74" s="54"/>
    </row>
    <row r="75" spans="1:35" ht="16" thickBot="1" x14ac:dyDescent="0.45">
      <c r="A75" s="369" t="s">
        <v>711</v>
      </c>
      <c r="B75" s="183">
        <f>IF(Cc4ea&lt;0, "N/A", Cc4ea*1000000000000)</f>
        <v>80.859339350566984</v>
      </c>
      <c r="C75" s="179">
        <f>IF(1, 'Standard Value Calculator'!O36)</f>
        <v>82</v>
      </c>
      <c r="D75" s="180">
        <f>C75</f>
        <v>82</v>
      </c>
      <c r="E75" s="181" t="s">
        <v>30</v>
      </c>
      <c r="F75" s="436">
        <f>Fp2_u_Ch2/1000</f>
        <v>109.15660496304224</v>
      </c>
      <c r="G75" s="434" t="s">
        <v>718</v>
      </c>
      <c r="H75" s="135"/>
      <c r="I75" s="83"/>
      <c r="J75" s="83"/>
      <c r="K75" s="83"/>
      <c r="L75" s="83"/>
      <c r="M75" s="83"/>
      <c r="N75" s="124" t="s">
        <v>750</v>
      </c>
      <c r="O75" s="129">
        <v>0.3</v>
      </c>
      <c r="P75" s="133" t="s">
        <v>116</v>
      </c>
      <c r="Q75" s="107"/>
      <c r="R75" s="499"/>
      <c r="S75" s="190"/>
      <c r="T75" s="190"/>
      <c r="U75" s="191"/>
      <c r="V75" s="191"/>
      <c r="W75" s="190"/>
      <c r="X75" s="190"/>
      <c r="Y75" s="190"/>
      <c r="Z75" s="191"/>
      <c r="AA75" s="191"/>
      <c r="AB75" s="190"/>
      <c r="AC75" s="190"/>
      <c r="AD75" s="190"/>
      <c r="AE75" s="191"/>
      <c r="AF75" s="191"/>
      <c r="AG75" s="54"/>
      <c r="AH75" s="54"/>
      <c r="AI75" s="54"/>
    </row>
    <row r="76" spans="1:35" ht="13.5" thickBot="1" x14ac:dyDescent="0.35">
      <c r="A76" s="127"/>
      <c r="B76" s="125"/>
      <c r="C76" s="125"/>
      <c r="D76" s="128"/>
      <c r="E76" s="128"/>
      <c r="F76" s="128"/>
      <c r="G76" s="128"/>
      <c r="H76" s="128"/>
      <c r="I76" s="83"/>
      <c r="J76" s="83"/>
      <c r="K76" s="83"/>
      <c r="L76" s="83"/>
      <c r="M76" s="83"/>
      <c r="N76" s="83"/>
      <c r="O76" s="83"/>
      <c r="P76" s="83"/>
      <c r="Q76" s="107"/>
      <c r="R76" s="499"/>
      <c r="S76" s="190"/>
      <c r="T76" s="190"/>
      <c r="U76" s="191"/>
      <c r="V76" s="191"/>
      <c r="W76" s="190"/>
      <c r="X76" s="190"/>
      <c r="Y76" s="190"/>
      <c r="Z76" s="191"/>
      <c r="AA76" s="191"/>
      <c r="AB76" s="190"/>
      <c r="AC76" s="190"/>
      <c r="AD76" s="190"/>
      <c r="AE76" s="191"/>
      <c r="AF76" s="191"/>
      <c r="AG76" s="54"/>
      <c r="AH76" s="54"/>
      <c r="AI76" s="54"/>
    </row>
    <row r="77" spans="1:35" s="86" customFormat="1" ht="18.5" thickBot="1" x14ac:dyDescent="0.45">
      <c r="A77" s="188" t="s">
        <v>234</v>
      </c>
      <c r="B77" s="139"/>
      <c r="C77" s="150"/>
      <c r="D77" s="150"/>
      <c r="E77" s="150"/>
      <c r="F77" s="150"/>
      <c r="G77" s="150"/>
      <c r="H77" s="150"/>
      <c r="I77" s="84"/>
      <c r="J77" s="84"/>
      <c r="K77" s="84"/>
      <c r="L77" s="84"/>
      <c r="M77" s="84"/>
      <c r="N77" s="84"/>
      <c r="O77" s="84"/>
      <c r="P77" s="84"/>
      <c r="Q77" s="85"/>
      <c r="R77" s="502"/>
      <c r="S77" s="192"/>
      <c r="T77" s="192"/>
      <c r="U77" s="193"/>
      <c r="V77" s="193"/>
      <c r="W77" s="192"/>
      <c r="X77" s="192"/>
      <c r="Y77" s="192"/>
      <c r="Z77" s="193"/>
      <c r="AA77" s="193"/>
      <c r="AB77" s="192"/>
      <c r="AC77" s="192"/>
      <c r="AD77" s="192"/>
      <c r="AE77" s="193"/>
      <c r="AF77" s="193"/>
      <c r="AG77" s="55"/>
      <c r="AH77" s="55"/>
      <c r="AI77" s="55"/>
    </row>
    <row r="78" spans="1:35" x14ac:dyDescent="0.3">
      <c r="A78" s="186"/>
      <c r="B78" s="135"/>
      <c r="C78" s="128"/>
      <c r="D78" s="128"/>
      <c r="E78" s="128"/>
      <c r="F78" s="128"/>
      <c r="G78" s="128"/>
      <c r="H78" s="128"/>
      <c r="I78" s="83"/>
      <c r="J78" s="83"/>
      <c r="K78" s="83"/>
      <c r="L78" s="83"/>
      <c r="M78" s="83"/>
      <c r="N78" s="83"/>
      <c r="O78" s="83"/>
      <c r="P78" s="83"/>
      <c r="Q78" s="107"/>
      <c r="R78" s="499"/>
      <c r="S78" s="190"/>
      <c r="T78" s="190"/>
      <c r="U78" s="191"/>
      <c r="V78" s="191"/>
      <c r="W78" s="190"/>
      <c r="X78" s="190"/>
      <c r="Y78" s="190"/>
      <c r="Z78" s="191"/>
      <c r="AA78" s="191"/>
      <c r="AB78" s="190"/>
      <c r="AC78" s="190"/>
      <c r="AD78" s="190"/>
      <c r="AE78" s="191"/>
      <c r="AF78" s="191"/>
      <c r="AG78" s="54"/>
      <c r="AH78" s="54"/>
      <c r="AI78" s="54"/>
    </row>
    <row r="79" spans="1:35" ht="18" thickBot="1" x14ac:dyDescent="0.4">
      <c r="A79" s="151" t="s">
        <v>193</v>
      </c>
      <c r="B79" s="132"/>
      <c r="C79" s="128"/>
      <c r="D79" s="128"/>
      <c r="E79" s="128"/>
      <c r="F79" s="128"/>
      <c r="G79" s="128"/>
      <c r="H79" s="128"/>
      <c r="I79" s="83"/>
      <c r="J79" s="83"/>
      <c r="K79" s="83"/>
      <c r="L79" s="83"/>
      <c r="M79" s="83"/>
      <c r="N79" s="83"/>
      <c r="O79" s="83"/>
      <c r="P79" s="83"/>
      <c r="Q79" s="107"/>
      <c r="R79" s="499"/>
      <c r="S79" s="190"/>
      <c r="T79" s="190"/>
      <c r="U79" s="191"/>
      <c r="V79" s="191"/>
      <c r="W79" s="190"/>
      <c r="X79" s="190"/>
      <c r="Y79" s="190"/>
      <c r="Z79" s="191"/>
      <c r="AA79" s="191"/>
      <c r="AB79" s="190"/>
      <c r="AC79" s="190"/>
      <c r="AD79" s="190"/>
      <c r="AE79" s="191"/>
      <c r="AF79" s="191"/>
      <c r="AG79" s="54"/>
      <c r="AH79" s="54"/>
      <c r="AI79" s="54"/>
    </row>
    <row r="80" spans="1:35" ht="18" customHeight="1" x14ac:dyDescent="0.4">
      <c r="A80" s="173"/>
      <c r="B80" s="174"/>
      <c r="C80" s="561"/>
      <c r="D80" s="561"/>
      <c r="E80" s="561"/>
      <c r="F80" s="204" t="str">
        <f>IF(MODE=1, "Ch1 Power MOSFETs", "Power MOSFETs")</f>
        <v>Power MOSFETs</v>
      </c>
      <c r="G80" s="636" t="s">
        <v>778</v>
      </c>
      <c r="H80" s="561"/>
      <c r="I80" s="204" t="str">
        <f>IF(MODE=1, "Ch2 Power MOSFETs ", "Power MOSFETs ")</f>
        <v xml:space="preserve">Power MOSFETs </v>
      </c>
      <c r="J80" s="637" t="s">
        <v>779</v>
      </c>
      <c r="K80" s="83"/>
      <c r="L80" s="83"/>
      <c r="M80" s="83"/>
      <c r="N80" s="83"/>
      <c r="O80" s="83"/>
      <c r="P80" s="83"/>
      <c r="Q80" s="107"/>
      <c r="R80" s="499"/>
      <c r="S80" s="190"/>
      <c r="T80" s="121"/>
      <c r="U80" s="121"/>
      <c r="V80" s="191"/>
      <c r="W80" s="190"/>
      <c r="X80" s="190"/>
      <c r="Y80" s="190"/>
      <c r="Z80" s="191"/>
      <c r="AA80" s="191"/>
      <c r="AB80" s="190"/>
      <c r="AC80" s="190"/>
      <c r="AD80" s="190"/>
      <c r="AE80" s="191"/>
      <c r="AF80" s="191"/>
      <c r="AG80" s="54"/>
      <c r="AH80" s="54"/>
      <c r="AI80" s="54"/>
    </row>
    <row r="81" spans="1:35" ht="14.25" customHeight="1" x14ac:dyDescent="0.3">
      <c r="A81" s="632"/>
      <c r="B81" s="133"/>
      <c r="C81" s="633"/>
      <c r="D81" s="634"/>
      <c r="E81" s="635" t="s">
        <v>863</v>
      </c>
      <c r="F81" s="128"/>
      <c r="G81" s="163"/>
      <c r="H81" s="665" t="s">
        <v>862</v>
      </c>
      <c r="I81" s="666"/>
      <c r="J81" s="163"/>
      <c r="K81" s="83"/>
      <c r="L81" s="83"/>
      <c r="M81" s="83"/>
      <c r="N81" s="83"/>
      <c r="O81" s="83"/>
      <c r="P81" s="83"/>
      <c r="Q81" s="107"/>
      <c r="R81" s="499"/>
      <c r="S81" s="190"/>
      <c r="T81" s="121"/>
      <c r="U81" s="121"/>
      <c r="V81" s="191"/>
      <c r="W81" s="190"/>
      <c r="X81" s="190"/>
      <c r="Y81" s="190"/>
      <c r="Z81" s="191"/>
      <c r="AA81" s="191"/>
      <c r="AB81" s="190"/>
      <c r="AC81" s="190"/>
      <c r="AD81" s="190"/>
      <c r="AE81" s="191"/>
      <c r="AF81" s="191"/>
      <c r="AG81" s="54"/>
      <c r="AH81" s="54"/>
      <c r="AI81" s="54"/>
    </row>
    <row r="82" spans="1:35" ht="14.4" customHeight="1" x14ac:dyDescent="0.3">
      <c r="A82" s="482"/>
      <c r="B82" s="113"/>
      <c r="C82" s="113"/>
      <c r="D82" s="113"/>
      <c r="E82" s="483" t="s">
        <v>754</v>
      </c>
      <c r="F82" s="671" t="s">
        <v>547</v>
      </c>
      <c r="G82" s="672"/>
      <c r="H82" s="491" t="s">
        <v>754</v>
      </c>
      <c r="I82" s="490" t="s">
        <v>547</v>
      </c>
      <c r="J82" s="261"/>
      <c r="K82" s="83"/>
      <c r="L82" s="83"/>
      <c r="M82" s="83"/>
      <c r="N82" s="83"/>
      <c r="O82" s="83"/>
      <c r="P82" s="83"/>
      <c r="Q82" s="107"/>
      <c r="R82" s="499"/>
      <c r="S82" s="190"/>
      <c r="T82" s="121"/>
      <c r="U82" s="121"/>
      <c r="V82" s="191"/>
      <c r="W82" s="190"/>
      <c r="X82" s="190"/>
      <c r="Y82" s="190"/>
      <c r="Z82" s="191"/>
      <c r="AA82" s="191"/>
      <c r="AB82" s="190"/>
      <c r="AC82" s="190"/>
      <c r="AD82" s="190"/>
      <c r="AE82" s="191"/>
      <c r="AF82" s="191"/>
      <c r="AG82" s="54"/>
      <c r="AH82" s="54"/>
      <c r="AI82" s="54"/>
    </row>
    <row r="83" spans="1:35" ht="14.4" customHeight="1" x14ac:dyDescent="0.4">
      <c r="A83" s="127"/>
      <c r="B83" s="128"/>
      <c r="C83" s="133"/>
      <c r="D83" s="124" t="s">
        <v>272</v>
      </c>
      <c r="E83" s="254">
        <v>1.8</v>
      </c>
      <c r="F83" s="254">
        <v>1.8</v>
      </c>
      <c r="G83" s="163" t="s">
        <v>49</v>
      </c>
      <c r="H83" s="129">
        <v>6</v>
      </c>
      <c r="I83" s="129">
        <v>2.5</v>
      </c>
      <c r="J83" s="163" t="s">
        <v>49</v>
      </c>
      <c r="K83" s="83"/>
      <c r="L83" s="83"/>
      <c r="M83" s="83"/>
      <c r="N83" s="83"/>
      <c r="O83" s="83"/>
      <c r="P83" s="83"/>
      <c r="Q83" s="107"/>
      <c r="R83" s="499"/>
      <c r="S83" s="190"/>
      <c r="T83" s="121"/>
      <c r="U83" s="121"/>
      <c r="V83" s="191"/>
      <c r="W83" s="190"/>
      <c r="X83" s="190"/>
      <c r="Y83" s="190"/>
      <c r="Z83" s="191"/>
      <c r="AA83" s="191"/>
      <c r="AB83" s="190"/>
      <c r="AC83" s="190"/>
      <c r="AD83" s="190"/>
      <c r="AE83" s="191"/>
      <c r="AF83" s="191"/>
      <c r="AG83" s="54"/>
      <c r="AH83" s="54"/>
      <c r="AI83" s="54"/>
    </row>
    <row r="84" spans="1:35" ht="14.4" customHeight="1" x14ac:dyDescent="0.4">
      <c r="A84" s="127"/>
      <c r="B84" s="128"/>
      <c r="C84" s="133"/>
      <c r="D84" s="124" t="s">
        <v>273</v>
      </c>
      <c r="E84" s="129">
        <v>12</v>
      </c>
      <c r="F84" s="129">
        <v>12</v>
      </c>
      <c r="G84" s="163" t="s">
        <v>65</v>
      </c>
      <c r="H84" s="129">
        <v>8</v>
      </c>
      <c r="I84" s="129">
        <v>25</v>
      </c>
      <c r="J84" s="163" t="s">
        <v>65</v>
      </c>
      <c r="K84" s="83"/>
      <c r="L84" s="83"/>
      <c r="M84" s="83"/>
      <c r="N84" s="83"/>
      <c r="O84" s="83"/>
      <c r="P84" s="83"/>
      <c r="Q84" s="107"/>
      <c r="R84" s="499"/>
      <c r="S84" s="190"/>
      <c r="T84" s="121"/>
      <c r="U84" s="121"/>
      <c r="V84" s="191"/>
      <c r="W84" s="190"/>
      <c r="X84" s="190"/>
      <c r="Y84" s="190"/>
      <c r="Z84" s="191"/>
      <c r="AA84" s="191"/>
      <c r="AB84" s="190"/>
      <c r="AC84" s="190"/>
      <c r="AD84" s="190"/>
      <c r="AE84" s="191"/>
      <c r="AF84" s="191"/>
      <c r="AG84" s="54"/>
      <c r="AH84" s="54"/>
      <c r="AI84" s="54"/>
    </row>
    <row r="85" spans="1:35" ht="14.4" customHeight="1" x14ac:dyDescent="0.4">
      <c r="A85" s="127"/>
      <c r="B85" s="128"/>
      <c r="C85" s="133"/>
      <c r="D85" s="124" t="s">
        <v>274</v>
      </c>
      <c r="E85" s="129">
        <v>3.1</v>
      </c>
      <c r="F85" s="129">
        <v>3.1</v>
      </c>
      <c r="G85" s="163" t="s">
        <v>65</v>
      </c>
      <c r="H85" s="129">
        <v>1.4</v>
      </c>
      <c r="I85" s="129">
        <v>4.5</v>
      </c>
      <c r="J85" s="163" t="s">
        <v>65</v>
      </c>
      <c r="K85" s="83"/>
      <c r="L85" s="83"/>
      <c r="M85" s="83"/>
      <c r="N85" s="83"/>
      <c r="O85" s="83"/>
      <c r="P85" s="83"/>
      <c r="Q85" s="107"/>
      <c r="R85" s="499"/>
      <c r="S85" s="190"/>
      <c r="T85" s="121"/>
      <c r="U85" s="121"/>
      <c r="V85" s="191"/>
      <c r="W85" s="190"/>
      <c r="X85" s="190"/>
      <c r="Y85" s="190"/>
      <c r="Z85" s="191"/>
      <c r="AA85" s="191"/>
      <c r="AB85" s="190"/>
      <c r="AC85" s="190"/>
      <c r="AD85" s="190"/>
      <c r="AE85" s="191"/>
      <c r="AF85" s="191"/>
      <c r="AG85" s="54"/>
      <c r="AH85" s="54"/>
      <c r="AI85" s="54"/>
    </row>
    <row r="86" spans="1:35" ht="14.4" customHeight="1" x14ac:dyDescent="0.4">
      <c r="A86" s="127"/>
      <c r="B86" s="128"/>
      <c r="C86" s="133"/>
      <c r="D86" s="124" t="s">
        <v>275</v>
      </c>
      <c r="E86" s="129">
        <v>3.6</v>
      </c>
      <c r="F86" s="129">
        <v>3.6</v>
      </c>
      <c r="G86" s="163" t="s">
        <v>65</v>
      </c>
      <c r="H86" s="129">
        <v>3.8</v>
      </c>
      <c r="I86" s="129">
        <v>12</v>
      </c>
      <c r="J86" s="163" t="s">
        <v>65</v>
      </c>
      <c r="K86" s="83"/>
      <c r="L86" s="83"/>
      <c r="M86" s="83"/>
      <c r="N86" s="83"/>
      <c r="O86" s="83"/>
      <c r="P86" s="83"/>
      <c r="Q86" s="107"/>
      <c r="R86" s="499"/>
      <c r="S86" s="190"/>
      <c r="T86" s="121"/>
      <c r="U86" s="121"/>
      <c r="V86" s="191"/>
      <c r="W86" s="190"/>
      <c r="X86" s="190"/>
      <c r="Y86" s="190"/>
      <c r="Z86" s="191"/>
      <c r="AA86" s="191"/>
      <c r="AB86" s="190"/>
      <c r="AC86" s="190"/>
      <c r="AD86" s="190"/>
      <c r="AE86" s="191"/>
      <c r="AF86" s="191"/>
      <c r="AG86" s="54"/>
      <c r="AH86" s="54"/>
      <c r="AI86" s="54"/>
    </row>
    <row r="87" spans="1:35" ht="14.4" customHeight="1" x14ac:dyDescent="0.4">
      <c r="A87" s="482"/>
      <c r="B87" s="113"/>
      <c r="C87" s="113"/>
      <c r="D87" s="124" t="s">
        <v>821</v>
      </c>
      <c r="E87" s="639"/>
      <c r="F87" s="129">
        <v>40</v>
      </c>
      <c r="G87" s="163" t="s">
        <v>65</v>
      </c>
      <c r="H87" s="639"/>
      <c r="I87" s="129">
        <v>30</v>
      </c>
      <c r="J87" s="163" t="s">
        <v>65</v>
      </c>
      <c r="K87" s="83"/>
      <c r="L87" s="83"/>
      <c r="M87" s="83"/>
      <c r="N87" s="83"/>
      <c r="O87" s="83"/>
      <c r="P87" s="83"/>
      <c r="Q87" s="107"/>
      <c r="R87" s="499"/>
      <c r="S87" s="190"/>
      <c r="T87" s="121"/>
      <c r="U87" s="121"/>
      <c r="V87" s="191"/>
      <c r="W87" s="190"/>
      <c r="X87" s="190"/>
      <c r="Y87" s="190"/>
      <c r="Z87" s="191"/>
      <c r="AA87" s="191"/>
      <c r="AB87" s="190"/>
      <c r="AC87" s="190"/>
      <c r="AD87" s="190"/>
      <c r="AE87" s="191"/>
      <c r="AF87" s="191"/>
      <c r="AG87" s="54"/>
      <c r="AH87" s="54"/>
      <c r="AI87" s="54"/>
    </row>
    <row r="88" spans="1:35" ht="14.4" customHeight="1" x14ac:dyDescent="0.4">
      <c r="A88" s="482"/>
      <c r="B88" s="113"/>
      <c r="C88" s="113"/>
      <c r="D88" s="124" t="s">
        <v>820</v>
      </c>
      <c r="E88" s="129">
        <v>570</v>
      </c>
      <c r="F88" s="129">
        <v>570</v>
      </c>
      <c r="G88" s="163" t="s">
        <v>30</v>
      </c>
      <c r="H88" s="129">
        <v>213</v>
      </c>
      <c r="I88" s="129">
        <v>1700</v>
      </c>
      <c r="J88" s="163" t="s">
        <v>30</v>
      </c>
      <c r="K88" s="83"/>
      <c r="L88" s="83"/>
      <c r="M88" s="83"/>
      <c r="N88" s="83"/>
      <c r="O88" s="83"/>
      <c r="P88" s="83"/>
      <c r="Q88" s="107"/>
      <c r="R88" s="499"/>
      <c r="S88" s="190"/>
      <c r="T88" s="121"/>
      <c r="U88" s="121"/>
      <c r="V88" s="191"/>
      <c r="W88" s="190"/>
      <c r="X88" s="190"/>
      <c r="Y88" s="190"/>
      <c r="Z88" s="191"/>
      <c r="AA88" s="191"/>
      <c r="AB88" s="190"/>
      <c r="AC88" s="190"/>
      <c r="AD88" s="190"/>
      <c r="AE88" s="191"/>
      <c r="AF88" s="191"/>
      <c r="AG88" s="54"/>
      <c r="AH88" s="54"/>
      <c r="AI88" s="54"/>
    </row>
    <row r="89" spans="1:35" ht="14.4" customHeight="1" x14ac:dyDescent="0.4">
      <c r="A89" s="127"/>
      <c r="B89" s="128"/>
      <c r="C89" s="133"/>
      <c r="D89" s="124" t="s">
        <v>276</v>
      </c>
      <c r="E89" s="129">
        <v>0.5</v>
      </c>
      <c r="F89" s="129">
        <v>0.5</v>
      </c>
      <c r="G89" s="163" t="s">
        <v>138</v>
      </c>
      <c r="H89" s="129">
        <v>0.5</v>
      </c>
      <c r="I89" s="129">
        <v>0.5</v>
      </c>
      <c r="J89" s="163" t="s">
        <v>138</v>
      </c>
      <c r="K89" s="83"/>
      <c r="L89" s="83"/>
      <c r="M89" s="83"/>
      <c r="N89" s="83"/>
      <c r="O89" s="83"/>
      <c r="P89" s="83"/>
      <c r="Q89" s="107"/>
      <c r="R89" s="499"/>
      <c r="S89" s="190"/>
      <c r="T89" s="121"/>
      <c r="U89" s="121"/>
      <c r="V89" s="191"/>
      <c r="W89" s="190"/>
      <c r="X89" s="190"/>
      <c r="Y89" s="190"/>
      <c r="Z89" s="191"/>
      <c r="AA89" s="191"/>
      <c r="AB89" s="190"/>
      <c r="AC89" s="190"/>
      <c r="AD89" s="190"/>
      <c r="AE89" s="191"/>
      <c r="AF89" s="191"/>
      <c r="AG89" s="54"/>
      <c r="AH89" s="54"/>
      <c r="AI89" s="54"/>
    </row>
    <row r="90" spans="1:35" ht="14.4" customHeight="1" x14ac:dyDescent="0.4">
      <c r="A90" s="127"/>
      <c r="B90" s="128"/>
      <c r="C90" s="133"/>
      <c r="D90" s="124" t="s">
        <v>277</v>
      </c>
      <c r="E90" s="129">
        <v>300</v>
      </c>
      <c r="F90" s="129">
        <v>300</v>
      </c>
      <c r="G90" s="163" t="s">
        <v>66</v>
      </c>
      <c r="H90" s="129">
        <v>64</v>
      </c>
      <c r="I90" s="129">
        <v>280</v>
      </c>
      <c r="J90" s="163" t="s">
        <v>66</v>
      </c>
      <c r="K90" s="83"/>
      <c r="L90" s="83"/>
      <c r="M90" s="83"/>
      <c r="N90" s="83"/>
      <c r="O90" s="83"/>
      <c r="P90" s="83"/>
      <c r="Q90" s="107"/>
      <c r="R90" s="499"/>
      <c r="S90" s="190"/>
      <c r="T90" s="121"/>
      <c r="U90" s="121"/>
      <c r="V90" s="191"/>
      <c r="W90" s="190"/>
      <c r="X90" s="190"/>
      <c r="Y90" s="190"/>
      <c r="Z90" s="191"/>
      <c r="AA90" s="191"/>
      <c r="AB90" s="190"/>
      <c r="AC90" s="190"/>
      <c r="AD90" s="190"/>
      <c r="AE90" s="191"/>
      <c r="AF90" s="191"/>
      <c r="AG90" s="54"/>
      <c r="AH90" s="54"/>
      <c r="AI90" s="54"/>
    </row>
    <row r="91" spans="1:35" ht="14.4" customHeight="1" x14ac:dyDescent="0.4">
      <c r="A91" s="127"/>
      <c r="B91" s="128"/>
      <c r="C91" s="133"/>
      <c r="D91" s="124" t="s">
        <v>545</v>
      </c>
      <c r="E91" s="129">
        <v>2.8</v>
      </c>
      <c r="F91" s="129">
        <v>2.8</v>
      </c>
      <c r="G91" s="163" t="s">
        <v>0</v>
      </c>
      <c r="H91" s="129">
        <v>2.9</v>
      </c>
      <c r="I91" s="129">
        <v>3</v>
      </c>
      <c r="J91" s="163" t="s">
        <v>0</v>
      </c>
      <c r="K91" s="83"/>
      <c r="L91" s="83"/>
      <c r="M91" s="83"/>
      <c r="N91" s="83"/>
      <c r="O91" s="83"/>
      <c r="P91" s="83"/>
      <c r="Q91" s="107"/>
      <c r="R91" s="499"/>
      <c r="S91" s="190"/>
      <c r="T91" s="121"/>
      <c r="U91" s="121"/>
      <c r="V91" s="191"/>
      <c r="W91" s="190"/>
      <c r="X91" s="190"/>
      <c r="Y91" s="190"/>
      <c r="Z91" s="191"/>
      <c r="AA91" s="191"/>
      <c r="AB91" s="190"/>
      <c r="AC91" s="190"/>
      <c r="AD91" s="190"/>
      <c r="AE91" s="191"/>
      <c r="AF91" s="191"/>
      <c r="AG91" s="54"/>
      <c r="AH91" s="54"/>
      <c r="AI91" s="54"/>
    </row>
    <row r="92" spans="1:35" ht="14.4" customHeight="1" x14ac:dyDescent="0.4">
      <c r="A92" s="127"/>
      <c r="B92" s="128"/>
      <c r="C92" s="133"/>
      <c r="D92" s="124" t="s">
        <v>542</v>
      </c>
      <c r="E92" s="129">
        <v>0</v>
      </c>
      <c r="F92" s="129">
        <v>0</v>
      </c>
      <c r="G92" s="163" t="s">
        <v>0</v>
      </c>
      <c r="H92" s="129">
        <v>0.7</v>
      </c>
      <c r="I92" s="129">
        <v>0.7</v>
      </c>
      <c r="J92" s="163" t="s">
        <v>0</v>
      </c>
      <c r="K92" s="83"/>
      <c r="L92" s="83"/>
      <c r="M92" s="83"/>
      <c r="N92" s="83"/>
      <c r="O92" s="83"/>
      <c r="P92" s="83"/>
      <c r="Q92" s="107"/>
      <c r="R92" s="499"/>
      <c r="S92" s="190"/>
      <c r="T92" s="121"/>
      <c r="U92" s="121"/>
      <c r="V92" s="191"/>
      <c r="W92" s="190"/>
      <c r="X92" s="190"/>
      <c r="Y92" s="190"/>
      <c r="Z92" s="191"/>
      <c r="AA92" s="191"/>
      <c r="AB92" s="190"/>
      <c r="AC92" s="190"/>
      <c r="AD92" s="190"/>
      <c r="AE92" s="191"/>
      <c r="AF92" s="191"/>
      <c r="AG92" s="54"/>
      <c r="AH92" s="54"/>
      <c r="AI92" s="54"/>
    </row>
    <row r="93" spans="1:35" ht="14.25" customHeight="1" x14ac:dyDescent="0.4">
      <c r="A93" s="127"/>
      <c r="B93" s="128"/>
      <c r="C93" s="128"/>
      <c r="D93" s="124" t="s">
        <v>544</v>
      </c>
      <c r="E93" s="2"/>
      <c r="F93" s="129">
        <v>0</v>
      </c>
      <c r="G93" s="163" t="s">
        <v>65</v>
      </c>
      <c r="H93" s="113"/>
      <c r="I93" s="129">
        <v>60</v>
      </c>
      <c r="J93" s="163" t="s">
        <v>65</v>
      </c>
      <c r="K93" s="83"/>
      <c r="L93" s="83"/>
      <c r="M93" s="83"/>
      <c r="N93" s="83"/>
      <c r="O93" s="83"/>
      <c r="P93" s="83"/>
      <c r="Q93" s="107"/>
      <c r="R93" s="499"/>
      <c r="S93" s="190"/>
      <c r="T93" s="121"/>
      <c r="U93" s="121"/>
      <c r="V93" s="191"/>
      <c r="W93" s="190"/>
      <c r="X93" s="190"/>
      <c r="Y93" s="190"/>
      <c r="Z93" s="191"/>
      <c r="AA93" s="191"/>
      <c r="AB93" s="190"/>
      <c r="AC93" s="190"/>
      <c r="AD93" s="190"/>
      <c r="AE93" s="191"/>
      <c r="AF93" s="191"/>
      <c r="AG93" s="54"/>
      <c r="AH93" s="54"/>
      <c r="AI93" s="54"/>
    </row>
    <row r="94" spans="1:35" ht="14.4" customHeight="1" thickBot="1" x14ac:dyDescent="0.45">
      <c r="A94" s="195"/>
      <c r="B94" s="176"/>
      <c r="C94" s="196"/>
      <c r="D94" s="177" t="s">
        <v>278</v>
      </c>
      <c r="E94" s="250">
        <v>38</v>
      </c>
      <c r="F94" s="250">
        <v>38</v>
      </c>
      <c r="G94" s="178" t="s">
        <v>205</v>
      </c>
      <c r="H94" s="250">
        <v>50</v>
      </c>
      <c r="I94" s="250">
        <v>38</v>
      </c>
      <c r="J94" s="178" t="s">
        <v>205</v>
      </c>
      <c r="K94" s="83"/>
      <c r="L94" s="83"/>
      <c r="M94" s="83"/>
      <c r="N94" s="83"/>
      <c r="O94" s="83"/>
      <c r="P94" s="83"/>
      <c r="Q94" s="107"/>
      <c r="R94" s="499"/>
      <c r="S94" s="190"/>
      <c r="T94" s="121"/>
      <c r="U94" s="121"/>
      <c r="V94" s="191"/>
      <c r="W94" s="190"/>
      <c r="X94" s="190"/>
      <c r="Y94" s="190"/>
      <c r="Z94" s="191"/>
      <c r="AA94" s="191"/>
      <c r="AB94" s="190"/>
      <c r="AC94" s="190"/>
      <c r="AD94" s="190"/>
      <c r="AE94" s="191"/>
      <c r="AF94" s="191"/>
      <c r="AG94" s="54"/>
      <c r="AH94" s="54"/>
      <c r="AI94" s="54"/>
    </row>
    <row r="95" spans="1:35" ht="14.4" customHeight="1" thickBot="1" x14ac:dyDescent="0.35">
      <c r="A95" s="127"/>
      <c r="B95" s="128"/>
      <c r="C95" s="133"/>
      <c r="D95" s="124"/>
      <c r="E95" s="194"/>
      <c r="F95" s="197"/>
      <c r="G95" s="128"/>
      <c r="H95" s="128"/>
      <c r="I95" s="83"/>
      <c r="J95" s="83"/>
      <c r="K95" s="83"/>
      <c r="L95" s="83"/>
      <c r="M95" s="83"/>
      <c r="N95" s="83"/>
      <c r="O95" s="83"/>
      <c r="P95" s="83"/>
      <c r="Q95" s="107"/>
      <c r="R95" s="499"/>
      <c r="S95" s="190"/>
      <c r="T95" s="121"/>
      <c r="U95" s="121"/>
      <c r="V95" s="191"/>
      <c r="W95" s="190"/>
      <c r="X95" s="190"/>
      <c r="Y95" s="190"/>
      <c r="Z95" s="191"/>
      <c r="AA95" s="191"/>
      <c r="AB95" s="190"/>
      <c r="AC95" s="190"/>
      <c r="AD95" s="190"/>
      <c r="AE95" s="191"/>
      <c r="AF95" s="191"/>
      <c r="AG95" s="54"/>
      <c r="AH95" s="54"/>
      <c r="AI95" s="54"/>
    </row>
    <row r="96" spans="1:35" ht="14.4" customHeight="1" x14ac:dyDescent="0.3">
      <c r="A96" s="608" t="s">
        <v>510</v>
      </c>
      <c r="B96" s="472"/>
      <c r="C96" s="473"/>
      <c r="D96" s="485"/>
      <c r="E96" s="601" t="str">
        <f>CHOOSE(MODE, "Ch1", "")</f>
        <v/>
      </c>
      <c r="F96" s="602" t="str">
        <f>CHOOSE(MODE, "Ch2", "")</f>
        <v/>
      </c>
      <c r="G96" s="474"/>
      <c r="H96" s="128"/>
      <c r="I96" s="83"/>
      <c r="J96" s="83"/>
      <c r="K96" s="83"/>
      <c r="L96" s="83"/>
      <c r="M96" s="83"/>
      <c r="N96" s="83"/>
      <c r="O96" s="83"/>
      <c r="P96" s="83"/>
      <c r="Q96" s="107"/>
      <c r="R96" s="499"/>
      <c r="S96" s="190"/>
      <c r="T96" s="121"/>
      <c r="U96" s="121"/>
      <c r="V96" s="191"/>
      <c r="W96" s="190"/>
      <c r="X96" s="190"/>
      <c r="Y96" s="190"/>
      <c r="Z96" s="191"/>
      <c r="AA96" s="191"/>
      <c r="AB96" s="190"/>
      <c r="AC96" s="190"/>
      <c r="AD96" s="190"/>
      <c r="AE96" s="191"/>
      <c r="AF96" s="191"/>
      <c r="AG96" s="54"/>
      <c r="AH96" s="54"/>
      <c r="AI96" s="54"/>
    </row>
    <row r="97" spans="1:35" ht="14.4" customHeight="1" x14ac:dyDescent="0.4">
      <c r="A97" s="127"/>
      <c r="B97" s="128"/>
      <c r="C97" s="128"/>
      <c r="D97" s="124" t="s">
        <v>546</v>
      </c>
      <c r="E97" s="251">
        <v>0.72</v>
      </c>
      <c r="F97" s="251">
        <v>0</v>
      </c>
      <c r="G97" s="163" t="s">
        <v>0</v>
      </c>
      <c r="H97" s="128"/>
      <c r="I97" s="83"/>
      <c r="J97" s="83"/>
      <c r="K97" s="83"/>
      <c r="L97" s="83"/>
      <c r="M97" s="83"/>
      <c r="N97" s="83"/>
      <c r="O97" s="83"/>
      <c r="P97" s="83"/>
      <c r="Q97" s="107"/>
      <c r="R97" s="499"/>
      <c r="S97" s="190"/>
      <c r="T97" s="121"/>
      <c r="U97" s="121"/>
      <c r="V97" s="191"/>
      <c r="W97" s="190"/>
      <c r="X97" s="190"/>
      <c r="Y97" s="190"/>
      <c r="Z97" s="191"/>
      <c r="AA97" s="191"/>
      <c r="AB97" s="190"/>
      <c r="AC97" s="190"/>
      <c r="AD97" s="190"/>
      <c r="AE97" s="191"/>
      <c r="AF97" s="191"/>
      <c r="AG97" s="54"/>
      <c r="AH97" s="54"/>
      <c r="AI97" s="54"/>
    </row>
    <row r="98" spans="1:35" ht="14.4" customHeight="1" thickBot="1" x14ac:dyDescent="0.45">
      <c r="A98" s="195"/>
      <c r="B98" s="176"/>
      <c r="C98" s="176"/>
      <c r="D98" s="177" t="s">
        <v>543</v>
      </c>
      <c r="E98" s="252">
        <v>4.5</v>
      </c>
      <c r="F98" s="252">
        <v>0</v>
      </c>
      <c r="G98" s="178" t="s">
        <v>65</v>
      </c>
      <c r="H98" s="128"/>
      <c r="I98" s="83"/>
      <c r="J98" s="83"/>
      <c r="K98" s="83"/>
      <c r="L98" s="83"/>
      <c r="M98" s="83"/>
      <c r="N98" s="83"/>
      <c r="O98" s="83"/>
      <c r="P98" s="83"/>
      <c r="Q98" s="107"/>
      <c r="R98" s="499"/>
      <c r="S98" s="190"/>
      <c r="T98" s="121"/>
      <c r="U98" s="121"/>
      <c r="V98" s="191"/>
      <c r="W98" s="190"/>
      <c r="X98" s="190"/>
      <c r="Y98" s="190"/>
      <c r="Z98" s="191"/>
      <c r="AA98" s="191"/>
      <c r="AB98" s="190"/>
      <c r="AC98" s="190"/>
      <c r="AD98" s="190"/>
      <c r="AE98" s="191"/>
      <c r="AF98" s="191"/>
      <c r="AG98" s="54"/>
      <c r="AH98" s="54"/>
      <c r="AI98" s="54"/>
    </row>
    <row r="99" spans="1:35" ht="14.4" customHeight="1" x14ac:dyDescent="0.3">
      <c r="A99" s="186"/>
      <c r="B99" s="135"/>
      <c r="C99" s="135"/>
      <c r="D99" s="638"/>
      <c r="E99" s="113"/>
      <c r="F99" s="113"/>
      <c r="G99" s="113"/>
      <c r="H99" s="128"/>
      <c r="I99" s="83"/>
      <c r="J99" s="83"/>
      <c r="K99" s="83"/>
      <c r="L99" s="83"/>
      <c r="M99" s="83"/>
      <c r="N99" s="83"/>
      <c r="O99" s="83"/>
      <c r="P99" s="83"/>
      <c r="Q99" s="107"/>
      <c r="R99" s="499"/>
      <c r="S99" s="190"/>
      <c r="T99" s="121"/>
      <c r="U99" s="121"/>
      <c r="V99" s="191"/>
      <c r="W99" s="190"/>
      <c r="X99" s="190"/>
      <c r="Y99" s="190"/>
      <c r="Z99" s="191"/>
      <c r="AA99" s="191"/>
      <c r="AB99" s="190"/>
      <c r="AC99" s="190"/>
      <c r="AD99" s="190"/>
      <c r="AE99" s="191"/>
      <c r="AF99" s="191"/>
      <c r="AG99" s="54"/>
      <c r="AH99" s="54"/>
      <c r="AI99" s="54"/>
    </row>
    <row r="100" spans="1:35" ht="19.5" customHeight="1" x14ac:dyDescent="0.3">
      <c r="A100" s="186"/>
      <c r="B100" s="135"/>
      <c r="C100" s="639"/>
      <c r="D100" s="638"/>
      <c r="E100" s="113"/>
      <c r="F100" s="113"/>
      <c r="G100" s="113"/>
      <c r="H100" s="128"/>
      <c r="I100" s="83"/>
      <c r="J100" s="83"/>
      <c r="K100" s="83"/>
      <c r="L100" s="83"/>
      <c r="M100" s="83"/>
      <c r="N100" s="83"/>
      <c r="O100" s="83"/>
      <c r="P100" s="83"/>
      <c r="Q100" s="107"/>
      <c r="R100" s="499"/>
      <c r="S100" s="190"/>
      <c r="T100" s="121"/>
      <c r="U100" s="121"/>
      <c r="V100" s="191"/>
      <c r="W100" s="190"/>
      <c r="X100" s="190"/>
      <c r="Y100" s="190"/>
      <c r="Z100" s="191"/>
      <c r="AA100" s="191"/>
      <c r="AB100" s="190"/>
      <c r="AC100" s="190"/>
      <c r="AD100" s="190"/>
      <c r="AE100" s="191"/>
      <c r="AF100" s="191"/>
      <c r="AG100" s="54"/>
      <c r="AH100" s="54"/>
      <c r="AI100" s="54"/>
    </row>
    <row r="101" spans="1:35" ht="15" customHeight="1" x14ac:dyDescent="0.3">
      <c r="A101" s="186"/>
      <c r="B101" s="135"/>
      <c r="C101" s="639"/>
      <c r="D101" s="638"/>
      <c r="E101" s="113"/>
      <c r="F101" s="113"/>
      <c r="G101" s="113"/>
      <c r="H101" s="128"/>
      <c r="I101" s="83"/>
      <c r="J101" s="83"/>
      <c r="K101" s="83"/>
      <c r="L101" s="83"/>
      <c r="M101" s="83"/>
      <c r="N101" s="83"/>
      <c r="O101" s="83"/>
      <c r="P101" s="83"/>
      <c r="Q101" s="107"/>
      <c r="R101" s="499"/>
      <c r="S101" s="54"/>
      <c r="T101" s="6"/>
      <c r="U101" s="6"/>
      <c r="W101" s="54"/>
      <c r="X101" s="54"/>
      <c r="Y101" s="54"/>
      <c r="AB101" s="54"/>
      <c r="AC101" s="54"/>
      <c r="AD101" s="54"/>
      <c r="AG101" s="54"/>
      <c r="AH101" s="54"/>
      <c r="AI101" s="54"/>
    </row>
    <row r="102" spans="1:35" ht="19.5" customHeight="1" thickBot="1" x14ac:dyDescent="0.4">
      <c r="A102" s="151" t="s">
        <v>805</v>
      </c>
      <c r="B102" s="135"/>
      <c r="C102" s="639"/>
      <c r="D102" s="638"/>
      <c r="E102" s="113"/>
      <c r="F102" s="113"/>
      <c r="G102" s="113"/>
      <c r="H102" s="128"/>
      <c r="I102" s="83"/>
      <c r="J102" s="83"/>
      <c r="K102" s="83"/>
      <c r="L102" s="83"/>
      <c r="M102" s="83"/>
      <c r="N102" s="83"/>
      <c r="O102" s="83"/>
      <c r="P102" s="83"/>
      <c r="Q102" s="107"/>
      <c r="R102" s="499"/>
      <c r="S102" s="54"/>
      <c r="T102" s="54"/>
      <c r="W102" s="54"/>
      <c r="X102" s="54"/>
      <c r="Y102" s="54"/>
      <c r="AB102" s="54"/>
      <c r="AC102" s="54"/>
      <c r="AD102" s="54"/>
      <c r="AG102" s="54"/>
      <c r="AH102" s="54"/>
      <c r="AI102" s="54"/>
    </row>
    <row r="103" spans="1:35" ht="15.75" customHeight="1" x14ac:dyDescent="0.3">
      <c r="A103" s="185"/>
      <c r="B103" s="154"/>
      <c r="C103" s="155"/>
      <c r="D103" s="155" t="s">
        <v>817</v>
      </c>
      <c r="E103" s="560">
        <f>'Variable Management'!B322</f>
        <v>0.47520000000000001</v>
      </c>
      <c r="F103" s="162" t="s">
        <v>116</v>
      </c>
      <c r="G103" s="113"/>
      <c r="H103" s="128"/>
      <c r="I103" s="83"/>
      <c r="J103" s="83"/>
      <c r="K103" s="83"/>
      <c r="L103" s="83"/>
      <c r="M103" s="83"/>
      <c r="N103" s="83"/>
      <c r="O103" s="83"/>
      <c r="P103" s="83"/>
      <c r="Q103" s="107"/>
      <c r="R103" s="499"/>
      <c r="S103" s="54"/>
      <c r="T103" s="54"/>
      <c r="W103" s="54"/>
      <c r="X103" s="54"/>
      <c r="Y103" s="54"/>
      <c r="AB103" s="54"/>
      <c r="AC103" s="54"/>
      <c r="AD103" s="54"/>
      <c r="AG103" s="54"/>
      <c r="AH103" s="54"/>
      <c r="AI103" s="54"/>
    </row>
    <row r="104" spans="1:35" ht="14.4" customHeight="1" thickBot="1" x14ac:dyDescent="0.35">
      <c r="A104" s="159"/>
      <c r="B104" s="160"/>
      <c r="C104" s="160"/>
      <c r="D104" s="265" t="s">
        <v>806</v>
      </c>
      <c r="E104" s="597">
        <f>'Variable Management'!B324</f>
        <v>41.536960000000001</v>
      </c>
      <c r="F104" s="284" t="s">
        <v>226</v>
      </c>
      <c r="G104" s="113"/>
      <c r="H104" s="128"/>
      <c r="I104" s="83"/>
      <c r="J104" s="83"/>
      <c r="K104" s="83"/>
      <c r="L104" s="83"/>
      <c r="M104" s="83"/>
      <c r="N104" s="83"/>
      <c r="O104" s="83"/>
      <c r="P104" s="83"/>
      <c r="Q104" s="107"/>
      <c r="R104" s="499"/>
      <c r="S104" s="54"/>
      <c r="T104" s="54"/>
      <c r="W104" s="54"/>
      <c r="X104" s="54"/>
      <c r="Y104" s="54"/>
      <c r="AB104" s="54"/>
      <c r="AC104" s="54"/>
      <c r="AD104" s="54"/>
      <c r="AG104" s="54"/>
      <c r="AH104" s="54"/>
      <c r="AI104" s="54"/>
    </row>
    <row r="105" spans="1:35" ht="14.25" customHeight="1" x14ac:dyDescent="0.3">
      <c r="A105" s="640"/>
      <c r="B105" s="135"/>
      <c r="C105" s="135"/>
      <c r="D105" s="638"/>
      <c r="E105" s="113"/>
      <c r="F105" s="113"/>
      <c r="G105" s="113"/>
      <c r="H105" s="128"/>
      <c r="I105" s="83"/>
      <c r="J105" s="83"/>
      <c r="K105" s="83"/>
      <c r="L105" s="83"/>
      <c r="M105" s="83"/>
      <c r="N105" s="83"/>
      <c r="O105" s="83"/>
      <c r="P105" s="83"/>
      <c r="Q105" s="107"/>
      <c r="R105" s="499"/>
      <c r="S105" s="54"/>
      <c r="T105" s="54"/>
      <c r="W105" s="54"/>
      <c r="X105" s="54"/>
      <c r="Y105" s="54"/>
      <c r="AB105" s="54"/>
      <c r="AC105" s="54"/>
      <c r="AD105" s="54"/>
      <c r="AG105" s="54"/>
      <c r="AH105" s="54"/>
      <c r="AI105" s="54"/>
    </row>
    <row r="106" spans="1:35" ht="14.4" customHeight="1" x14ac:dyDescent="0.3">
      <c r="A106" s="641"/>
      <c r="B106" s="128"/>
      <c r="C106" s="128"/>
      <c r="D106" s="124"/>
      <c r="E106" s="471"/>
      <c r="F106" s="128"/>
      <c r="G106" s="128"/>
      <c r="H106" s="128"/>
      <c r="I106" s="87"/>
      <c r="J106" s="88"/>
      <c r="K106" s="83"/>
      <c r="L106" s="83"/>
      <c r="M106" s="83"/>
      <c r="N106" s="83"/>
      <c r="O106" s="83"/>
      <c r="P106" s="83"/>
      <c r="Q106" s="107"/>
      <c r="R106" s="499"/>
      <c r="S106" s="54"/>
      <c r="T106" s="54"/>
      <c r="W106" s="54"/>
      <c r="X106" s="54"/>
      <c r="Y106" s="54"/>
      <c r="AB106" s="54"/>
      <c r="AC106" s="54"/>
      <c r="AD106" s="54"/>
      <c r="AG106" s="54"/>
      <c r="AH106" s="54"/>
      <c r="AI106" s="54"/>
    </row>
    <row r="107" spans="1:35" ht="14.4" customHeight="1" x14ac:dyDescent="0.3">
      <c r="A107" s="648"/>
      <c r="B107" s="113"/>
      <c r="C107" s="113"/>
      <c r="D107" s="113"/>
      <c r="E107" s="113"/>
      <c r="F107" s="113"/>
      <c r="G107" s="113"/>
      <c r="H107" s="128"/>
      <c r="I107" s="83"/>
      <c r="J107" s="83"/>
      <c r="K107" s="83"/>
      <c r="L107" s="83"/>
      <c r="M107" s="83"/>
      <c r="N107" s="83"/>
      <c r="O107" s="83"/>
      <c r="P107" s="83"/>
      <c r="Q107" s="107"/>
      <c r="R107" s="499"/>
      <c r="S107" s="54"/>
      <c r="T107" s="54"/>
      <c r="W107" s="54"/>
      <c r="X107" s="54"/>
      <c r="Y107" s="54"/>
      <c r="AB107" s="54"/>
      <c r="AC107" s="54"/>
      <c r="AD107" s="54"/>
      <c r="AG107" s="54"/>
      <c r="AH107" s="54"/>
      <c r="AI107" s="54"/>
    </row>
    <row r="108" spans="1:35" ht="14.4" customHeight="1" x14ac:dyDescent="0.3">
      <c r="A108" s="648"/>
      <c r="B108" s="113"/>
      <c r="C108" s="113"/>
      <c r="D108" s="113"/>
      <c r="E108" s="113"/>
      <c r="F108" s="113"/>
      <c r="G108" s="113"/>
      <c r="H108" s="128"/>
      <c r="I108" s="83"/>
      <c r="J108" s="83"/>
      <c r="K108" s="83"/>
      <c r="L108" s="83"/>
      <c r="M108" s="83"/>
      <c r="N108" s="83"/>
      <c r="O108" s="83"/>
      <c r="P108" s="83"/>
      <c r="Q108" s="107"/>
      <c r="R108" s="499"/>
      <c r="S108" s="54"/>
      <c r="T108" s="54"/>
      <c r="W108" s="54"/>
      <c r="X108" s="54"/>
      <c r="Y108" s="54"/>
      <c r="AB108" s="54"/>
      <c r="AC108" s="54"/>
      <c r="AD108" s="54"/>
      <c r="AG108" s="54"/>
      <c r="AH108" s="54"/>
      <c r="AI108" s="54"/>
    </row>
    <row r="109" spans="1:35" ht="13.5" thickBot="1" x14ac:dyDescent="0.35">
      <c r="A109" s="159"/>
      <c r="B109" s="160"/>
      <c r="C109" s="160"/>
      <c r="D109" s="160"/>
      <c r="E109" s="205"/>
      <c r="F109" s="160"/>
      <c r="G109" s="160"/>
      <c r="H109" s="160"/>
      <c r="I109" s="206"/>
      <c r="J109" s="206"/>
      <c r="K109" s="206"/>
      <c r="L109" s="206"/>
      <c r="M109" s="206"/>
      <c r="N109" s="206"/>
      <c r="O109" s="206"/>
      <c r="P109" s="206"/>
      <c r="Q109" s="207"/>
      <c r="R109" s="499"/>
      <c r="S109" s="54"/>
      <c r="T109" s="54"/>
      <c r="W109" s="54"/>
      <c r="X109" s="54"/>
      <c r="Y109" s="54"/>
      <c r="AB109" s="54"/>
      <c r="AC109" s="54"/>
      <c r="AD109" s="54"/>
      <c r="AG109" s="54"/>
      <c r="AH109" s="54"/>
      <c r="AI109" s="54"/>
    </row>
    <row r="110" spans="1:35" x14ac:dyDescent="0.3">
      <c r="A110" s="496"/>
      <c r="B110" s="497"/>
      <c r="C110" s="498"/>
      <c r="D110" s="498"/>
      <c r="E110" s="498"/>
      <c r="F110" s="498"/>
      <c r="G110" s="498"/>
      <c r="H110" s="498"/>
      <c r="I110" s="498"/>
      <c r="J110" s="498"/>
      <c r="K110" s="498"/>
      <c r="L110" s="498"/>
      <c r="M110" s="498"/>
      <c r="N110" s="498"/>
      <c r="O110" s="498"/>
      <c r="P110" s="498"/>
      <c r="Q110" s="498"/>
      <c r="R110" s="499"/>
      <c r="S110" s="54"/>
      <c r="T110" s="54"/>
      <c r="W110" s="54"/>
      <c r="X110" s="54"/>
      <c r="Y110" s="54"/>
      <c r="AB110" s="54"/>
      <c r="AC110" s="54"/>
      <c r="AD110" s="54"/>
      <c r="AG110" s="54"/>
      <c r="AH110" s="54"/>
      <c r="AI110" s="54"/>
    </row>
    <row r="111" spans="1:35" x14ac:dyDescent="0.3">
      <c r="A111" s="79"/>
      <c r="R111" s="54"/>
      <c r="S111" s="54"/>
      <c r="T111" s="54"/>
      <c r="W111" s="54"/>
      <c r="X111" s="54"/>
      <c r="Y111" s="54"/>
      <c r="AB111" s="54"/>
      <c r="AC111" s="54"/>
      <c r="AD111" s="54"/>
      <c r="AG111" s="54"/>
      <c r="AH111" s="54"/>
      <c r="AI111" s="54"/>
    </row>
    <row r="112" spans="1:35" x14ac:dyDescent="0.3">
      <c r="R112" s="54"/>
      <c r="S112" s="54"/>
      <c r="T112" s="54"/>
      <c r="W112" s="54"/>
      <c r="X112" s="54"/>
      <c r="Y112" s="54"/>
      <c r="AB112" s="54"/>
      <c r="AC112" s="54"/>
      <c r="AD112" s="54"/>
      <c r="AG112" s="54"/>
      <c r="AH112" s="54"/>
      <c r="AI112" s="54"/>
    </row>
    <row r="113" spans="18:35" x14ac:dyDescent="0.3">
      <c r="R113" s="54"/>
      <c r="S113" s="54"/>
      <c r="T113" s="54"/>
      <c r="W113" s="54"/>
      <c r="X113" s="54"/>
      <c r="Y113" s="54"/>
      <c r="AB113" s="54"/>
      <c r="AC113" s="54"/>
      <c r="AD113" s="54"/>
      <c r="AG113" s="54"/>
      <c r="AH113" s="54"/>
      <c r="AI113" s="54"/>
    </row>
    <row r="114" spans="18:35" x14ac:dyDescent="0.3">
      <c r="R114" s="54"/>
      <c r="S114" s="54"/>
      <c r="T114" s="54"/>
      <c r="W114" s="54"/>
      <c r="X114" s="54"/>
      <c r="Y114" s="54"/>
      <c r="AB114" s="54"/>
      <c r="AC114" s="54"/>
      <c r="AD114" s="54"/>
      <c r="AG114" s="54"/>
      <c r="AH114" s="54"/>
      <c r="AI114" s="54"/>
    </row>
    <row r="115" spans="18:35" x14ac:dyDescent="0.3">
      <c r="R115" s="54"/>
      <c r="S115" s="54"/>
      <c r="T115" s="54"/>
      <c r="W115" s="54"/>
      <c r="X115" s="54"/>
      <c r="Y115" s="54"/>
      <c r="AB115" s="54"/>
      <c r="AC115" s="54"/>
      <c r="AD115" s="54"/>
      <c r="AG115" s="54"/>
      <c r="AH115" s="54"/>
      <c r="AI115" s="54"/>
    </row>
    <row r="116" spans="18:35" x14ac:dyDescent="0.3">
      <c r="R116" s="54"/>
      <c r="S116" s="54"/>
      <c r="T116" s="54"/>
      <c r="W116" s="54"/>
      <c r="X116" s="54"/>
      <c r="Y116" s="54"/>
      <c r="AB116" s="54"/>
      <c r="AC116" s="54"/>
      <c r="AD116" s="54"/>
      <c r="AG116" s="54"/>
      <c r="AH116" s="54"/>
      <c r="AI116" s="54"/>
    </row>
    <row r="117" spans="18:35" x14ac:dyDescent="0.3">
      <c r="R117" s="54"/>
      <c r="S117" s="54"/>
      <c r="T117" s="54"/>
      <c r="W117" s="54"/>
      <c r="X117" s="54"/>
      <c r="Y117" s="54"/>
      <c r="AB117" s="54"/>
      <c r="AC117" s="54"/>
      <c r="AD117" s="54"/>
      <c r="AG117" s="54"/>
      <c r="AH117" s="54"/>
      <c r="AI117" s="54"/>
    </row>
    <row r="118" spans="18:35" x14ac:dyDescent="0.3">
      <c r="R118" s="54"/>
      <c r="S118" s="54"/>
      <c r="T118" s="54"/>
      <c r="W118" s="54"/>
      <c r="X118" s="54"/>
      <c r="Y118" s="54"/>
      <c r="AB118" s="54"/>
      <c r="AC118" s="54"/>
      <c r="AD118" s="54"/>
      <c r="AG118" s="54"/>
      <c r="AH118" s="54"/>
      <c r="AI118" s="54"/>
    </row>
    <row r="119" spans="18:35" x14ac:dyDescent="0.3">
      <c r="R119" s="54"/>
      <c r="S119" s="54"/>
      <c r="T119" s="54"/>
      <c r="W119" s="54"/>
      <c r="X119" s="54"/>
      <c r="Y119" s="54"/>
      <c r="AB119" s="54"/>
      <c r="AC119" s="54"/>
      <c r="AD119" s="54"/>
      <c r="AG119" s="54"/>
      <c r="AH119" s="54"/>
      <c r="AI119" s="54"/>
    </row>
    <row r="120" spans="18:35" x14ac:dyDescent="0.3">
      <c r="R120" s="54"/>
      <c r="S120" s="54"/>
      <c r="T120" s="54"/>
      <c r="W120" s="54"/>
      <c r="X120" s="54"/>
      <c r="Y120" s="54"/>
      <c r="AB120" s="54"/>
      <c r="AC120" s="54"/>
      <c r="AD120" s="54"/>
      <c r="AG120" s="54"/>
      <c r="AH120" s="54"/>
      <c r="AI120" s="54"/>
    </row>
    <row r="121" spans="18:35" x14ac:dyDescent="0.3">
      <c r="R121" s="54"/>
      <c r="S121" s="54"/>
      <c r="T121" s="54"/>
      <c r="W121" s="54"/>
      <c r="X121" s="54"/>
      <c r="Y121" s="54"/>
      <c r="AB121" s="54"/>
      <c r="AC121" s="54"/>
      <c r="AD121" s="54"/>
      <c r="AG121" s="54"/>
      <c r="AH121" s="54"/>
      <c r="AI121" s="54"/>
    </row>
    <row r="122" spans="18:35" x14ac:dyDescent="0.3">
      <c r="R122" s="54"/>
      <c r="S122" s="54"/>
      <c r="T122" s="54"/>
      <c r="W122" s="54"/>
      <c r="X122" s="54"/>
      <c r="Y122" s="54"/>
      <c r="AB122" s="54"/>
      <c r="AC122" s="54"/>
      <c r="AD122" s="54"/>
      <c r="AG122" s="54"/>
      <c r="AH122" s="54"/>
      <c r="AI122" s="54"/>
    </row>
    <row r="123" spans="18:35" x14ac:dyDescent="0.3">
      <c r="R123" s="54"/>
      <c r="S123" s="54"/>
      <c r="T123" s="54"/>
      <c r="W123" s="54"/>
      <c r="X123" s="54"/>
      <c r="Y123" s="54"/>
      <c r="AB123" s="54"/>
      <c r="AC123" s="54"/>
      <c r="AD123" s="54"/>
      <c r="AG123" s="54"/>
      <c r="AH123" s="54"/>
      <c r="AI123" s="54"/>
    </row>
    <row r="124" spans="18:35" x14ac:dyDescent="0.3">
      <c r="R124" s="54"/>
      <c r="S124" s="54"/>
      <c r="T124" s="54"/>
      <c r="W124" s="54"/>
      <c r="X124" s="54"/>
      <c r="Y124" s="54"/>
      <c r="AB124" s="54"/>
      <c r="AC124" s="54"/>
      <c r="AD124" s="54"/>
      <c r="AG124" s="54"/>
      <c r="AH124" s="54"/>
      <c r="AI124" s="54"/>
    </row>
    <row r="125" spans="18:35" x14ac:dyDescent="0.3">
      <c r="R125" s="54"/>
      <c r="S125" s="54"/>
      <c r="T125" s="54"/>
      <c r="W125" s="54"/>
      <c r="X125" s="54"/>
      <c r="Y125" s="54"/>
      <c r="AB125" s="54"/>
      <c r="AC125" s="54"/>
      <c r="AD125" s="54"/>
      <c r="AG125" s="54"/>
      <c r="AH125" s="54"/>
      <c r="AI125" s="54"/>
    </row>
    <row r="126" spans="18:35" x14ac:dyDescent="0.3">
      <c r="R126" s="54"/>
      <c r="S126" s="54"/>
      <c r="T126" s="54"/>
      <c r="W126" s="54"/>
      <c r="X126" s="54"/>
      <c r="Y126" s="54"/>
      <c r="AB126" s="54"/>
      <c r="AC126" s="54"/>
      <c r="AD126" s="54"/>
      <c r="AG126" s="54"/>
      <c r="AH126" s="54"/>
      <c r="AI126" s="54"/>
    </row>
    <row r="127" spans="18:35" x14ac:dyDescent="0.3">
      <c r="R127" s="54"/>
      <c r="S127" s="54"/>
      <c r="T127" s="54"/>
      <c r="W127" s="54"/>
      <c r="X127" s="54"/>
      <c r="Y127" s="54"/>
      <c r="AB127" s="54"/>
      <c r="AC127" s="54"/>
      <c r="AD127" s="54"/>
      <c r="AG127" s="54"/>
      <c r="AH127" s="54"/>
      <c r="AI127" s="54"/>
    </row>
    <row r="128" spans="18:35" x14ac:dyDescent="0.3">
      <c r="R128" s="54"/>
      <c r="S128" s="54"/>
      <c r="T128" s="54"/>
      <c r="W128" s="54"/>
      <c r="X128" s="54"/>
      <c r="Y128" s="54"/>
      <c r="AB128" s="54"/>
      <c r="AC128" s="54"/>
      <c r="AD128" s="54"/>
      <c r="AG128" s="54"/>
      <c r="AH128" s="54"/>
      <c r="AI128" s="54"/>
    </row>
    <row r="129" spans="18:35" x14ac:dyDescent="0.3">
      <c r="R129" s="54"/>
      <c r="S129" s="54"/>
      <c r="T129" s="54"/>
      <c r="W129" s="54"/>
      <c r="X129" s="54"/>
      <c r="Y129" s="54"/>
      <c r="AB129" s="54"/>
      <c r="AC129" s="54"/>
      <c r="AD129" s="54"/>
      <c r="AG129" s="54"/>
      <c r="AH129" s="54"/>
      <c r="AI129" s="54"/>
    </row>
    <row r="130" spans="18:35" x14ac:dyDescent="0.3">
      <c r="R130" s="54"/>
      <c r="S130" s="54"/>
      <c r="T130" s="54"/>
      <c r="W130" s="54"/>
      <c r="X130" s="54"/>
      <c r="Y130" s="54"/>
      <c r="AB130" s="54"/>
      <c r="AC130" s="54"/>
      <c r="AD130" s="54"/>
      <c r="AG130" s="54"/>
      <c r="AH130" s="54"/>
      <c r="AI130" s="54"/>
    </row>
    <row r="131" spans="18:35" x14ac:dyDescent="0.3">
      <c r="R131" s="54"/>
      <c r="S131" s="54"/>
      <c r="T131" s="54"/>
      <c r="W131" s="54"/>
      <c r="X131" s="54"/>
      <c r="Y131" s="54"/>
      <c r="AB131" s="54"/>
      <c r="AC131" s="54"/>
      <c r="AD131" s="54"/>
      <c r="AG131" s="54"/>
      <c r="AH131" s="54"/>
      <c r="AI131" s="54"/>
    </row>
    <row r="132" spans="18:35" x14ac:dyDescent="0.3">
      <c r="R132" s="54"/>
      <c r="S132" s="54"/>
      <c r="T132" s="54"/>
      <c r="W132" s="54"/>
      <c r="X132" s="54"/>
      <c r="Y132" s="54"/>
      <c r="AB132" s="54"/>
      <c r="AC132" s="54"/>
      <c r="AD132" s="54"/>
      <c r="AG132" s="54"/>
      <c r="AH132" s="54"/>
      <c r="AI132" s="54"/>
    </row>
    <row r="133" spans="18:35" x14ac:dyDescent="0.3">
      <c r="R133" s="54"/>
      <c r="S133" s="54"/>
      <c r="T133" s="54"/>
      <c r="W133" s="54"/>
      <c r="X133" s="54"/>
      <c r="Y133" s="54"/>
      <c r="AB133" s="54"/>
      <c r="AC133" s="54"/>
      <c r="AD133" s="54"/>
      <c r="AG133" s="54"/>
      <c r="AH133" s="54"/>
      <c r="AI133" s="54"/>
    </row>
    <row r="134" spans="18:35" x14ac:dyDescent="0.3">
      <c r="R134" s="54"/>
      <c r="S134" s="54"/>
      <c r="T134" s="54"/>
      <c r="W134" s="54"/>
      <c r="X134" s="54"/>
      <c r="Y134" s="54"/>
      <c r="AB134" s="54"/>
      <c r="AC134" s="54"/>
      <c r="AD134" s="54"/>
      <c r="AG134" s="54"/>
      <c r="AH134" s="54"/>
      <c r="AI134" s="54"/>
    </row>
    <row r="135" spans="18:35" x14ac:dyDescent="0.3">
      <c r="R135" s="54"/>
      <c r="S135" s="54"/>
      <c r="T135" s="54"/>
      <c r="W135" s="54"/>
      <c r="X135" s="54"/>
      <c r="Y135" s="54"/>
      <c r="AB135" s="54"/>
      <c r="AC135" s="54"/>
      <c r="AD135" s="54"/>
      <c r="AG135" s="54"/>
      <c r="AH135" s="54"/>
      <c r="AI135" s="54"/>
    </row>
    <row r="136" spans="18:35" x14ac:dyDescent="0.3">
      <c r="R136" s="54"/>
      <c r="S136" s="54"/>
      <c r="T136" s="54"/>
      <c r="W136" s="54"/>
      <c r="X136" s="54"/>
      <c r="Y136" s="54"/>
      <c r="AB136" s="54"/>
      <c r="AC136" s="54"/>
      <c r="AD136" s="54"/>
      <c r="AG136" s="54"/>
      <c r="AH136" s="54"/>
      <c r="AI136" s="54"/>
    </row>
    <row r="137" spans="18:35" x14ac:dyDescent="0.3">
      <c r="R137" s="54"/>
      <c r="S137" s="54"/>
      <c r="T137" s="54"/>
      <c r="W137" s="54"/>
      <c r="X137" s="54"/>
      <c r="Y137" s="54"/>
      <c r="AB137" s="54"/>
      <c r="AC137" s="54"/>
      <c r="AD137" s="54"/>
      <c r="AG137" s="54"/>
      <c r="AH137" s="54"/>
      <c r="AI137" s="54"/>
    </row>
    <row r="138" spans="18:35" x14ac:dyDescent="0.3">
      <c r="R138" s="54"/>
      <c r="S138" s="54"/>
      <c r="T138" s="54"/>
      <c r="W138" s="54"/>
      <c r="X138" s="54"/>
      <c r="Y138" s="54"/>
      <c r="AB138" s="54"/>
      <c r="AC138" s="54"/>
      <c r="AD138" s="54"/>
      <c r="AG138" s="54"/>
      <c r="AH138" s="54"/>
      <c r="AI138" s="54"/>
    </row>
    <row r="139" spans="18:35" x14ac:dyDescent="0.3">
      <c r="R139" s="54"/>
      <c r="S139" s="54"/>
      <c r="T139" s="54"/>
      <c r="W139" s="54"/>
      <c r="X139" s="54"/>
      <c r="Y139" s="54"/>
      <c r="AB139" s="54"/>
      <c r="AC139" s="54"/>
      <c r="AD139" s="54"/>
      <c r="AG139" s="54"/>
      <c r="AH139" s="54"/>
      <c r="AI139" s="54"/>
    </row>
    <row r="140" spans="18:35" x14ac:dyDescent="0.3">
      <c r="R140" s="54"/>
      <c r="S140" s="54"/>
      <c r="T140" s="54"/>
      <c r="W140" s="54"/>
      <c r="X140" s="54"/>
      <c r="Y140" s="54"/>
      <c r="AB140" s="54"/>
      <c r="AC140" s="54"/>
      <c r="AD140" s="54"/>
      <c r="AG140" s="54"/>
      <c r="AH140" s="54"/>
      <c r="AI140" s="54"/>
    </row>
    <row r="141" spans="18:35" x14ac:dyDescent="0.3">
      <c r="R141" s="54"/>
      <c r="S141" s="54"/>
      <c r="T141" s="54"/>
      <c r="W141" s="54"/>
      <c r="X141" s="54"/>
      <c r="Y141" s="54"/>
      <c r="AB141" s="54"/>
      <c r="AC141" s="54"/>
      <c r="AD141" s="54"/>
      <c r="AG141" s="54"/>
      <c r="AH141" s="54"/>
      <c r="AI141" s="54"/>
    </row>
    <row r="142" spans="18:35" x14ac:dyDescent="0.3">
      <c r="R142" s="54"/>
      <c r="S142" s="54"/>
      <c r="T142" s="54"/>
      <c r="W142" s="54"/>
      <c r="X142" s="54"/>
      <c r="Y142" s="54"/>
      <c r="AB142" s="54"/>
      <c r="AC142" s="54"/>
      <c r="AD142" s="54"/>
      <c r="AG142" s="54"/>
      <c r="AH142" s="54"/>
      <c r="AI142" s="54"/>
    </row>
    <row r="143" spans="18:35" x14ac:dyDescent="0.3">
      <c r="R143" s="54"/>
      <c r="S143" s="54"/>
      <c r="T143" s="54"/>
      <c r="W143" s="54"/>
      <c r="X143" s="54"/>
      <c r="Y143" s="54"/>
      <c r="AB143" s="54"/>
      <c r="AC143" s="54"/>
      <c r="AD143" s="54"/>
      <c r="AG143" s="54"/>
      <c r="AH143" s="54"/>
      <c r="AI143" s="54"/>
    </row>
    <row r="144" spans="18:35" x14ac:dyDescent="0.3">
      <c r="R144" s="54"/>
      <c r="S144" s="54"/>
      <c r="T144" s="54"/>
      <c r="W144" s="54"/>
      <c r="X144" s="54"/>
      <c r="Y144" s="54"/>
      <c r="AB144" s="54"/>
      <c r="AC144" s="54"/>
      <c r="AD144" s="54"/>
      <c r="AG144" s="54"/>
      <c r="AH144" s="54"/>
      <c r="AI144" s="54"/>
    </row>
    <row r="145" spans="18:35" x14ac:dyDescent="0.3">
      <c r="R145" s="54"/>
      <c r="S145" s="54"/>
      <c r="T145" s="54"/>
      <c r="W145" s="54"/>
      <c r="X145" s="54"/>
      <c r="Y145" s="54"/>
      <c r="AB145" s="54"/>
      <c r="AC145" s="54"/>
      <c r="AD145" s="54"/>
      <c r="AG145" s="54"/>
      <c r="AH145" s="54"/>
      <c r="AI145" s="54"/>
    </row>
    <row r="146" spans="18:35" x14ac:dyDescent="0.3">
      <c r="R146" s="54"/>
      <c r="S146" s="54"/>
      <c r="T146" s="54"/>
      <c r="W146" s="54"/>
      <c r="X146" s="54"/>
      <c r="Y146" s="54"/>
      <c r="AB146" s="54"/>
      <c r="AC146" s="54"/>
      <c r="AD146" s="54"/>
      <c r="AG146" s="54"/>
      <c r="AH146" s="54"/>
      <c r="AI146" s="54"/>
    </row>
    <row r="147" spans="18:35" x14ac:dyDescent="0.3">
      <c r="R147" s="54"/>
      <c r="S147" s="54"/>
      <c r="T147" s="54"/>
      <c r="W147" s="54"/>
      <c r="X147" s="54"/>
      <c r="Y147" s="54"/>
      <c r="AB147" s="54"/>
      <c r="AC147" s="54"/>
      <c r="AD147" s="54"/>
      <c r="AG147" s="54"/>
      <c r="AH147" s="54"/>
      <c r="AI147" s="54"/>
    </row>
    <row r="148" spans="18:35" x14ac:dyDescent="0.3">
      <c r="R148" s="54"/>
      <c r="S148" s="54"/>
      <c r="T148" s="54"/>
      <c r="W148" s="54"/>
      <c r="X148" s="54"/>
      <c r="Y148" s="54"/>
      <c r="AB148" s="54"/>
      <c r="AC148" s="54"/>
      <c r="AD148" s="54"/>
      <c r="AG148" s="54"/>
      <c r="AH148" s="54"/>
      <c r="AI148" s="54"/>
    </row>
    <row r="149" spans="18:35" x14ac:dyDescent="0.3">
      <c r="R149" s="54"/>
      <c r="S149" s="54"/>
      <c r="T149" s="54"/>
      <c r="W149" s="54"/>
      <c r="X149" s="54"/>
      <c r="Y149" s="54"/>
      <c r="AB149" s="54"/>
      <c r="AC149" s="54"/>
      <c r="AD149" s="54"/>
      <c r="AG149" s="54"/>
      <c r="AH149" s="54"/>
      <c r="AI149" s="54"/>
    </row>
    <row r="150" spans="18:35" x14ac:dyDescent="0.3">
      <c r="R150" s="54"/>
      <c r="S150" s="54"/>
      <c r="T150" s="54"/>
      <c r="W150" s="54"/>
      <c r="X150" s="54"/>
      <c r="Y150" s="54"/>
      <c r="AB150" s="54"/>
      <c r="AC150" s="54"/>
      <c r="AD150" s="54"/>
      <c r="AG150" s="54"/>
      <c r="AH150" s="54"/>
      <c r="AI150" s="54"/>
    </row>
    <row r="151" spans="18:35" x14ac:dyDescent="0.3">
      <c r="R151" s="54"/>
      <c r="S151" s="54"/>
      <c r="T151" s="54"/>
      <c r="W151" s="54"/>
      <c r="X151" s="54"/>
      <c r="Y151" s="54"/>
      <c r="AB151" s="54"/>
      <c r="AC151" s="54"/>
      <c r="AD151" s="54"/>
      <c r="AG151" s="54"/>
      <c r="AH151" s="54"/>
      <c r="AI151" s="54"/>
    </row>
    <row r="152" spans="18:35" x14ac:dyDescent="0.3">
      <c r="R152" s="54"/>
      <c r="S152" s="54"/>
      <c r="T152" s="54"/>
      <c r="W152" s="54"/>
      <c r="X152" s="54"/>
      <c r="Y152" s="54"/>
      <c r="AB152" s="54"/>
      <c r="AC152" s="54"/>
      <c r="AD152" s="54"/>
      <c r="AG152" s="54"/>
      <c r="AH152" s="54"/>
      <c r="AI152" s="54"/>
    </row>
    <row r="153" spans="18:35" x14ac:dyDescent="0.3">
      <c r="R153" s="54"/>
      <c r="S153" s="54"/>
      <c r="T153" s="54"/>
      <c r="W153" s="54"/>
      <c r="X153" s="54"/>
      <c r="Y153" s="54"/>
      <c r="AB153" s="54"/>
      <c r="AC153" s="54"/>
      <c r="AD153" s="54"/>
      <c r="AG153" s="54"/>
      <c r="AH153" s="54"/>
      <c r="AI153" s="54"/>
    </row>
    <row r="154" spans="18:35" x14ac:dyDescent="0.3">
      <c r="R154" s="54"/>
      <c r="S154" s="54"/>
      <c r="T154" s="54"/>
      <c r="W154" s="54"/>
      <c r="X154" s="54"/>
      <c r="Y154" s="54"/>
      <c r="AB154" s="54"/>
      <c r="AC154" s="54"/>
      <c r="AD154" s="54"/>
      <c r="AG154" s="54"/>
      <c r="AH154" s="54"/>
      <c r="AI154" s="54"/>
    </row>
    <row r="155" spans="18:35" x14ac:dyDescent="0.3">
      <c r="R155" s="54"/>
      <c r="S155" s="54"/>
      <c r="T155" s="54"/>
      <c r="W155" s="54"/>
      <c r="X155" s="54"/>
      <c r="Y155" s="54"/>
      <c r="AB155" s="54"/>
      <c r="AC155" s="54"/>
      <c r="AD155" s="54"/>
      <c r="AG155" s="54"/>
      <c r="AH155" s="54"/>
      <c r="AI155" s="54"/>
    </row>
    <row r="156" spans="18:35" x14ac:dyDescent="0.3">
      <c r="R156" s="54"/>
      <c r="S156" s="54"/>
      <c r="T156" s="54"/>
      <c r="W156" s="54"/>
      <c r="X156" s="54"/>
      <c r="Y156" s="54"/>
      <c r="AB156" s="54"/>
      <c r="AC156" s="54"/>
      <c r="AD156" s="54"/>
      <c r="AG156" s="54"/>
      <c r="AH156" s="54"/>
      <c r="AI156" s="54"/>
    </row>
    <row r="157" spans="18:35" x14ac:dyDescent="0.3">
      <c r="R157" s="54"/>
      <c r="S157" s="54"/>
      <c r="T157" s="54"/>
      <c r="W157" s="54"/>
      <c r="X157" s="54"/>
      <c r="Y157" s="54"/>
      <c r="AB157" s="54"/>
      <c r="AC157" s="54"/>
      <c r="AD157" s="54"/>
      <c r="AG157" s="54"/>
      <c r="AH157" s="54"/>
      <c r="AI157" s="54"/>
    </row>
    <row r="158" spans="18:35" x14ac:dyDescent="0.3">
      <c r="R158" s="54"/>
      <c r="S158" s="54"/>
      <c r="T158" s="54"/>
      <c r="W158" s="54"/>
      <c r="X158" s="54"/>
      <c r="Y158" s="54"/>
      <c r="AB158" s="54"/>
      <c r="AC158" s="54"/>
      <c r="AD158" s="54"/>
      <c r="AG158" s="54"/>
      <c r="AH158" s="54"/>
      <c r="AI158" s="54"/>
    </row>
    <row r="159" spans="18:35" x14ac:dyDescent="0.3">
      <c r="R159" s="54"/>
      <c r="S159" s="54"/>
      <c r="T159" s="54"/>
      <c r="W159" s="54"/>
      <c r="X159" s="54"/>
      <c r="Y159" s="54"/>
      <c r="AB159" s="54"/>
      <c r="AC159" s="54"/>
      <c r="AD159" s="54"/>
      <c r="AG159" s="54"/>
      <c r="AH159" s="54"/>
      <c r="AI159" s="54"/>
    </row>
    <row r="160" spans="18:35" x14ac:dyDescent="0.3">
      <c r="R160" s="54"/>
      <c r="S160" s="54"/>
      <c r="T160" s="54"/>
      <c r="W160" s="54"/>
      <c r="X160" s="54"/>
      <c r="Y160" s="54"/>
      <c r="AB160" s="54"/>
      <c r="AC160" s="54"/>
      <c r="AD160" s="54"/>
      <c r="AG160" s="54"/>
      <c r="AH160" s="54"/>
      <c r="AI160" s="54"/>
    </row>
    <row r="161" spans="18:35" x14ac:dyDescent="0.3">
      <c r="R161" s="54"/>
      <c r="S161" s="54"/>
      <c r="T161" s="54"/>
      <c r="W161" s="54"/>
      <c r="X161" s="54"/>
      <c r="Y161" s="54"/>
      <c r="AB161" s="54"/>
      <c r="AC161" s="54"/>
      <c r="AD161" s="54"/>
      <c r="AG161" s="54"/>
      <c r="AH161" s="54"/>
      <c r="AI161" s="54"/>
    </row>
    <row r="162" spans="18:35" x14ac:dyDescent="0.3">
      <c r="R162" s="54"/>
      <c r="S162" s="54"/>
      <c r="T162" s="54"/>
      <c r="W162" s="54"/>
      <c r="X162" s="54"/>
      <c r="Y162" s="54"/>
      <c r="AB162" s="54"/>
      <c r="AC162" s="54"/>
      <c r="AD162" s="54"/>
      <c r="AG162" s="54"/>
      <c r="AH162" s="54"/>
      <c r="AI162" s="54"/>
    </row>
    <row r="163" spans="18:35" x14ac:dyDescent="0.3">
      <c r="R163" s="54"/>
      <c r="S163" s="54"/>
      <c r="T163" s="54"/>
      <c r="W163" s="54"/>
      <c r="X163" s="54"/>
      <c r="Y163" s="54"/>
      <c r="AB163" s="54"/>
      <c r="AC163" s="54"/>
      <c r="AD163" s="54"/>
      <c r="AG163" s="54"/>
      <c r="AH163" s="54"/>
      <c r="AI163" s="54"/>
    </row>
    <row r="164" spans="18:35" x14ac:dyDescent="0.3">
      <c r="R164" s="54"/>
      <c r="S164" s="54"/>
      <c r="T164" s="54"/>
      <c r="W164" s="54"/>
      <c r="X164" s="54"/>
      <c r="Y164" s="54"/>
      <c r="AB164" s="54"/>
      <c r="AC164" s="54"/>
      <c r="AD164" s="54"/>
      <c r="AG164" s="54"/>
      <c r="AH164" s="54"/>
      <c r="AI164" s="54"/>
    </row>
    <row r="165" spans="18:35" x14ac:dyDescent="0.3">
      <c r="R165" s="54"/>
      <c r="S165" s="54"/>
      <c r="T165" s="54"/>
      <c r="W165" s="54"/>
      <c r="X165" s="54"/>
      <c r="Y165" s="54"/>
      <c r="AB165" s="54"/>
      <c r="AC165" s="54"/>
      <c r="AD165" s="54"/>
      <c r="AG165" s="54"/>
      <c r="AH165" s="54"/>
      <c r="AI165" s="54"/>
    </row>
    <row r="166" spans="18:35" x14ac:dyDescent="0.3">
      <c r="R166" s="54"/>
      <c r="S166" s="54"/>
      <c r="T166" s="54"/>
      <c r="W166" s="54"/>
      <c r="X166" s="54"/>
      <c r="Y166" s="54"/>
      <c r="AB166" s="54"/>
      <c r="AC166" s="54"/>
      <c r="AD166" s="54"/>
      <c r="AG166" s="54"/>
      <c r="AH166" s="54"/>
      <c r="AI166" s="54"/>
    </row>
    <row r="167" spans="18:35" x14ac:dyDescent="0.3">
      <c r="R167" s="54"/>
      <c r="S167" s="54"/>
      <c r="T167" s="54"/>
      <c r="W167" s="54"/>
      <c r="X167" s="54"/>
      <c r="Y167" s="54"/>
      <c r="AB167" s="54"/>
      <c r="AC167" s="54"/>
      <c r="AD167" s="54"/>
      <c r="AG167" s="54"/>
      <c r="AH167" s="54"/>
      <c r="AI167" s="54"/>
    </row>
    <row r="168" spans="18:35" x14ac:dyDescent="0.3">
      <c r="R168" s="54"/>
      <c r="S168" s="54"/>
      <c r="T168" s="54"/>
      <c r="W168" s="54"/>
      <c r="X168" s="54"/>
      <c r="Y168" s="54"/>
      <c r="AB168" s="54"/>
      <c r="AC168" s="54"/>
      <c r="AD168" s="54"/>
      <c r="AG168" s="54"/>
      <c r="AH168" s="54"/>
      <c r="AI168" s="54"/>
    </row>
    <row r="169" spans="18:35" x14ac:dyDescent="0.3">
      <c r="R169" s="54"/>
      <c r="S169" s="54"/>
      <c r="T169" s="54"/>
      <c r="W169" s="54"/>
      <c r="X169" s="54"/>
      <c r="Y169" s="54"/>
      <c r="AB169" s="54"/>
      <c r="AC169" s="54"/>
      <c r="AD169" s="54"/>
      <c r="AG169" s="54"/>
      <c r="AH169" s="54"/>
      <c r="AI169" s="54"/>
    </row>
    <row r="170" spans="18:35" x14ac:dyDescent="0.3">
      <c r="R170" s="54"/>
      <c r="S170" s="54"/>
      <c r="T170" s="54"/>
      <c r="W170" s="54"/>
      <c r="X170" s="54"/>
      <c r="Y170" s="54"/>
      <c r="AB170" s="54"/>
      <c r="AC170" s="54"/>
      <c r="AD170" s="54"/>
      <c r="AG170" s="54"/>
      <c r="AH170" s="54"/>
      <c r="AI170" s="54"/>
    </row>
    <row r="171" spans="18:35" x14ac:dyDescent="0.3">
      <c r="R171" s="54"/>
      <c r="S171" s="54"/>
      <c r="T171" s="54"/>
      <c r="W171" s="54"/>
      <c r="X171" s="54"/>
      <c r="Y171" s="54"/>
      <c r="AB171" s="54"/>
      <c r="AC171" s="54"/>
      <c r="AD171" s="54"/>
      <c r="AG171" s="54"/>
      <c r="AH171" s="54"/>
      <c r="AI171" s="54"/>
    </row>
    <row r="172" spans="18:35" x14ac:dyDescent="0.3">
      <c r="R172" s="54"/>
      <c r="S172" s="54"/>
      <c r="T172" s="54"/>
      <c r="W172" s="54"/>
      <c r="X172" s="54"/>
      <c r="Y172" s="54"/>
      <c r="AB172" s="54"/>
      <c r="AC172" s="54"/>
      <c r="AD172" s="54"/>
      <c r="AG172" s="54"/>
      <c r="AH172" s="54"/>
      <c r="AI172" s="54"/>
    </row>
    <row r="173" spans="18:35" x14ac:dyDescent="0.3">
      <c r="R173" s="54"/>
      <c r="S173" s="54"/>
      <c r="T173" s="54"/>
      <c r="W173" s="54"/>
      <c r="X173" s="54"/>
      <c r="Y173" s="54"/>
      <c r="AB173" s="54"/>
      <c r="AC173" s="54"/>
      <c r="AD173" s="54"/>
      <c r="AG173" s="54"/>
      <c r="AH173" s="54"/>
      <c r="AI173" s="54"/>
    </row>
    <row r="174" spans="18:35" x14ac:dyDescent="0.3">
      <c r="R174" s="54"/>
      <c r="S174" s="54"/>
      <c r="T174" s="54"/>
      <c r="W174" s="54"/>
      <c r="X174" s="54"/>
      <c r="Y174" s="54"/>
      <c r="AB174" s="54"/>
      <c r="AC174" s="54"/>
      <c r="AD174" s="54"/>
      <c r="AG174" s="54"/>
      <c r="AH174" s="54"/>
      <c r="AI174" s="54"/>
    </row>
    <row r="175" spans="18:35" x14ac:dyDescent="0.3">
      <c r="R175" s="54"/>
      <c r="S175" s="54"/>
      <c r="T175" s="54"/>
      <c r="W175" s="54"/>
      <c r="X175" s="54"/>
      <c r="Y175" s="54"/>
      <c r="AB175" s="54"/>
      <c r="AC175" s="54"/>
      <c r="AD175" s="54"/>
      <c r="AG175" s="54"/>
      <c r="AH175" s="54"/>
      <c r="AI175" s="54"/>
    </row>
    <row r="176" spans="18:35" x14ac:dyDescent="0.3">
      <c r="R176" s="54"/>
      <c r="S176" s="54"/>
      <c r="T176" s="54"/>
      <c r="W176" s="54"/>
      <c r="X176" s="54"/>
      <c r="Y176" s="54"/>
      <c r="AB176" s="54"/>
      <c r="AC176" s="54"/>
      <c r="AD176" s="54"/>
      <c r="AG176" s="54"/>
      <c r="AH176" s="54"/>
      <c r="AI176" s="54"/>
    </row>
    <row r="177" spans="18:35" x14ac:dyDescent="0.3">
      <c r="R177" s="54"/>
      <c r="S177" s="54"/>
      <c r="T177" s="54"/>
      <c r="W177" s="54"/>
      <c r="X177" s="54"/>
      <c r="Y177" s="54"/>
      <c r="AB177" s="54"/>
      <c r="AC177" s="54"/>
      <c r="AD177" s="54"/>
      <c r="AG177" s="54"/>
      <c r="AH177" s="54"/>
      <c r="AI177" s="54"/>
    </row>
    <row r="178" spans="18:35" x14ac:dyDescent="0.3">
      <c r="R178" s="54"/>
      <c r="S178" s="54"/>
      <c r="T178" s="54"/>
      <c r="W178" s="54"/>
      <c r="X178" s="54"/>
      <c r="Y178" s="54"/>
      <c r="AB178" s="54"/>
      <c r="AC178" s="54"/>
      <c r="AD178" s="54"/>
      <c r="AG178" s="54"/>
      <c r="AH178" s="54"/>
      <c r="AI178" s="54"/>
    </row>
    <row r="179" spans="18:35" x14ac:dyDescent="0.3">
      <c r="R179" s="54"/>
      <c r="S179" s="54"/>
      <c r="T179" s="54"/>
      <c r="W179" s="54"/>
      <c r="X179" s="54"/>
      <c r="Y179" s="54"/>
      <c r="AB179" s="54"/>
      <c r="AC179" s="54"/>
      <c r="AD179" s="54"/>
      <c r="AG179" s="54"/>
      <c r="AH179" s="54"/>
      <c r="AI179" s="54"/>
    </row>
    <row r="180" spans="18:35" x14ac:dyDescent="0.3">
      <c r="R180" s="54"/>
      <c r="S180" s="54"/>
      <c r="T180" s="54"/>
      <c r="W180" s="54"/>
      <c r="X180" s="54"/>
      <c r="Y180" s="54"/>
      <c r="AB180" s="54"/>
      <c r="AC180" s="54"/>
      <c r="AD180" s="54"/>
      <c r="AG180" s="54"/>
      <c r="AH180" s="54"/>
      <c r="AI180" s="54"/>
    </row>
    <row r="181" spans="18:35" x14ac:dyDescent="0.3">
      <c r="R181" s="54"/>
      <c r="S181" s="54"/>
      <c r="T181" s="54"/>
      <c r="W181" s="54"/>
      <c r="X181" s="54"/>
      <c r="Y181" s="54"/>
      <c r="AB181" s="54"/>
      <c r="AC181" s="54"/>
      <c r="AD181" s="54"/>
      <c r="AG181" s="54"/>
      <c r="AH181" s="54"/>
      <c r="AI181" s="54"/>
    </row>
    <row r="182" spans="18:35" x14ac:dyDescent="0.3">
      <c r="R182" s="54"/>
      <c r="S182" s="54"/>
      <c r="T182" s="54"/>
      <c r="W182" s="54"/>
      <c r="X182" s="54"/>
      <c r="Y182" s="54"/>
      <c r="AB182" s="54"/>
      <c r="AC182" s="54"/>
      <c r="AD182" s="54"/>
      <c r="AG182" s="54"/>
      <c r="AH182" s="54"/>
      <c r="AI182" s="54"/>
    </row>
    <row r="183" spans="18:35" x14ac:dyDescent="0.3">
      <c r="R183" s="54"/>
      <c r="S183" s="54"/>
      <c r="T183" s="54"/>
      <c r="W183" s="54"/>
      <c r="X183" s="54"/>
      <c r="Y183" s="54"/>
      <c r="AB183" s="54"/>
      <c r="AC183" s="54"/>
      <c r="AD183" s="54"/>
      <c r="AG183" s="54"/>
      <c r="AH183" s="54"/>
      <c r="AI183" s="54"/>
    </row>
    <row r="184" spans="18:35" x14ac:dyDescent="0.3">
      <c r="R184" s="54"/>
      <c r="S184" s="54"/>
      <c r="T184" s="54"/>
      <c r="W184" s="54"/>
      <c r="X184" s="54"/>
      <c r="Y184" s="54"/>
      <c r="AB184" s="54"/>
      <c r="AC184" s="54"/>
      <c r="AD184" s="54"/>
      <c r="AG184" s="54"/>
      <c r="AH184" s="54"/>
      <c r="AI184" s="54"/>
    </row>
    <row r="185" spans="18:35" x14ac:dyDescent="0.3">
      <c r="R185" s="54"/>
      <c r="S185" s="54"/>
      <c r="T185" s="54"/>
      <c r="W185" s="54"/>
      <c r="X185" s="54"/>
      <c r="Y185" s="54"/>
      <c r="AB185" s="54"/>
      <c r="AC185" s="54"/>
      <c r="AD185" s="54"/>
      <c r="AG185" s="54"/>
      <c r="AH185" s="54"/>
      <c r="AI185" s="54"/>
    </row>
    <row r="186" spans="18:35" x14ac:dyDescent="0.3">
      <c r="R186" s="54"/>
      <c r="S186" s="54"/>
      <c r="T186" s="54"/>
      <c r="W186" s="54"/>
      <c r="X186" s="54"/>
      <c r="Y186" s="54"/>
      <c r="AB186" s="54"/>
      <c r="AC186" s="54"/>
      <c r="AD186" s="54"/>
      <c r="AG186" s="54"/>
      <c r="AH186" s="54"/>
      <c r="AI186" s="54"/>
    </row>
    <row r="187" spans="18:35" x14ac:dyDescent="0.3">
      <c r="R187" s="54"/>
      <c r="S187" s="54"/>
      <c r="T187" s="54"/>
      <c r="W187" s="54"/>
      <c r="X187" s="54"/>
      <c r="Y187" s="54"/>
      <c r="AB187" s="54"/>
      <c r="AC187" s="54"/>
      <c r="AD187" s="54"/>
      <c r="AG187" s="54"/>
      <c r="AH187" s="54"/>
      <c r="AI187" s="54"/>
    </row>
    <row r="188" spans="18:35" x14ac:dyDescent="0.3">
      <c r="R188" s="54"/>
      <c r="S188" s="54"/>
      <c r="T188" s="54"/>
      <c r="W188" s="54"/>
      <c r="X188" s="54"/>
      <c r="Y188" s="54"/>
      <c r="AB188" s="54"/>
      <c r="AC188" s="54"/>
      <c r="AD188" s="54"/>
      <c r="AG188" s="54"/>
      <c r="AH188" s="54"/>
      <c r="AI188" s="54"/>
    </row>
    <row r="189" spans="18:35" x14ac:dyDescent="0.3">
      <c r="R189" s="54"/>
      <c r="S189" s="54"/>
      <c r="T189" s="54"/>
      <c r="W189" s="54"/>
      <c r="X189" s="54"/>
      <c r="Y189" s="54"/>
      <c r="AB189" s="54"/>
      <c r="AC189" s="54"/>
      <c r="AD189" s="54"/>
      <c r="AG189" s="54"/>
      <c r="AH189" s="54"/>
      <c r="AI189" s="54"/>
    </row>
    <row r="190" spans="18:35" x14ac:dyDescent="0.3">
      <c r="R190" s="54"/>
      <c r="S190" s="54"/>
      <c r="T190" s="54"/>
      <c r="W190" s="54"/>
      <c r="X190" s="54"/>
      <c r="Y190" s="54"/>
      <c r="AB190" s="54"/>
      <c r="AC190" s="54"/>
      <c r="AD190" s="54"/>
      <c r="AG190" s="54"/>
      <c r="AH190" s="54"/>
      <c r="AI190" s="54"/>
    </row>
    <row r="191" spans="18:35" x14ac:dyDescent="0.3">
      <c r="R191" s="54"/>
      <c r="S191" s="54"/>
      <c r="T191" s="54"/>
      <c r="W191" s="54"/>
      <c r="X191" s="54"/>
      <c r="Y191" s="54"/>
      <c r="AB191" s="54"/>
      <c r="AC191" s="54"/>
      <c r="AD191" s="54"/>
      <c r="AG191" s="54"/>
      <c r="AH191" s="54"/>
      <c r="AI191" s="54"/>
    </row>
    <row r="192" spans="18:35" x14ac:dyDescent="0.3">
      <c r="R192" s="54"/>
      <c r="S192" s="54"/>
      <c r="T192" s="54"/>
      <c r="W192" s="54"/>
      <c r="X192" s="54"/>
      <c r="Y192" s="54"/>
      <c r="AB192" s="54"/>
      <c r="AC192" s="54"/>
      <c r="AD192" s="54"/>
      <c r="AG192" s="54"/>
      <c r="AH192" s="54"/>
      <c r="AI192" s="54"/>
    </row>
    <row r="193" spans="18:35" x14ac:dyDescent="0.3">
      <c r="R193" s="54"/>
      <c r="S193" s="54"/>
      <c r="T193" s="54"/>
      <c r="W193" s="54"/>
      <c r="X193" s="54"/>
      <c r="Y193" s="54"/>
      <c r="AB193" s="54"/>
      <c r="AC193" s="54"/>
      <c r="AD193" s="54"/>
      <c r="AG193" s="54"/>
      <c r="AH193" s="54"/>
      <c r="AI193" s="54"/>
    </row>
    <row r="194" spans="18:35" x14ac:dyDescent="0.3">
      <c r="R194" s="54"/>
      <c r="S194" s="54"/>
      <c r="T194" s="54"/>
      <c r="W194" s="54"/>
      <c r="X194" s="54"/>
      <c r="Y194" s="54"/>
      <c r="AB194" s="54"/>
      <c r="AC194" s="54"/>
      <c r="AD194" s="54"/>
      <c r="AG194" s="54"/>
      <c r="AH194" s="54"/>
      <c r="AI194" s="54"/>
    </row>
    <row r="195" spans="18:35" x14ac:dyDescent="0.3">
      <c r="R195" s="54"/>
      <c r="S195" s="54"/>
      <c r="T195" s="54"/>
      <c r="W195" s="54"/>
      <c r="X195" s="54"/>
      <c r="Y195" s="54"/>
      <c r="AB195" s="54"/>
      <c r="AC195" s="54"/>
      <c r="AD195" s="54"/>
      <c r="AG195" s="54"/>
      <c r="AH195" s="54"/>
      <c r="AI195" s="54"/>
    </row>
    <row r="196" spans="18:35" x14ac:dyDescent="0.3">
      <c r="R196" s="54"/>
      <c r="S196" s="54"/>
      <c r="T196" s="54"/>
      <c r="W196" s="54"/>
      <c r="X196" s="54"/>
      <c r="Y196" s="54"/>
      <c r="AB196" s="54"/>
      <c r="AC196" s="54"/>
      <c r="AD196" s="54"/>
      <c r="AG196" s="54"/>
      <c r="AH196" s="54"/>
      <c r="AI196" s="54"/>
    </row>
    <row r="197" spans="18:35" x14ac:dyDescent="0.3">
      <c r="R197" s="54"/>
      <c r="S197" s="54"/>
      <c r="T197" s="54"/>
      <c r="W197" s="54"/>
      <c r="X197" s="54"/>
      <c r="Y197" s="54"/>
      <c r="AB197" s="54"/>
      <c r="AC197" s="54"/>
      <c r="AD197" s="54"/>
      <c r="AG197" s="54"/>
      <c r="AH197" s="54"/>
      <c r="AI197" s="54"/>
    </row>
    <row r="198" spans="18:35" x14ac:dyDescent="0.3">
      <c r="R198" s="54"/>
      <c r="S198" s="54"/>
      <c r="T198" s="54"/>
      <c r="W198" s="54"/>
      <c r="X198" s="54"/>
      <c r="Y198" s="54"/>
      <c r="AB198" s="54"/>
      <c r="AC198" s="54"/>
      <c r="AD198" s="54"/>
      <c r="AG198" s="54"/>
      <c r="AH198" s="54"/>
      <c r="AI198" s="54"/>
    </row>
    <row r="199" spans="18:35" x14ac:dyDescent="0.3">
      <c r="R199" s="54"/>
      <c r="S199" s="54"/>
      <c r="T199" s="54"/>
      <c r="W199" s="54"/>
      <c r="X199" s="54"/>
      <c r="Y199" s="54"/>
      <c r="AB199" s="54"/>
      <c r="AC199" s="54"/>
      <c r="AD199" s="54"/>
      <c r="AG199" s="54"/>
      <c r="AH199" s="54"/>
      <c r="AI199" s="54"/>
    </row>
    <row r="200" spans="18:35" x14ac:dyDescent="0.3">
      <c r="R200" s="54"/>
      <c r="S200" s="54"/>
      <c r="T200" s="54"/>
      <c r="W200" s="54"/>
      <c r="X200" s="54"/>
      <c r="Y200" s="54"/>
      <c r="AB200" s="54"/>
      <c r="AC200" s="54"/>
      <c r="AD200" s="54"/>
      <c r="AG200" s="54"/>
      <c r="AH200" s="54"/>
      <c r="AI200" s="54"/>
    </row>
    <row r="201" spans="18:35" x14ac:dyDescent="0.3">
      <c r="R201" s="54"/>
      <c r="S201" s="54"/>
      <c r="T201" s="54"/>
      <c r="W201" s="54"/>
      <c r="X201" s="54"/>
      <c r="Y201" s="54"/>
      <c r="AB201" s="54"/>
      <c r="AC201" s="54"/>
      <c r="AD201" s="54"/>
      <c r="AG201" s="54"/>
      <c r="AH201" s="54"/>
      <c r="AI201" s="54"/>
    </row>
    <row r="202" spans="18:35" x14ac:dyDescent="0.3">
      <c r="R202" s="54"/>
      <c r="S202" s="54"/>
      <c r="T202" s="54"/>
      <c r="W202" s="54"/>
      <c r="X202" s="54"/>
      <c r="Y202" s="54"/>
      <c r="AB202" s="54"/>
      <c r="AC202" s="54"/>
      <c r="AD202" s="54"/>
      <c r="AG202" s="54"/>
      <c r="AH202" s="54"/>
      <c r="AI202" s="54"/>
    </row>
    <row r="203" spans="18:35" x14ac:dyDescent="0.3">
      <c r="R203" s="54"/>
      <c r="S203" s="54"/>
      <c r="T203" s="54"/>
      <c r="W203" s="54"/>
      <c r="X203" s="54"/>
      <c r="Y203" s="54"/>
      <c r="AB203" s="54"/>
      <c r="AC203" s="54"/>
      <c r="AD203" s="54"/>
      <c r="AG203" s="54"/>
      <c r="AH203" s="54"/>
      <c r="AI203" s="54"/>
    </row>
    <row r="204" spans="18:35" x14ac:dyDescent="0.3">
      <c r="R204" s="54"/>
      <c r="S204" s="54"/>
      <c r="T204" s="54"/>
      <c r="W204" s="54"/>
      <c r="X204" s="54"/>
      <c r="Y204" s="54"/>
      <c r="AB204" s="54"/>
      <c r="AC204" s="54"/>
      <c r="AD204" s="54"/>
      <c r="AG204" s="54"/>
      <c r="AH204" s="54"/>
      <c r="AI204" s="54"/>
    </row>
    <row r="205" spans="18:35" x14ac:dyDescent="0.3">
      <c r="R205" s="54"/>
      <c r="S205" s="54"/>
      <c r="T205" s="54"/>
      <c r="W205" s="54"/>
      <c r="X205" s="54"/>
      <c r="Y205" s="54"/>
      <c r="AB205" s="54"/>
      <c r="AC205" s="54"/>
      <c r="AD205" s="54"/>
      <c r="AG205" s="54"/>
      <c r="AH205" s="54"/>
      <c r="AI205" s="54"/>
    </row>
    <row r="206" spans="18:35" x14ac:dyDescent="0.3">
      <c r="R206" s="54"/>
      <c r="S206" s="54"/>
      <c r="T206" s="54"/>
      <c r="W206" s="54"/>
      <c r="X206" s="54"/>
      <c r="Y206" s="54"/>
      <c r="AB206" s="54"/>
      <c r="AC206" s="54"/>
      <c r="AD206" s="54"/>
      <c r="AG206" s="54"/>
      <c r="AH206" s="54"/>
      <c r="AI206" s="54"/>
    </row>
    <row r="207" spans="18:35" x14ac:dyDescent="0.3">
      <c r="R207" s="54"/>
      <c r="S207" s="54"/>
      <c r="T207" s="54"/>
      <c r="W207" s="54"/>
      <c r="X207" s="54"/>
      <c r="Y207" s="54"/>
      <c r="AB207" s="54"/>
      <c r="AC207" s="54"/>
      <c r="AD207" s="54"/>
      <c r="AG207" s="54"/>
      <c r="AH207" s="54"/>
      <c r="AI207" s="54"/>
    </row>
    <row r="208" spans="18:35" x14ac:dyDescent="0.3">
      <c r="R208" s="54"/>
      <c r="S208" s="54"/>
      <c r="T208" s="54"/>
      <c r="W208" s="54"/>
      <c r="X208" s="54"/>
      <c r="Y208" s="54"/>
      <c r="AB208" s="54"/>
      <c r="AC208" s="54"/>
      <c r="AD208" s="54"/>
      <c r="AG208" s="54"/>
      <c r="AH208" s="54"/>
      <c r="AI208" s="54"/>
    </row>
    <row r="209" spans="18:35" x14ac:dyDescent="0.3">
      <c r="R209" s="54"/>
      <c r="S209" s="54"/>
      <c r="T209" s="54"/>
      <c r="W209" s="54"/>
      <c r="X209" s="54"/>
      <c r="Y209" s="54"/>
      <c r="AB209" s="54"/>
      <c r="AC209" s="54"/>
      <c r="AD209" s="54"/>
      <c r="AG209" s="54"/>
      <c r="AH209" s="54"/>
      <c r="AI209" s="54"/>
    </row>
    <row r="210" spans="18:35" x14ac:dyDescent="0.3">
      <c r="R210" s="54"/>
      <c r="S210" s="54"/>
      <c r="T210" s="54"/>
      <c r="W210" s="54"/>
      <c r="X210" s="54"/>
      <c r="Y210" s="54"/>
      <c r="AB210" s="54"/>
      <c r="AC210" s="54"/>
      <c r="AD210" s="54"/>
      <c r="AG210" s="54"/>
      <c r="AH210" s="54"/>
      <c r="AI210" s="54"/>
    </row>
    <row r="211" spans="18:35" x14ac:dyDescent="0.3">
      <c r="R211" s="54"/>
      <c r="S211" s="54"/>
      <c r="T211" s="54"/>
      <c r="W211" s="54"/>
      <c r="X211" s="54"/>
      <c r="Y211" s="54"/>
      <c r="AB211" s="54"/>
      <c r="AC211" s="54"/>
      <c r="AD211" s="54"/>
      <c r="AG211" s="54"/>
      <c r="AH211" s="54"/>
      <c r="AI211" s="54"/>
    </row>
    <row r="212" spans="18:35" x14ac:dyDescent="0.3">
      <c r="R212" s="54"/>
      <c r="S212" s="54"/>
      <c r="T212" s="54"/>
      <c r="W212" s="54"/>
      <c r="X212" s="54"/>
      <c r="Y212" s="54"/>
      <c r="AB212" s="54"/>
      <c r="AC212" s="54"/>
      <c r="AD212" s="54"/>
      <c r="AG212" s="54"/>
      <c r="AH212" s="54"/>
      <c r="AI212" s="54"/>
    </row>
    <row r="213" spans="18:35" x14ac:dyDescent="0.3">
      <c r="R213" s="54"/>
      <c r="S213" s="54"/>
      <c r="T213" s="54"/>
      <c r="W213" s="54"/>
      <c r="X213" s="54"/>
      <c r="Y213" s="54"/>
      <c r="AB213" s="54"/>
      <c r="AC213" s="54"/>
      <c r="AD213" s="54"/>
      <c r="AG213" s="54"/>
      <c r="AH213" s="54"/>
      <c r="AI213" s="54"/>
    </row>
    <row r="214" spans="18:35" x14ac:dyDescent="0.3">
      <c r="R214" s="54"/>
      <c r="S214" s="54"/>
      <c r="T214" s="54"/>
      <c r="W214" s="54"/>
      <c r="X214" s="54"/>
      <c r="Y214" s="54"/>
      <c r="AB214" s="54"/>
      <c r="AC214" s="54"/>
      <c r="AD214" s="54"/>
      <c r="AG214" s="54"/>
      <c r="AH214" s="54"/>
      <c r="AI214" s="54"/>
    </row>
    <row r="215" spans="18:35" x14ac:dyDescent="0.3">
      <c r="R215" s="54"/>
      <c r="S215" s="54"/>
      <c r="T215" s="54"/>
      <c r="W215" s="54"/>
      <c r="X215" s="54"/>
      <c r="Y215" s="54"/>
      <c r="AB215" s="54"/>
      <c r="AC215" s="54"/>
      <c r="AD215" s="54"/>
      <c r="AG215" s="54"/>
      <c r="AH215" s="54"/>
      <c r="AI215" s="54"/>
    </row>
    <row r="216" spans="18:35" x14ac:dyDescent="0.3">
      <c r="R216" s="54"/>
      <c r="S216" s="54"/>
      <c r="T216" s="54"/>
      <c r="W216" s="54"/>
      <c r="X216" s="54"/>
      <c r="Y216" s="54"/>
      <c r="AB216" s="54"/>
      <c r="AC216" s="54"/>
      <c r="AD216" s="54"/>
      <c r="AG216" s="54"/>
      <c r="AH216" s="54"/>
      <c r="AI216" s="54"/>
    </row>
    <row r="217" spans="18:35" x14ac:dyDescent="0.3">
      <c r="R217" s="54"/>
      <c r="S217" s="54"/>
      <c r="T217" s="54"/>
      <c r="W217" s="54"/>
      <c r="X217" s="54"/>
      <c r="Y217" s="54"/>
      <c r="AB217" s="54"/>
      <c r="AC217" s="54"/>
      <c r="AD217" s="54"/>
      <c r="AG217" s="54"/>
      <c r="AH217" s="54"/>
      <c r="AI217" s="54"/>
    </row>
    <row r="218" spans="18:35" x14ac:dyDescent="0.3">
      <c r="R218" s="54"/>
      <c r="S218" s="54"/>
      <c r="T218" s="54"/>
      <c r="W218" s="54"/>
      <c r="X218" s="54"/>
      <c r="Y218" s="54"/>
      <c r="AB218" s="54"/>
      <c r="AC218" s="54"/>
      <c r="AD218" s="54"/>
      <c r="AG218" s="54"/>
      <c r="AH218" s="54"/>
      <c r="AI218" s="54"/>
    </row>
    <row r="219" spans="18:35" x14ac:dyDescent="0.3">
      <c r="R219" s="54"/>
      <c r="S219" s="54"/>
      <c r="T219" s="54"/>
      <c r="W219" s="54"/>
      <c r="X219" s="54"/>
      <c r="Y219" s="54"/>
      <c r="AB219" s="54"/>
      <c r="AC219" s="54"/>
      <c r="AD219" s="54"/>
      <c r="AG219" s="54"/>
      <c r="AH219" s="54"/>
      <c r="AI219" s="54"/>
    </row>
    <row r="220" spans="18:35" x14ac:dyDescent="0.3">
      <c r="R220" s="54"/>
      <c r="S220" s="54"/>
      <c r="T220" s="54"/>
      <c r="W220" s="54"/>
      <c r="X220" s="54"/>
      <c r="Y220" s="54"/>
      <c r="AB220" s="54"/>
      <c r="AC220" s="54"/>
      <c r="AD220" s="54"/>
      <c r="AG220" s="54"/>
      <c r="AH220" s="54"/>
      <c r="AI220" s="54"/>
    </row>
    <row r="221" spans="18:35" x14ac:dyDescent="0.3">
      <c r="R221" s="54"/>
      <c r="S221" s="54"/>
      <c r="T221" s="54"/>
      <c r="W221" s="54"/>
      <c r="X221" s="54"/>
      <c r="Y221" s="54"/>
      <c r="AB221" s="54"/>
      <c r="AC221" s="54"/>
      <c r="AD221" s="54"/>
      <c r="AG221" s="54"/>
      <c r="AH221" s="54"/>
      <c r="AI221" s="54"/>
    </row>
    <row r="222" spans="18:35" x14ac:dyDescent="0.3">
      <c r="R222" s="54"/>
      <c r="S222" s="54"/>
      <c r="T222" s="54"/>
      <c r="W222" s="54"/>
      <c r="X222" s="54"/>
      <c r="Y222" s="54"/>
      <c r="AB222" s="54"/>
      <c r="AC222" s="54"/>
      <c r="AD222" s="54"/>
      <c r="AG222" s="54"/>
      <c r="AH222" s="54"/>
      <c r="AI222" s="54"/>
    </row>
    <row r="223" spans="18:35" x14ac:dyDescent="0.3">
      <c r="R223" s="54"/>
      <c r="S223" s="54"/>
      <c r="T223" s="54"/>
      <c r="W223" s="54"/>
      <c r="X223" s="54"/>
      <c r="Y223" s="54"/>
      <c r="AB223" s="54"/>
      <c r="AC223" s="54"/>
      <c r="AD223" s="54"/>
      <c r="AG223" s="54"/>
      <c r="AH223" s="54"/>
      <c r="AI223" s="54"/>
    </row>
    <row r="224" spans="18:35" x14ac:dyDescent="0.3">
      <c r="R224" s="54"/>
      <c r="S224" s="54"/>
      <c r="T224" s="54"/>
      <c r="W224" s="54"/>
      <c r="X224" s="54"/>
      <c r="Y224" s="54"/>
      <c r="AB224" s="54"/>
      <c r="AC224" s="54"/>
      <c r="AD224" s="54"/>
      <c r="AG224" s="54"/>
      <c r="AH224" s="54"/>
      <c r="AI224" s="54"/>
    </row>
    <row r="225" spans="18:35" x14ac:dyDescent="0.3">
      <c r="R225" s="54"/>
      <c r="S225" s="54"/>
      <c r="T225" s="54"/>
      <c r="W225" s="54"/>
      <c r="X225" s="54"/>
      <c r="Y225" s="54"/>
      <c r="AB225" s="54"/>
      <c r="AC225" s="54"/>
      <c r="AD225" s="54"/>
      <c r="AG225" s="54"/>
      <c r="AH225" s="54"/>
      <c r="AI225" s="54"/>
    </row>
    <row r="226" spans="18:35" x14ac:dyDescent="0.3">
      <c r="R226" s="54"/>
      <c r="S226" s="54"/>
      <c r="T226" s="54"/>
      <c r="W226" s="54"/>
      <c r="X226" s="54"/>
      <c r="Y226" s="54"/>
      <c r="AB226" s="54"/>
      <c r="AC226" s="54"/>
      <c r="AD226" s="54"/>
      <c r="AG226" s="54"/>
      <c r="AH226" s="54"/>
      <c r="AI226" s="54"/>
    </row>
    <row r="227" spans="18:35" x14ac:dyDescent="0.3">
      <c r="R227" s="54"/>
      <c r="S227" s="54"/>
      <c r="T227" s="54"/>
      <c r="W227" s="54"/>
      <c r="X227" s="54"/>
      <c r="Y227" s="54"/>
      <c r="AB227" s="54"/>
      <c r="AC227" s="54"/>
      <c r="AD227" s="54"/>
      <c r="AG227" s="54"/>
      <c r="AH227" s="54"/>
      <c r="AI227" s="54"/>
    </row>
    <row r="228" spans="18:35" x14ac:dyDescent="0.3">
      <c r="R228" s="54"/>
      <c r="S228" s="54"/>
      <c r="T228" s="54"/>
      <c r="W228" s="54"/>
      <c r="X228" s="54"/>
      <c r="Y228" s="54"/>
      <c r="AB228" s="54"/>
      <c r="AC228" s="54"/>
      <c r="AD228" s="54"/>
      <c r="AG228" s="54"/>
      <c r="AH228" s="54"/>
      <c r="AI228" s="54"/>
    </row>
    <row r="229" spans="18:35" x14ac:dyDescent="0.3">
      <c r="R229" s="54"/>
      <c r="S229" s="54"/>
      <c r="T229" s="54"/>
      <c r="W229" s="54"/>
      <c r="X229" s="54"/>
      <c r="Y229" s="54"/>
      <c r="AB229" s="54"/>
      <c r="AC229" s="54"/>
      <c r="AD229" s="54"/>
      <c r="AG229" s="54"/>
      <c r="AH229" s="54"/>
      <c r="AI229" s="54"/>
    </row>
    <row r="230" spans="18:35" x14ac:dyDescent="0.3">
      <c r="R230" s="54"/>
      <c r="S230" s="54"/>
      <c r="T230" s="54"/>
      <c r="W230" s="54"/>
      <c r="X230" s="54"/>
      <c r="Y230" s="54"/>
      <c r="AB230" s="54"/>
      <c r="AC230" s="54"/>
      <c r="AD230" s="54"/>
      <c r="AG230" s="54"/>
      <c r="AH230" s="54"/>
      <c r="AI230" s="54"/>
    </row>
    <row r="231" spans="18:35" x14ac:dyDescent="0.3">
      <c r="R231" s="54"/>
      <c r="S231" s="54"/>
      <c r="T231" s="54"/>
      <c r="W231" s="54"/>
      <c r="X231" s="54"/>
      <c r="Y231" s="54"/>
      <c r="AB231" s="54"/>
      <c r="AC231" s="54"/>
      <c r="AD231" s="54"/>
      <c r="AG231" s="54"/>
      <c r="AH231" s="54"/>
      <c r="AI231" s="54"/>
    </row>
    <row r="232" spans="18:35" x14ac:dyDescent="0.3">
      <c r="R232" s="54"/>
      <c r="S232" s="54"/>
      <c r="T232" s="54"/>
      <c r="W232" s="54"/>
      <c r="X232" s="54"/>
      <c r="Y232" s="54"/>
      <c r="AB232" s="54"/>
      <c r="AC232" s="54"/>
      <c r="AD232" s="54"/>
      <c r="AG232" s="54"/>
      <c r="AH232" s="54"/>
      <c r="AI232" s="54"/>
    </row>
    <row r="233" spans="18:35" x14ac:dyDescent="0.3">
      <c r="R233" s="54"/>
      <c r="S233" s="54"/>
      <c r="T233" s="54"/>
      <c r="W233" s="54"/>
      <c r="X233" s="54"/>
      <c r="Y233" s="54"/>
      <c r="AB233" s="54"/>
      <c r="AC233" s="54"/>
      <c r="AD233" s="54"/>
      <c r="AG233" s="54"/>
      <c r="AH233" s="54"/>
      <c r="AI233" s="54"/>
    </row>
    <row r="234" spans="18:35" x14ac:dyDescent="0.3">
      <c r="R234" s="54"/>
      <c r="S234" s="54"/>
      <c r="T234" s="54"/>
      <c r="W234" s="54"/>
      <c r="X234" s="54"/>
      <c r="Y234" s="54"/>
      <c r="AB234" s="54"/>
      <c r="AC234" s="54"/>
      <c r="AD234" s="54"/>
      <c r="AG234" s="54"/>
      <c r="AH234" s="54"/>
      <c r="AI234" s="54"/>
    </row>
    <row r="235" spans="18:35" x14ac:dyDescent="0.3">
      <c r="R235" s="54"/>
      <c r="S235" s="54"/>
      <c r="T235" s="54"/>
      <c r="W235" s="54"/>
      <c r="X235" s="54"/>
      <c r="Y235" s="54"/>
      <c r="AB235" s="54"/>
      <c r="AC235" s="54"/>
      <c r="AD235" s="54"/>
      <c r="AG235" s="54"/>
      <c r="AH235" s="54"/>
      <c r="AI235" s="54"/>
    </row>
    <row r="236" spans="18:35" x14ac:dyDescent="0.3">
      <c r="R236" s="54"/>
      <c r="S236" s="54"/>
      <c r="T236" s="54"/>
      <c r="W236" s="54"/>
      <c r="X236" s="54"/>
      <c r="Y236" s="54"/>
      <c r="AB236" s="54"/>
      <c r="AC236" s="54"/>
      <c r="AD236" s="54"/>
      <c r="AG236" s="54"/>
      <c r="AH236" s="54"/>
      <c r="AI236" s="54"/>
    </row>
    <row r="237" spans="18:35" x14ac:dyDescent="0.3">
      <c r="R237" s="54"/>
      <c r="S237" s="54"/>
      <c r="T237" s="54"/>
      <c r="W237" s="54"/>
      <c r="X237" s="54"/>
      <c r="Y237" s="54"/>
      <c r="AB237" s="54"/>
      <c r="AC237" s="54"/>
      <c r="AD237" s="54"/>
      <c r="AG237" s="54"/>
      <c r="AH237" s="54"/>
      <c r="AI237" s="54"/>
    </row>
    <row r="238" spans="18:35" x14ac:dyDescent="0.3">
      <c r="R238" s="54"/>
      <c r="S238" s="54"/>
      <c r="T238" s="54"/>
      <c r="W238" s="54"/>
      <c r="X238" s="54"/>
      <c r="Y238" s="54"/>
      <c r="AB238" s="54"/>
      <c r="AC238" s="54"/>
      <c r="AD238" s="54"/>
      <c r="AG238" s="54"/>
      <c r="AH238" s="54"/>
      <c r="AI238" s="54"/>
    </row>
    <row r="239" spans="18:35" x14ac:dyDescent="0.3">
      <c r="R239" s="54"/>
      <c r="S239" s="54"/>
      <c r="T239" s="54"/>
      <c r="W239" s="54"/>
      <c r="X239" s="54"/>
      <c r="Y239" s="54"/>
      <c r="AB239" s="54"/>
      <c r="AC239" s="54"/>
      <c r="AD239" s="54"/>
      <c r="AG239" s="54"/>
      <c r="AH239" s="54"/>
      <c r="AI239" s="54"/>
    </row>
    <row r="240" spans="18:35" x14ac:dyDescent="0.3">
      <c r="R240" s="54"/>
      <c r="S240" s="54"/>
      <c r="T240" s="54"/>
      <c r="W240" s="54"/>
      <c r="X240" s="54"/>
      <c r="Y240" s="54"/>
      <c r="AB240" s="54"/>
      <c r="AC240" s="54"/>
      <c r="AD240" s="54"/>
      <c r="AG240" s="54"/>
      <c r="AH240" s="54"/>
      <c r="AI240" s="54"/>
    </row>
    <row r="241" spans="18:35" x14ac:dyDescent="0.3">
      <c r="R241" s="54"/>
      <c r="S241" s="54"/>
      <c r="T241" s="54"/>
      <c r="W241" s="54"/>
      <c r="X241" s="54"/>
      <c r="Y241" s="54"/>
      <c r="AB241" s="54"/>
      <c r="AC241" s="54"/>
      <c r="AD241" s="54"/>
      <c r="AG241" s="54"/>
      <c r="AH241" s="54"/>
      <c r="AI241" s="54"/>
    </row>
    <row r="242" spans="18:35" x14ac:dyDescent="0.3">
      <c r="R242" s="54"/>
      <c r="S242" s="54"/>
      <c r="T242" s="54"/>
      <c r="W242" s="54"/>
      <c r="X242" s="54"/>
      <c r="Y242" s="54"/>
      <c r="AB242" s="54"/>
      <c r="AC242" s="54"/>
      <c r="AD242" s="54"/>
      <c r="AG242" s="54"/>
      <c r="AH242" s="54"/>
      <c r="AI242" s="54"/>
    </row>
    <row r="243" spans="18:35" x14ac:dyDescent="0.3">
      <c r="R243" s="54"/>
      <c r="S243" s="54"/>
      <c r="T243" s="54"/>
      <c r="W243" s="54"/>
      <c r="X243" s="54"/>
      <c r="Y243" s="54"/>
      <c r="AB243" s="54"/>
      <c r="AC243" s="54"/>
      <c r="AD243" s="54"/>
      <c r="AG243" s="54"/>
      <c r="AH243" s="54"/>
      <c r="AI243" s="54"/>
    </row>
    <row r="244" spans="18:35" x14ac:dyDescent="0.3">
      <c r="R244" s="54"/>
      <c r="S244" s="54"/>
      <c r="T244" s="54"/>
      <c r="W244" s="54"/>
      <c r="X244" s="54"/>
      <c r="Y244" s="54"/>
      <c r="AB244" s="54"/>
      <c r="AC244" s="54"/>
      <c r="AD244" s="54"/>
      <c r="AG244" s="54"/>
      <c r="AH244" s="54"/>
      <c r="AI244" s="54"/>
    </row>
    <row r="245" spans="18:35" x14ac:dyDescent="0.3">
      <c r="R245" s="54"/>
      <c r="S245" s="54"/>
      <c r="T245" s="54"/>
      <c r="W245" s="54"/>
      <c r="X245" s="54"/>
      <c r="Y245" s="54"/>
      <c r="AB245" s="54"/>
      <c r="AC245" s="54"/>
      <c r="AD245" s="54"/>
      <c r="AG245" s="54"/>
      <c r="AH245" s="54"/>
      <c r="AI245" s="54"/>
    </row>
    <row r="246" spans="18:35" x14ac:dyDescent="0.3">
      <c r="R246" s="54"/>
      <c r="S246" s="54"/>
      <c r="T246" s="54"/>
      <c r="W246" s="54"/>
      <c r="X246" s="54"/>
      <c r="Y246" s="54"/>
      <c r="AB246" s="54"/>
      <c r="AC246" s="54"/>
      <c r="AD246" s="54"/>
      <c r="AG246" s="54"/>
      <c r="AH246" s="54"/>
      <c r="AI246" s="54"/>
    </row>
    <row r="247" spans="18:35" x14ac:dyDescent="0.3">
      <c r="R247" s="54"/>
      <c r="S247" s="54"/>
      <c r="T247" s="54"/>
      <c r="W247" s="54"/>
      <c r="X247" s="54"/>
      <c r="Y247" s="54"/>
      <c r="AB247" s="54"/>
      <c r="AC247" s="54"/>
      <c r="AD247" s="54"/>
      <c r="AG247" s="54"/>
      <c r="AH247" s="54"/>
      <c r="AI247" s="54"/>
    </row>
    <row r="248" spans="18:35" x14ac:dyDescent="0.3">
      <c r="R248" s="54"/>
      <c r="S248" s="54"/>
      <c r="T248" s="54"/>
      <c r="W248" s="54"/>
      <c r="X248" s="54"/>
      <c r="Y248" s="54"/>
      <c r="AB248" s="54"/>
      <c r="AC248" s="54"/>
      <c r="AD248" s="54"/>
      <c r="AG248" s="54"/>
      <c r="AH248" s="54"/>
      <c r="AI248" s="54"/>
    </row>
    <row r="249" spans="18:35" x14ac:dyDescent="0.3">
      <c r="R249" s="54"/>
      <c r="S249" s="54"/>
      <c r="T249" s="54"/>
      <c r="W249" s="54"/>
      <c r="X249" s="54"/>
      <c r="Y249" s="54"/>
      <c r="AB249" s="54"/>
      <c r="AC249" s="54"/>
      <c r="AD249" s="54"/>
      <c r="AG249" s="54"/>
      <c r="AH249" s="54"/>
      <c r="AI249" s="54"/>
    </row>
    <row r="250" spans="18:35" x14ac:dyDescent="0.3">
      <c r="R250" s="54"/>
      <c r="S250" s="54"/>
      <c r="T250" s="54"/>
      <c r="W250" s="54"/>
      <c r="X250" s="54"/>
      <c r="Y250" s="54"/>
      <c r="AB250" s="54"/>
      <c r="AC250" s="54"/>
      <c r="AD250" s="54"/>
      <c r="AG250" s="54"/>
      <c r="AH250" s="54"/>
      <c r="AI250" s="54"/>
    </row>
    <row r="251" spans="18:35" x14ac:dyDescent="0.3">
      <c r="R251" s="54"/>
      <c r="S251" s="54"/>
      <c r="T251" s="54"/>
      <c r="W251" s="54"/>
      <c r="X251" s="54"/>
      <c r="Y251" s="54"/>
      <c r="AB251" s="54"/>
      <c r="AC251" s="54"/>
      <c r="AD251" s="54"/>
      <c r="AG251" s="54"/>
      <c r="AH251" s="54"/>
      <c r="AI251" s="54"/>
    </row>
    <row r="252" spans="18:35" x14ac:dyDescent="0.3">
      <c r="R252" s="54"/>
      <c r="S252" s="54"/>
      <c r="T252" s="54"/>
      <c r="W252" s="54"/>
      <c r="X252" s="54"/>
      <c r="Y252" s="54"/>
      <c r="AB252" s="54"/>
      <c r="AC252" s="54"/>
      <c r="AD252" s="54"/>
      <c r="AG252" s="54"/>
      <c r="AH252" s="54"/>
      <c r="AI252" s="54"/>
    </row>
    <row r="253" spans="18:35" x14ac:dyDescent="0.3">
      <c r="R253" s="54"/>
      <c r="S253" s="54"/>
      <c r="T253" s="54"/>
      <c r="W253" s="54"/>
      <c r="X253" s="54"/>
      <c r="Y253" s="54"/>
      <c r="AB253" s="54"/>
      <c r="AC253" s="54"/>
      <c r="AD253" s="54"/>
      <c r="AG253" s="54"/>
      <c r="AH253" s="54"/>
      <c r="AI253" s="54"/>
    </row>
    <row r="254" spans="18:35" x14ac:dyDescent="0.3">
      <c r="R254" s="54"/>
      <c r="S254" s="54"/>
      <c r="T254" s="54"/>
      <c r="W254" s="54"/>
      <c r="X254" s="54"/>
      <c r="Y254" s="54"/>
      <c r="AB254" s="54"/>
      <c r="AC254" s="54"/>
      <c r="AD254" s="54"/>
      <c r="AG254" s="54"/>
      <c r="AH254" s="54"/>
      <c r="AI254" s="54"/>
    </row>
    <row r="255" spans="18:35" x14ac:dyDescent="0.3">
      <c r="R255" s="54"/>
      <c r="S255" s="54"/>
      <c r="T255" s="54"/>
      <c r="W255" s="54"/>
      <c r="X255" s="54"/>
      <c r="Y255" s="54"/>
      <c r="AB255" s="54"/>
      <c r="AC255" s="54"/>
      <c r="AD255" s="54"/>
      <c r="AG255" s="54"/>
      <c r="AH255" s="54"/>
      <c r="AI255" s="54"/>
    </row>
    <row r="256" spans="18:35" x14ac:dyDescent="0.3">
      <c r="R256" s="54"/>
      <c r="S256" s="54"/>
      <c r="T256" s="54"/>
      <c r="W256" s="54"/>
      <c r="X256" s="54"/>
      <c r="Y256" s="54"/>
      <c r="AB256" s="54"/>
      <c r="AC256" s="54"/>
      <c r="AD256" s="54"/>
      <c r="AG256" s="54"/>
      <c r="AH256" s="54"/>
      <c r="AI256" s="54"/>
    </row>
    <row r="257" spans="18:35" x14ac:dyDescent="0.3">
      <c r="R257" s="54"/>
      <c r="S257" s="54"/>
      <c r="T257" s="54"/>
      <c r="W257" s="54"/>
      <c r="X257" s="54"/>
      <c r="Y257" s="54"/>
      <c r="AB257" s="54"/>
      <c r="AC257" s="54"/>
      <c r="AD257" s="54"/>
      <c r="AG257" s="54"/>
      <c r="AH257" s="54"/>
      <c r="AI257" s="54"/>
    </row>
    <row r="258" spans="18:35" x14ac:dyDescent="0.3">
      <c r="R258" s="54"/>
      <c r="S258" s="54"/>
      <c r="T258" s="54"/>
      <c r="W258" s="54"/>
      <c r="X258" s="54"/>
      <c r="Y258" s="54"/>
      <c r="AB258" s="54"/>
      <c r="AC258" s="54"/>
      <c r="AD258" s="54"/>
      <c r="AG258" s="54"/>
      <c r="AH258" s="54"/>
      <c r="AI258" s="54"/>
    </row>
    <row r="259" spans="18:35" x14ac:dyDescent="0.3">
      <c r="R259" s="54"/>
      <c r="S259" s="54"/>
      <c r="T259" s="54"/>
      <c r="W259" s="54"/>
      <c r="X259" s="54"/>
      <c r="Y259" s="54"/>
      <c r="AB259" s="54"/>
      <c r="AC259" s="54"/>
      <c r="AD259" s="54"/>
      <c r="AG259" s="54"/>
      <c r="AH259" s="54"/>
      <c r="AI259" s="54"/>
    </row>
    <row r="260" spans="18:35" x14ac:dyDescent="0.3">
      <c r="R260" s="54"/>
      <c r="S260" s="54"/>
      <c r="T260" s="54"/>
      <c r="W260" s="54"/>
      <c r="X260" s="54"/>
      <c r="Y260" s="54"/>
      <c r="AB260" s="54"/>
      <c r="AC260" s="54"/>
      <c r="AD260" s="54"/>
      <c r="AG260" s="54"/>
      <c r="AH260" s="54"/>
      <c r="AI260" s="54"/>
    </row>
    <row r="261" spans="18:35" x14ac:dyDescent="0.3">
      <c r="R261" s="54"/>
      <c r="S261" s="54"/>
      <c r="T261" s="54"/>
      <c r="W261" s="54"/>
      <c r="X261" s="54"/>
      <c r="Y261" s="54"/>
      <c r="AB261" s="54"/>
      <c r="AC261" s="54"/>
      <c r="AD261" s="54"/>
      <c r="AG261" s="54"/>
      <c r="AH261" s="54"/>
      <c r="AI261" s="54"/>
    </row>
    <row r="262" spans="18:35" x14ac:dyDescent="0.3">
      <c r="R262" s="54"/>
      <c r="S262" s="54"/>
      <c r="T262" s="54"/>
      <c r="W262" s="54"/>
      <c r="X262" s="54"/>
      <c r="Y262" s="54"/>
      <c r="AB262" s="54"/>
      <c r="AC262" s="54"/>
      <c r="AD262" s="54"/>
      <c r="AG262" s="54"/>
      <c r="AH262" s="54"/>
      <c r="AI262" s="54"/>
    </row>
    <row r="263" spans="18:35" x14ac:dyDescent="0.3">
      <c r="R263" s="54"/>
      <c r="S263" s="54"/>
      <c r="T263" s="54"/>
      <c r="W263" s="54"/>
      <c r="X263" s="54"/>
      <c r="Y263" s="54"/>
      <c r="AB263" s="54"/>
      <c r="AC263" s="54"/>
      <c r="AD263" s="54"/>
      <c r="AG263" s="54"/>
      <c r="AH263" s="54"/>
      <c r="AI263" s="54"/>
    </row>
    <row r="264" spans="18:35" x14ac:dyDescent="0.3">
      <c r="R264" s="54"/>
      <c r="S264" s="54"/>
      <c r="T264" s="54"/>
      <c r="W264" s="54"/>
      <c r="X264" s="54"/>
      <c r="Y264" s="54"/>
      <c r="AB264" s="54"/>
      <c r="AC264" s="54"/>
      <c r="AD264" s="54"/>
      <c r="AG264" s="54"/>
      <c r="AH264" s="54"/>
      <c r="AI264" s="54"/>
    </row>
    <row r="265" spans="18:35" x14ac:dyDescent="0.3">
      <c r="R265" s="54"/>
      <c r="S265" s="54"/>
      <c r="T265" s="54"/>
      <c r="W265" s="54"/>
      <c r="X265" s="54"/>
      <c r="Y265" s="54"/>
      <c r="AB265" s="54"/>
      <c r="AC265" s="54"/>
      <c r="AD265" s="54"/>
      <c r="AG265" s="54"/>
      <c r="AH265" s="54"/>
      <c r="AI265" s="54"/>
    </row>
    <row r="266" spans="18:35" x14ac:dyDescent="0.3">
      <c r="R266" s="54"/>
      <c r="S266" s="54"/>
      <c r="T266" s="54"/>
      <c r="W266" s="54"/>
      <c r="X266" s="54"/>
      <c r="Y266" s="54"/>
      <c r="AB266" s="54"/>
      <c r="AC266" s="54"/>
      <c r="AD266" s="54"/>
      <c r="AG266" s="54"/>
      <c r="AH266" s="54"/>
      <c r="AI266" s="54"/>
    </row>
    <row r="267" spans="18:35" x14ac:dyDescent="0.3">
      <c r="R267" s="54"/>
      <c r="S267" s="54"/>
      <c r="T267" s="54"/>
      <c r="W267" s="54"/>
      <c r="X267" s="54"/>
      <c r="Y267" s="54"/>
      <c r="AB267" s="54"/>
      <c r="AC267" s="54"/>
      <c r="AD267" s="54"/>
      <c r="AG267" s="54"/>
      <c r="AH267" s="54"/>
      <c r="AI267" s="54"/>
    </row>
    <row r="268" spans="18:35" x14ac:dyDescent="0.3">
      <c r="R268" s="54"/>
      <c r="S268" s="54"/>
      <c r="T268" s="54"/>
      <c r="W268" s="54"/>
      <c r="X268" s="54"/>
      <c r="Y268" s="54"/>
      <c r="AB268" s="54"/>
      <c r="AC268" s="54"/>
      <c r="AD268" s="54"/>
      <c r="AG268" s="54"/>
      <c r="AH268" s="54"/>
      <c r="AI268" s="54"/>
    </row>
    <row r="269" spans="18:35" x14ac:dyDescent="0.3">
      <c r="R269" s="54"/>
      <c r="S269" s="54"/>
      <c r="T269" s="54"/>
      <c r="W269" s="54"/>
      <c r="X269" s="54"/>
      <c r="Y269" s="54"/>
      <c r="AB269" s="54"/>
      <c r="AC269" s="54"/>
      <c r="AD269" s="54"/>
      <c r="AG269" s="54"/>
      <c r="AH269" s="54"/>
      <c r="AI269" s="54"/>
    </row>
    <row r="270" spans="18:35" x14ac:dyDescent="0.3">
      <c r="R270" s="54"/>
      <c r="S270" s="54"/>
      <c r="T270" s="54"/>
      <c r="W270" s="54"/>
      <c r="X270" s="54"/>
      <c r="Y270" s="54"/>
      <c r="AB270" s="54"/>
      <c r="AC270" s="54"/>
      <c r="AD270" s="54"/>
      <c r="AG270" s="54"/>
      <c r="AH270" s="54"/>
      <c r="AI270" s="54"/>
    </row>
    <row r="271" spans="18:35" x14ac:dyDescent="0.3">
      <c r="R271" s="54"/>
      <c r="S271" s="54"/>
      <c r="T271" s="54"/>
      <c r="W271" s="54"/>
      <c r="X271" s="54"/>
      <c r="Y271" s="54"/>
      <c r="AB271" s="54"/>
      <c r="AC271" s="54"/>
      <c r="AD271" s="54"/>
      <c r="AG271" s="54"/>
      <c r="AH271" s="54"/>
      <c r="AI271" s="54"/>
    </row>
    <row r="272" spans="18:35" x14ac:dyDescent="0.3">
      <c r="R272" s="54"/>
      <c r="S272" s="54"/>
      <c r="T272" s="54"/>
      <c r="W272" s="54"/>
      <c r="X272" s="54"/>
      <c r="Y272" s="54"/>
      <c r="AB272" s="54"/>
      <c r="AC272" s="54"/>
      <c r="AD272" s="54"/>
      <c r="AG272" s="54"/>
      <c r="AH272" s="54"/>
      <c r="AI272" s="54"/>
    </row>
    <row r="273" spans="18:35" x14ac:dyDescent="0.3">
      <c r="R273" s="54"/>
      <c r="S273" s="54"/>
      <c r="T273" s="54"/>
      <c r="W273" s="54"/>
      <c r="X273" s="54"/>
      <c r="Y273" s="54"/>
      <c r="AB273" s="54"/>
      <c r="AC273" s="54"/>
      <c r="AD273" s="54"/>
      <c r="AG273" s="54"/>
      <c r="AH273" s="54"/>
      <c r="AI273" s="54"/>
    </row>
    <row r="274" spans="18:35" x14ac:dyDescent="0.3">
      <c r="R274" s="54"/>
      <c r="S274" s="54"/>
      <c r="T274" s="54"/>
      <c r="W274" s="54"/>
      <c r="X274" s="54"/>
      <c r="Y274" s="54"/>
      <c r="AB274" s="54"/>
      <c r="AC274" s="54"/>
      <c r="AD274" s="54"/>
      <c r="AG274" s="54"/>
      <c r="AH274" s="54"/>
      <c r="AI274" s="54"/>
    </row>
    <row r="275" spans="18:35" x14ac:dyDescent="0.3">
      <c r="R275" s="54"/>
      <c r="S275" s="54"/>
      <c r="T275" s="54"/>
      <c r="W275" s="54"/>
      <c r="X275" s="54"/>
      <c r="Y275" s="54"/>
      <c r="AB275" s="54"/>
      <c r="AC275" s="54"/>
      <c r="AD275" s="54"/>
      <c r="AG275" s="54"/>
      <c r="AH275" s="54"/>
      <c r="AI275" s="54"/>
    </row>
    <row r="276" spans="18:35" x14ac:dyDescent="0.3">
      <c r="R276" s="54"/>
      <c r="S276" s="54"/>
      <c r="T276" s="54"/>
      <c r="W276" s="54"/>
      <c r="X276" s="54"/>
      <c r="Y276" s="54"/>
      <c r="AB276" s="54"/>
      <c r="AC276" s="54"/>
      <c r="AD276" s="54"/>
      <c r="AG276" s="54"/>
      <c r="AH276" s="54"/>
      <c r="AI276" s="54"/>
    </row>
    <row r="277" spans="18:35" x14ac:dyDescent="0.3">
      <c r="R277" s="54"/>
      <c r="S277" s="54"/>
      <c r="T277" s="54"/>
      <c r="W277" s="54"/>
      <c r="X277" s="54"/>
      <c r="Y277" s="54"/>
      <c r="AB277" s="54"/>
      <c r="AC277" s="54"/>
      <c r="AD277" s="54"/>
      <c r="AG277" s="54"/>
      <c r="AH277" s="54"/>
      <c r="AI277" s="54"/>
    </row>
    <row r="278" spans="18:35" x14ac:dyDescent="0.3">
      <c r="R278" s="54"/>
      <c r="S278" s="54"/>
      <c r="T278" s="54"/>
      <c r="W278" s="54"/>
      <c r="X278" s="54"/>
      <c r="Y278" s="54"/>
      <c r="AB278" s="54"/>
      <c r="AC278" s="54"/>
      <c r="AD278" s="54"/>
      <c r="AG278" s="54"/>
      <c r="AH278" s="54"/>
      <c r="AI278" s="54"/>
    </row>
    <row r="279" spans="18:35" x14ac:dyDescent="0.3">
      <c r="R279" s="54"/>
      <c r="S279" s="54"/>
      <c r="T279" s="54"/>
      <c r="W279" s="54"/>
      <c r="X279" s="54"/>
      <c r="Y279" s="54"/>
      <c r="AB279" s="54"/>
      <c r="AC279" s="54"/>
      <c r="AD279" s="54"/>
      <c r="AG279" s="54"/>
      <c r="AH279" s="54"/>
      <c r="AI279" s="54"/>
    </row>
    <row r="280" spans="18:35" x14ac:dyDescent="0.3">
      <c r="R280" s="54"/>
      <c r="S280" s="54"/>
      <c r="T280" s="54"/>
      <c r="W280" s="54"/>
      <c r="X280" s="54"/>
      <c r="Y280" s="54"/>
      <c r="AB280" s="54"/>
      <c r="AC280" s="54"/>
      <c r="AD280" s="54"/>
      <c r="AG280" s="54"/>
      <c r="AH280" s="54"/>
      <c r="AI280" s="54"/>
    </row>
    <row r="281" spans="18:35" x14ac:dyDescent="0.3">
      <c r="R281" s="54"/>
      <c r="S281" s="54"/>
      <c r="T281" s="54"/>
      <c r="W281" s="54"/>
      <c r="X281" s="54"/>
      <c r="Y281" s="54"/>
      <c r="AB281" s="54"/>
      <c r="AC281" s="54"/>
      <c r="AD281" s="54"/>
      <c r="AG281" s="54"/>
      <c r="AH281" s="54"/>
      <c r="AI281" s="54"/>
    </row>
    <row r="282" spans="18:35" x14ac:dyDescent="0.3">
      <c r="R282" s="54"/>
      <c r="S282" s="54"/>
      <c r="T282" s="54"/>
      <c r="W282" s="54"/>
      <c r="X282" s="54"/>
      <c r="Y282" s="54"/>
      <c r="AB282" s="54"/>
      <c r="AC282" s="54"/>
      <c r="AD282" s="54"/>
      <c r="AG282" s="54"/>
      <c r="AH282" s="54"/>
      <c r="AI282" s="54"/>
    </row>
    <row r="283" spans="18:35" x14ac:dyDescent="0.3">
      <c r="R283" s="54"/>
      <c r="S283" s="54"/>
      <c r="T283" s="54"/>
      <c r="W283" s="54"/>
      <c r="X283" s="54"/>
      <c r="Y283" s="54"/>
      <c r="AB283" s="54"/>
      <c r="AC283" s="54"/>
      <c r="AD283" s="54"/>
      <c r="AG283" s="54"/>
      <c r="AH283" s="54"/>
      <c r="AI283" s="54"/>
    </row>
    <row r="284" spans="18:35" x14ac:dyDescent="0.3">
      <c r="R284" s="54"/>
      <c r="S284" s="54"/>
      <c r="T284" s="54"/>
      <c r="W284" s="54"/>
      <c r="X284" s="54"/>
      <c r="Y284" s="54"/>
      <c r="AB284" s="54"/>
      <c r="AC284" s="54"/>
      <c r="AD284" s="54"/>
      <c r="AG284" s="54"/>
      <c r="AH284" s="54"/>
      <c r="AI284" s="54"/>
    </row>
    <row r="285" spans="18:35" x14ac:dyDescent="0.3">
      <c r="R285" s="54"/>
      <c r="S285" s="54"/>
      <c r="T285" s="54"/>
      <c r="W285" s="54"/>
      <c r="X285" s="54"/>
      <c r="Y285" s="54"/>
      <c r="AB285" s="54"/>
      <c r="AC285" s="54"/>
      <c r="AD285" s="54"/>
      <c r="AG285" s="54"/>
      <c r="AH285" s="54"/>
      <c r="AI285" s="54"/>
    </row>
    <row r="286" spans="18:35" x14ac:dyDescent="0.3">
      <c r="R286" s="54"/>
      <c r="S286" s="54"/>
      <c r="T286" s="54"/>
      <c r="W286" s="54"/>
      <c r="X286" s="54"/>
      <c r="Y286" s="54"/>
      <c r="AB286" s="54"/>
      <c r="AC286" s="54"/>
      <c r="AD286" s="54"/>
      <c r="AG286" s="54"/>
      <c r="AH286" s="54"/>
      <c r="AI286" s="54"/>
    </row>
    <row r="287" spans="18:35" x14ac:dyDescent="0.3">
      <c r="R287" s="54"/>
      <c r="S287" s="54"/>
      <c r="T287" s="54"/>
      <c r="W287" s="54"/>
      <c r="X287" s="54"/>
      <c r="Y287" s="54"/>
      <c r="AB287" s="54"/>
      <c r="AC287" s="54"/>
      <c r="AD287" s="54"/>
      <c r="AG287" s="54"/>
      <c r="AH287" s="54"/>
      <c r="AI287" s="54"/>
    </row>
    <row r="288" spans="18:35" x14ac:dyDescent="0.3">
      <c r="R288" s="54"/>
      <c r="S288" s="54"/>
      <c r="T288" s="54"/>
      <c r="W288" s="54"/>
      <c r="X288" s="54"/>
      <c r="Y288" s="54"/>
      <c r="AB288" s="54"/>
      <c r="AC288" s="54"/>
      <c r="AD288" s="54"/>
      <c r="AG288" s="54"/>
      <c r="AH288" s="54"/>
      <c r="AI288" s="54"/>
    </row>
    <row r="289" spans="18:35" x14ac:dyDescent="0.3">
      <c r="R289" s="54"/>
      <c r="S289" s="54"/>
      <c r="T289" s="54"/>
      <c r="W289" s="54"/>
      <c r="X289" s="54"/>
      <c r="Y289" s="54"/>
      <c r="AB289" s="54"/>
      <c r="AC289" s="54"/>
      <c r="AD289" s="54"/>
      <c r="AG289" s="54"/>
      <c r="AH289" s="54"/>
      <c r="AI289" s="54"/>
    </row>
    <row r="290" spans="18:35" x14ac:dyDescent="0.3">
      <c r="R290" s="54"/>
      <c r="S290" s="54"/>
      <c r="T290" s="54"/>
      <c r="W290" s="54"/>
      <c r="X290" s="54"/>
      <c r="Y290" s="54"/>
      <c r="AB290" s="54"/>
      <c r="AC290" s="54"/>
      <c r="AD290" s="54"/>
      <c r="AG290" s="54"/>
      <c r="AH290" s="54"/>
      <c r="AI290" s="54"/>
    </row>
    <row r="291" spans="18:35" x14ac:dyDescent="0.3">
      <c r="R291" s="54"/>
      <c r="S291" s="54"/>
      <c r="T291" s="54"/>
      <c r="W291" s="54"/>
      <c r="X291" s="54"/>
      <c r="Y291" s="54"/>
      <c r="AB291" s="54"/>
      <c r="AC291" s="54"/>
      <c r="AD291" s="54"/>
      <c r="AG291" s="54"/>
      <c r="AH291" s="54"/>
      <c r="AI291" s="54"/>
    </row>
    <row r="292" spans="18:35" x14ac:dyDescent="0.3">
      <c r="R292" s="54"/>
      <c r="S292" s="54"/>
      <c r="T292" s="54"/>
      <c r="W292" s="54"/>
      <c r="X292" s="54"/>
      <c r="Y292" s="54"/>
      <c r="AB292" s="54"/>
      <c r="AC292" s="54"/>
      <c r="AD292" s="54"/>
      <c r="AG292" s="54"/>
      <c r="AH292" s="54"/>
      <c r="AI292" s="54"/>
    </row>
    <row r="293" spans="18:35" x14ac:dyDescent="0.3">
      <c r="R293" s="54"/>
      <c r="S293" s="54"/>
      <c r="T293" s="54"/>
      <c r="W293" s="54"/>
      <c r="X293" s="54"/>
      <c r="Y293" s="54"/>
      <c r="AB293" s="54"/>
      <c r="AC293" s="54"/>
      <c r="AD293" s="54"/>
      <c r="AG293" s="54"/>
      <c r="AH293" s="54"/>
      <c r="AI293" s="54"/>
    </row>
    <row r="294" spans="18:35" x14ac:dyDescent="0.3">
      <c r="R294" s="54"/>
      <c r="S294" s="54"/>
      <c r="T294" s="54"/>
      <c r="W294" s="54"/>
      <c r="X294" s="54"/>
      <c r="Y294" s="54"/>
      <c r="AB294" s="54"/>
      <c r="AC294" s="54"/>
      <c r="AD294" s="54"/>
      <c r="AG294" s="54"/>
      <c r="AH294" s="54"/>
      <c r="AI294" s="54"/>
    </row>
    <row r="295" spans="18:35" x14ac:dyDescent="0.3">
      <c r="R295" s="54"/>
      <c r="S295" s="54"/>
      <c r="T295" s="54"/>
      <c r="W295" s="54"/>
      <c r="X295" s="54"/>
      <c r="Y295" s="54"/>
      <c r="AB295" s="54"/>
      <c r="AC295" s="54"/>
      <c r="AD295" s="54"/>
      <c r="AG295" s="54"/>
      <c r="AH295" s="54"/>
      <c r="AI295" s="54"/>
    </row>
    <row r="296" spans="18:35" x14ac:dyDescent="0.3">
      <c r="R296" s="54"/>
      <c r="S296" s="54"/>
      <c r="T296" s="54"/>
      <c r="W296" s="54"/>
      <c r="X296" s="54"/>
      <c r="Y296" s="54"/>
      <c r="AB296" s="54"/>
      <c r="AC296" s="54"/>
      <c r="AD296" s="54"/>
      <c r="AG296" s="54"/>
      <c r="AH296" s="54"/>
      <c r="AI296" s="54"/>
    </row>
    <row r="297" spans="18:35" x14ac:dyDescent="0.3">
      <c r="R297" s="54"/>
      <c r="S297" s="54"/>
      <c r="T297" s="54"/>
      <c r="W297" s="54"/>
      <c r="X297" s="54"/>
      <c r="Y297" s="54"/>
      <c r="AB297" s="54"/>
      <c r="AC297" s="54"/>
      <c r="AD297" s="54"/>
      <c r="AG297" s="54"/>
      <c r="AH297" s="54"/>
      <c r="AI297" s="54"/>
    </row>
    <row r="298" spans="18:35" x14ac:dyDescent="0.3">
      <c r="R298" s="54"/>
      <c r="S298" s="54"/>
      <c r="T298" s="54"/>
      <c r="W298" s="54"/>
      <c r="X298" s="54"/>
      <c r="Y298" s="54"/>
      <c r="AB298" s="54"/>
      <c r="AC298" s="54"/>
      <c r="AD298" s="54"/>
      <c r="AG298" s="54"/>
      <c r="AH298" s="54"/>
      <c r="AI298" s="54"/>
    </row>
    <row r="299" spans="18:35" x14ac:dyDescent="0.3">
      <c r="R299" s="54"/>
      <c r="S299" s="54"/>
      <c r="T299" s="54"/>
      <c r="W299" s="54"/>
      <c r="X299" s="54"/>
      <c r="Y299" s="54"/>
      <c r="AB299" s="54"/>
      <c r="AC299" s="54"/>
      <c r="AD299" s="54"/>
      <c r="AG299" s="54"/>
      <c r="AH299" s="54"/>
      <c r="AI299" s="54"/>
    </row>
    <row r="300" spans="18:35" x14ac:dyDescent="0.3">
      <c r="R300" s="54"/>
      <c r="S300" s="54"/>
      <c r="T300" s="54"/>
      <c r="W300" s="54"/>
      <c r="X300" s="54"/>
      <c r="Y300" s="54"/>
      <c r="AB300" s="54"/>
      <c r="AC300" s="54"/>
      <c r="AD300" s="54"/>
      <c r="AG300" s="54"/>
      <c r="AH300" s="54"/>
      <c r="AI300" s="54"/>
    </row>
    <row r="301" spans="18:35" x14ac:dyDescent="0.3">
      <c r="R301" s="54"/>
      <c r="S301" s="54"/>
      <c r="T301" s="54"/>
      <c r="W301" s="54"/>
      <c r="X301" s="54"/>
      <c r="Y301" s="54"/>
      <c r="AB301" s="54"/>
      <c r="AC301" s="54"/>
      <c r="AD301" s="54"/>
      <c r="AG301" s="54"/>
      <c r="AH301" s="54"/>
      <c r="AI301" s="54"/>
    </row>
    <row r="302" spans="18:35" x14ac:dyDescent="0.3">
      <c r="R302" s="54"/>
      <c r="S302" s="54"/>
      <c r="T302" s="54"/>
      <c r="W302" s="54"/>
      <c r="X302" s="54"/>
      <c r="Y302" s="54"/>
      <c r="AB302" s="54"/>
      <c r="AC302" s="54"/>
      <c r="AD302" s="54"/>
      <c r="AG302" s="54"/>
      <c r="AH302" s="54"/>
      <c r="AI302" s="54"/>
    </row>
    <row r="303" spans="18:35" x14ac:dyDescent="0.3">
      <c r="R303" s="54"/>
      <c r="S303" s="54"/>
      <c r="T303" s="54"/>
      <c r="W303" s="54"/>
      <c r="X303" s="54"/>
      <c r="Y303" s="54"/>
      <c r="AB303" s="54"/>
      <c r="AC303" s="54"/>
      <c r="AD303" s="54"/>
      <c r="AG303" s="54"/>
      <c r="AH303" s="54"/>
      <c r="AI303" s="54"/>
    </row>
    <row r="304" spans="18:35" x14ac:dyDescent="0.3">
      <c r="R304" s="54"/>
      <c r="S304" s="54"/>
      <c r="T304" s="54"/>
      <c r="W304" s="54"/>
      <c r="X304" s="54"/>
      <c r="Y304" s="54"/>
      <c r="AB304" s="54"/>
      <c r="AC304" s="54"/>
      <c r="AD304" s="54"/>
      <c r="AG304" s="54"/>
      <c r="AH304" s="54"/>
      <c r="AI304" s="54"/>
    </row>
    <row r="305" spans="18:35" x14ac:dyDescent="0.3">
      <c r="R305" s="54"/>
      <c r="S305" s="54"/>
      <c r="T305" s="54"/>
      <c r="W305" s="54"/>
      <c r="X305" s="54"/>
      <c r="Y305" s="54"/>
      <c r="AB305" s="54"/>
      <c r="AC305" s="54"/>
      <c r="AD305" s="54"/>
      <c r="AG305" s="54"/>
      <c r="AH305" s="54"/>
      <c r="AI305" s="54"/>
    </row>
    <row r="306" spans="18:35" x14ac:dyDescent="0.3">
      <c r="R306" s="54"/>
      <c r="S306" s="54"/>
      <c r="T306" s="54"/>
      <c r="W306" s="54"/>
      <c r="X306" s="54"/>
      <c r="Y306" s="54"/>
      <c r="AB306" s="54"/>
      <c r="AC306" s="54"/>
      <c r="AD306" s="54"/>
      <c r="AG306" s="54"/>
      <c r="AH306" s="54"/>
      <c r="AI306" s="54"/>
    </row>
    <row r="307" spans="18:35" x14ac:dyDescent="0.3">
      <c r="R307" s="54"/>
      <c r="S307" s="54"/>
      <c r="T307" s="54"/>
      <c r="W307" s="54"/>
      <c r="X307" s="54"/>
      <c r="Y307" s="54"/>
      <c r="AB307" s="54"/>
      <c r="AC307" s="54"/>
      <c r="AD307" s="54"/>
      <c r="AG307" s="54"/>
      <c r="AH307" s="54"/>
      <c r="AI307" s="54"/>
    </row>
    <row r="308" spans="18:35" x14ac:dyDescent="0.3">
      <c r="R308" s="54"/>
      <c r="S308" s="54"/>
      <c r="T308" s="54"/>
      <c r="W308" s="54"/>
      <c r="X308" s="54"/>
      <c r="Y308" s="54"/>
      <c r="AB308" s="54"/>
      <c r="AC308" s="54"/>
      <c r="AD308" s="54"/>
      <c r="AG308" s="54"/>
      <c r="AH308" s="54"/>
      <c r="AI308" s="54"/>
    </row>
    <row r="309" spans="18:35" x14ac:dyDescent="0.3">
      <c r="R309" s="54"/>
      <c r="S309" s="54"/>
      <c r="T309" s="54"/>
      <c r="W309" s="54"/>
      <c r="X309" s="54"/>
      <c r="Y309" s="54"/>
      <c r="AB309" s="54"/>
      <c r="AC309" s="54"/>
      <c r="AD309" s="54"/>
      <c r="AG309" s="54"/>
      <c r="AH309" s="54"/>
      <c r="AI309" s="54"/>
    </row>
    <row r="310" spans="18:35" x14ac:dyDescent="0.3">
      <c r="R310" s="54"/>
      <c r="S310" s="54"/>
      <c r="T310" s="54"/>
      <c r="W310" s="54"/>
      <c r="X310" s="54"/>
      <c r="Y310" s="54"/>
      <c r="AB310" s="54"/>
      <c r="AC310" s="54"/>
      <c r="AD310" s="54"/>
      <c r="AG310" s="54"/>
      <c r="AH310" s="54"/>
      <c r="AI310" s="54"/>
    </row>
    <row r="311" spans="18:35" x14ac:dyDescent="0.3">
      <c r="R311" s="54"/>
      <c r="S311" s="54"/>
      <c r="T311" s="54"/>
      <c r="W311" s="54"/>
      <c r="X311" s="54"/>
      <c r="Y311" s="54"/>
      <c r="AB311" s="54"/>
      <c r="AC311" s="54"/>
      <c r="AD311" s="54"/>
      <c r="AG311" s="54"/>
      <c r="AH311" s="54"/>
      <c r="AI311" s="54"/>
    </row>
    <row r="312" spans="18:35" x14ac:dyDescent="0.3">
      <c r="R312" s="54"/>
      <c r="S312" s="54"/>
      <c r="T312" s="54"/>
      <c r="W312" s="54"/>
      <c r="X312" s="54"/>
      <c r="Y312" s="54"/>
      <c r="AB312" s="54"/>
      <c r="AC312" s="54"/>
      <c r="AD312" s="54"/>
      <c r="AG312" s="54"/>
      <c r="AH312" s="54"/>
      <c r="AI312" s="54"/>
    </row>
    <row r="313" spans="18:35" x14ac:dyDescent="0.3">
      <c r="R313" s="54"/>
      <c r="S313" s="54"/>
      <c r="T313" s="54"/>
      <c r="W313" s="54"/>
      <c r="X313" s="54"/>
      <c r="Y313" s="54"/>
      <c r="AB313" s="54"/>
      <c r="AC313" s="54"/>
      <c r="AD313" s="54"/>
      <c r="AG313" s="54"/>
      <c r="AH313" s="54"/>
      <c r="AI313" s="54"/>
    </row>
    <row r="314" spans="18:35" x14ac:dyDescent="0.3">
      <c r="R314" s="54"/>
      <c r="S314" s="54"/>
      <c r="T314" s="54"/>
      <c r="W314" s="54"/>
      <c r="X314" s="54"/>
      <c r="Y314" s="54"/>
      <c r="AB314" s="54"/>
      <c r="AC314" s="54"/>
      <c r="AD314" s="54"/>
      <c r="AG314" s="54"/>
      <c r="AH314" s="54"/>
      <c r="AI314" s="54"/>
    </row>
    <row r="315" spans="18:35" x14ac:dyDescent="0.3">
      <c r="R315" s="54"/>
      <c r="S315" s="54"/>
      <c r="T315" s="54"/>
      <c r="W315" s="54"/>
      <c r="X315" s="54"/>
      <c r="Y315" s="54"/>
      <c r="AB315" s="54"/>
      <c r="AC315" s="54"/>
      <c r="AD315" s="54"/>
      <c r="AG315" s="54"/>
      <c r="AH315" s="54"/>
      <c r="AI315" s="54"/>
    </row>
    <row r="316" spans="18:35" x14ac:dyDescent="0.3">
      <c r="R316" s="54"/>
      <c r="S316" s="54"/>
      <c r="T316" s="54"/>
      <c r="W316" s="54"/>
      <c r="X316" s="54"/>
      <c r="Y316" s="54"/>
      <c r="AB316" s="54"/>
      <c r="AC316" s="54"/>
      <c r="AD316" s="54"/>
      <c r="AG316" s="54"/>
      <c r="AH316" s="54"/>
      <c r="AI316" s="54"/>
    </row>
    <row r="317" spans="18:35" x14ac:dyDescent="0.3">
      <c r="R317" s="54"/>
      <c r="S317" s="54"/>
      <c r="T317" s="54"/>
      <c r="W317" s="54"/>
      <c r="X317" s="54"/>
      <c r="Y317" s="54"/>
      <c r="AB317" s="54"/>
      <c r="AC317" s="54"/>
      <c r="AD317" s="54"/>
      <c r="AG317" s="54"/>
      <c r="AH317" s="54"/>
      <c r="AI317" s="54"/>
    </row>
    <row r="318" spans="18:35" x14ac:dyDescent="0.3">
      <c r="R318" s="54"/>
      <c r="S318" s="54"/>
      <c r="T318" s="54"/>
      <c r="W318" s="54"/>
      <c r="X318" s="54"/>
      <c r="Y318" s="54"/>
      <c r="AB318" s="54"/>
      <c r="AC318" s="54"/>
      <c r="AD318" s="54"/>
      <c r="AG318" s="54"/>
      <c r="AH318" s="54"/>
      <c r="AI318" s="54"/>
    </row>
    <row r="319" spans="18:35" x14ac:dyDescent="0.3">
      <c r="R319" s="54"/>
      <c r="S319" s="54"/>
      <c r="T319" s="54"/>
      <c r="W319" s="54"/>
      <c r="X319" s="54"/>
      <c r="Y319" s="54"/>
      <c r="AB319" s="54"/>
      <c r="AC319" s="54"/>
      <c r="AD319" s="54"/>
      <c r="AG319" s="54"/>
      <c r="AH319" s="54"/>
      <c r="AI319" s="54"/>
    </row>
    <row r="320" spans="18:35" x14ac:dyDescent="0.3">
      <c r="R320" s="54"/>
      <c r="S320" s="54"/>
      <c r="T320" s="54"/>
      <c r="W320" s="54"/>
      <c r="X320" s="54"/>
      <c r="Y320" s="54"/>
      <c r="AB320" s="54"/>
      <c r="AC320" s="54"/>
      <c r="AD320" s="54"/>
      <c r="AG320" s="54"/>
      <c r="AH320" s="54"/>
      <c r="AI320" s="54"/>
    </row>
    <row r="321" spans="18:35" x14ac:dyDescent="0.3">
      <c r="R321" s="54"/>
      <c r="S321" s="54"/>
      <c r="T321" s="54"/>
      <c r="W321" s="54"/>
      <c r="X321" s="54"/>
      <c r="Y321" s="54"/>
      <c r="AB321" s="54"/>
      <c r="AC321" s="54"/>
      <c r="AD321" s="54"/>
      <c r="AG321" s="54"/>
      <c r="AH321" s="54"/>
      <c r="AI321" s="54"/>
    </row>
    <row r="322" spans="18:35" x14ac:dyDescent="0.3">
      <c r="R322" s="54"/>
      <c r="S322" s="54"/>
      <c r="T322" s="54"/>
      <c r="W322" s="54"/>
      <c r="X322" s="54"/>
      <c r="Y322" s="54"/>
      <c r="AB322" s="54"/>
      <c r="AC322" s="54"/>
      <c r="AD322" s="54"/>
      <c r="AG322" s="54"/>
      <c r="AH322" s="54"/>
      <c r="AI322" s="54"/>
    </row>
    <row r="323" spans="18:35" x14ac:dyDescent="0.3">
      <c r="R323" s="54"/>
      <c r="S323" s="54"/>
      <c r="T323" s="54"/>
      <c r="W323" s="54"/>
      <c r="X323" s="54"/>
      <c r="Y323" s="54"/>
      <c r="AB323" s="54"/>
      <c r="AC323" s="54"/>
      <c r="AD323" s="54"/>
      <c r="AG323" s="54"/>
      <c r="AH323" s="54"/>
      <c r="AI323" s="54"/>
    </row>
    <row r="324" spans="18:35" x14ac:dyDescent="0.3">
      <c r="R324" s="54"/>
      <c r="S324" s="54"/>
      <c r="T324" s="54"/>
      <c r="W324" s="54"/>
      <c r="X324" s="54"/>
      <c r="Y324" s="54"/>
      <c r="AB324" s="54"/>
      <c r="AC324" s="54"/>
      <c r="AD324" s="54"/>
      <c r="AG324" s="54"/>
      <c r="AH324" s="54"/>
      <c r="AI324" s="54"/>
    </row>
    <row r="325" spans="18:35" x14ac:dyDescent="0.3">
      <c r="R325" s="54"/>
      <c r="S325" s="54"/>
      <c r="T325" s="54"/>
      <c r="W325" s="54"/>
      <c r="X325" s="54"/>
      <c r="Y325" s="54"/>
      <c r="AB325" s="54"/>
      <c r="AC325" s="54"/>
      <c r="AD325" s="54"/>
      <c r="AG325" s="54"/>
      <c r="AH325" s="54"/>
      <c r="AI325" s="54"/>
    </row>
    <row r="326" spans="18:35" x14ac:dyDescent="0.3">
      <c r="R326" s="54"/>
      <c r="S326" s="54"/>
      <c r="T326" s="54"/>
      <c r="W326" s="54"/>
      <c r="X326" s="54"/>
      <c r="Y326" s="54"/>
      <c r="AB326" s="54"/>
      <c r="AC326" s="54"/>
      <c r="AD326" s="54"/>
      <c r="AG326" s="54"/>
      <c r="AH326" s="54"/>
      <c r="AI326" s="54"/>
    </row>
    <row r="327" spans="18:35" x14ac:dyDescent="0.3">
      <c r="R327" s="54"/>
      <c r="S327" s="54"/>
      <c r="T327" s="54"/>
      <c r="W327" s="54"/>
      <c r="X327" s="54"/>
      <c r="Y327" s="54"/>
      <c r="AB327" s="54"/>
      <c r="AC327" s="54"/>
      <c r="AD327" s="54"/>
      <c r="AG327" s="54"/>
      <c r="AH327" s="54"/>
      <c r="AI327" s="54"/>
    </row>
    <row r="328" spans="18:35" x14ac:dyDescent="0.3">
      <c r="R328" s="54"/>
      <c r="S328" s="54"/>
      <c r="T328" s="54"/>
      <c r="W328" s="54"/>
      <c r="X328" s="54"/>
      <c r="Y328" s="54"/>
      <c r="AB328" s="54"/>
      <c r="AC328" s="54"/>
      <c r="AD328" s="54"/>
      <c r="AG328" s="54"/>
      <c r="AH328" s="54"/>
      <c r="AI328" s="54"/>
    </row>
    <row r="329" spans="18:35" x14ac:dyDescent="0.3">
      <c r="R329" s="54"/>
      <c r="S329" s="54"/>
      <c r="T329" s="54"/>
      <c r="W329" s="54"/>
      <c r="X329" s="54"/>
      <c r="Y329" s="54"/>
      <c r="AB329" s="54"/>
      <c r="AC329" s="54"/>
      <c r="AD329" s="54"/>
      <c r="AG329" s="54"/>
      <c r="AH329" s="54"/>
      <c r="AI329" s="54"/>
    </row>
    <row r="330" spans="18:35" x14ac:dyDescent="0.3">
      <c r="R330" s="54"/>
      <c r="S330" s="54"/>
      <c r="T330" s="54"/>
      <c r="W330" s="54"/>
      <c r="X330" s="54"/>
      <c r="Y330" s="54"/>
      <c r="AB330" s="54"/>
      <c r="AC330" s="54"/>
      <c r="AD330" s="54"/>
      <c r="AG330" s="54"/>
      <c r="AH330" s="54"/>
      <c r="AI330" s="54"/>
    </row>
    <row r="331" spans="18:35" x14ac:dyDescent="0.3">
      <c r="R331" s="54"/>
      <c r="S331" s="54"/>
      <c r="T331" s="54"/>
      <c r="W331" s="54"/>
      <c r="X331" s="54"/>
      <c r="Y331" s="54"/>
      <c r="AB331" s="54"/>
      <c r="AC331" s="54"/>
      <c r="AD331" s="54"/>
      <c r="AG331" s="54"/>
      <c r="AH331" s="54"/>
      <c r="AI331" s="54"/>
    </row>
    <row r="332" spans="18:35" x14ac:dyDescent="0.3">
      <c r="R332" s="54"/>
      <c r="S332" s="54"/>
      <c r="T332" s="54"/>
      <c r="W332" s="54"/>
      <c r="X332" s="54"/>
      <c r="Y332" s="54"/>
      <c r="AB332" s="54"/>
      <c r="AC332" s="54"/>
      <c r="AD332" s="54"/>
      <c r="AG332" s="54"/>
      <c r="AH332" s="54"/>
      <c r="AI332" s="54"/>
    </row>
    <row r="333" spans="18:35" x14ac:dyDescent="0.3">
      <c r="R333" s="54"/>
      <c r="S333" s="54"/>
      <c r="T333" s="54"/>
      <c r="W333" s="54"/>
      <c r="X333" s="54"/>
      <c r="Y333" s="54"/>
      <c r="AB333" s="54"/>
      <c r="AC333" s="54"/>
      <c r="AD333" s="54"/>
      <c r="AG333" s="54"/>
      <c r="AH333" s="54"/>
      <c r="AI333" s="54"/>
    </row>
    <row r="334" spans="18:35" x14ac:dyDescent="0.3">
      <c r="R334" s="54"/>
      <c r="S334" s="54"/>
      <c r="T334" s="54"/>
      <c r="W334" s="54"/>
      <c r="X334" s="54"/>
      <c r="Y334" s="54"/>
      <c r="AB334" s="54"/>
      <c r="AC334" s="54"/>
      <c r="AD334" s="54"/>
      <c r="AG334" s="54"/>
      <c r="AH334" s="54"/>
      <c r="AI334" s="54"/>
    </row>
    <row r="335" spans="18:35" x14ac:dyDescent="0.3">
      <c r="R335" s="54"/>
      <c r="S335" s="54"/>
      <c r="T335" s="54"/>
      <c r="W335" s="54"/>
      <c r="X335" s="54"/>
      <c r="Y335" s="54"/>
      <c r="AB335" s="54"/>
      <c r="AC335" s="54"/>
      <c r="AD335" s="54"/>
      <c r="AG335" s="54"/>
      <c r="AH335" s="54"/>
      <c r="AI335" s="54"/>
    </row>
    <row r="336" spans="18:35" x14ac:dyDescent="0.3">
      <c r="R336" s="54"/>
      <c r="S336" s="54"/>
      <c r="T336" s="54"/>
      <c r="W336" s="54"/>
      <c r="X336" s="54"/>
      <c r="Y336" s="54"/>
      <c r="AB336" s="54"/>
      <c r="AC336" s="54"/>
      <c r="AD336" s="54"/>
      <c r="AG336" s="54"/>
      <c r="AH336" s="54"/>
      <c r="AI336" s="54"/>
    </row>
    <row r="337" spans="18:35" x14ac:dyDescent="0.3">
      <c r="R337" s="54"/>
      <c r="S337" s="54"/>
      <c r="T337" s="54"/>
      <c r="W337" s="54"/>
      <c r="X337" s="54"/>
      <c r="Y337" s="54"/>
      <c r="AB337" s="54"/>
      <c r="AC337" s="54"/>
      <c r="AD337" s="54"/>
      <c r="AG337" s="54"/>
      <c r="AH337" s="54"/>
      <c r="AI337" s="54"/>
    </row>
    <row r="338" spans="18:35" x14ac:dyDescent="0.3">
      <c r="R338" s="54"/>
      <c r="S338" s="54"/>
      <c r="T338" s="54"/>
      <c r="W338" s="54"/>
      <c r="X338" s="54"/>
      <c r="Y338" s="54"/>
      <c r="AB338" s="54"/>
      <c r="AC338" s="54"/>
      <c r="AD338" s="54"/>
      <c r="AG338" s="54"/>
      <c r="AH338" s="54"/>
      <c r="AI338" s="54"/>
    </row>
    <row r="339" spans="18:35" x14ac:dyDescent="0.3">
      <c r="R339" s="54"/>
      <c r="S339" s="54"/>
      <c r="T339" s="54"/>
      <c r="W339" s="54"/>
      <c r="X339" s="54"/>
      <c r="Y339" s="54"/>
      <c r="AB339" s="54"/>
      <c r="AC339" s="54"/>
      <c r="AD339" s="54"/>
      <c r="AG339" s="54"/>
      <c r="AH339" s="54"/>
      <c r="AI339" s="54"/>
    </row>
    <row r="340" spans="18:35" x14ac:dyDescent="0.3">
      <c r="R340" s="54"/>
      <c r="S340" s="54"/>
      <c r="T340" s="54"/>
      <c r="W340" s="54"/>
      <c r="X340" s="54"/>
      <c r="Y340" s="54"/>
      <c r="AB340" s="54"/>
      <c r="AC340" s="54"/>
      <c r="AD340" s="54"/>
      <c r="AG340" s="54"/>
      <c r="AH340" s="54"/>
      <c r="AI340" s="54"/>
    </row>
    <row r="341" spans="18:35" x14ac:dyDescent="0.3">
      <c r="R341" s="54"/>
      <c r="S341" s="54"/>
      <c r="T341" s="54"/>
      <c r="W341" s="54"/>
      <c r="X341" s="54"/>
      <c r="Y341" s="54"/>
      <c r="AB341" s="54"/>
      <c r="AC341" s="54"/>
      <c r="AD341" s="54"/>
      <c r="AG341" s="54"/>
      <c r="AH341" s="54"/>
      <c r="AI341" s="54"/>
    </row>
    <row r="342" spans="18:35" x14ac:dyDescent="0.3">
      <c r="R342" s="54"/>
      <c r="S342" s="54"/>
      <c r="T342" s="54"/>
      <c r="W342" s="54"/>
      <c r="X342" s="54"/>
      <c r="Y342" s="54"/>
      <c r="AB342" s="54"/>
      <c r="AC342" s="54"/>
      <c r="AD342" s="54"/>
      <c r="AG342" s="54"/>
      <c r="AH342" s="54"/>
      <c r="AI342" s="54"/>
    </row>
    <row r="343" spans="18:35" x14ac:dyDescent="0.3">
      <c r="R343" s="54"/>
      <c r="S343" s="54"/>
      <c r="T343" s="54"/>
      <c r="W343" s="54"/>
      <c r="X343" s="54"/>
      <c r="Y343" s="54"/>
      <c r="AB343" s="54"/>
      <c r="AC343" s="54"/>
      <c r="AD343" s="54"/>
      <c r="AG343" s="54"/>
      <c r="AH343" s="54"/>
      <c r="AI343" s="54"/>
    </row>
    <row r="344" spans="18:35" x14ac:dyDescent="0.3">
      <c r="R344" s="54"/>
      <c r="S344" s="54"/>
      <c r="T344" s="54"/>
      <c r="W344" s="54"/>
      <c r="X344" s="54"/>
      <c r="Y344" s="54"/>
      <c r="AB344" s="54"/>
      <c r="AC344" s="54"/>
      <c r="AD344" s="54"/>
      <c r="AG344" s="54"/>
      <c r="AH344" s="54"/>
      <c r="AI344" s="54"/>
    </row>
    <row r="345" spans="18:35" x14ac:dyDescent="0.3">
      <c r="R345" s="54"/>
      <c r="S345" s="54"/>
      <c r="T345" s="54"/>
      <c r="W345" s="54"/>
      <c r="X345" s="54"/>
      <c r="Y345" s="54"/>
      <c r="AB345" s="54"/>
      <c r="AC345" s="54"/>
      <c r="AD345" s="54"/>
      <c r="AG345" s="54"/>
      <c r="AH345" s="54"/>
      <c r="AI345" s="54"/>
    </row>
    <row r="346" spans="18:35" x14ac:dyDescent="0.3">
      <c r="R346" s="54"/>
      <c r="S346" s="54"/>
      <c r="T346" s="54"/>
      <c r="W346" s="54"/>
      <c r="X346" s="54"/>
      <c r="Y346" s="54"/>
      <c r="AB346" s="54"/>
      <c r="AC346" s="54"/>
      <c r="AD346" s="54"/>
      <c r="AG346" s="54"/>
      <c r="AH346" s="54"/>
      <c r="AI346" s="54"/>
    </row>
    <row r="347" spans="18:35" x14ac:dyDescent="0.3">
      <c r="R347" s="54"/>
      <c r="S347" s="54"/>
      <c r="T347" s="54"/>
      <c r="W347" s="54"/>
      <c r="X347" s="54"/>
      <c r="Y347" s="54"/>
      <c r="AB347" s="54"/>
      <c r="AC347" s="54"/>
      <c r="AD347" s="54"/>
      <c r="AG347" s="54"/>
      <c r="AH347" s="54"/>
      <c r="AI347" s="54"/>
    </row>
    <row r="348" spans="18:35" x14ac:dyDescent="0.3">
      <c r="R348" s="54"/>
      <c r="S348" s="54"/>
      <c r="T348" s="54"/>
      <c r="W348" s="54"/>
      <c r="X348" s="54"/>
      <c r="Y348" s="54"/>
      <c r="AB348" s="54"/>
      <c r="AC348" s="54"/>
      <c r="AD348" s="54"/>
      <c r="AG348" s="54"/>
      <c r="AH348" s="54"/>
      <c r="AI348" s="54"/>
    </row>
    <row r="349" spans="18:35" x14ac:dyDescent="0.3">
      <c r="R349" s="54"/>
      <c r="S349" s="54"/>
      <c r="T349" s="54"/>
      <c r="W349" s="54"/>
      <c r="X349" s="54"/>
      <c r="Y349" s="54"/>
      <c r="AB349" s="54"/>
      <c r="AC349" s="54"/>
      <c r="AD349" s="54"/>
      <c r="AG349" s="54"/>
      <c r="AH349" s="54"/>
      <c r="AI349" s="54"/>
    </row>
    <row r="350" spans="18:35" x14ac:dyDescent="0.3">
      <c r="R350" s="54"/>
      <c r="S350" s="54"/>
      <c r="T350" s="54"/>
      <c r="W350" s="54"/>
      <c r="X350" s="54"/>
      <c r="Y350" s="54"/>
      <c r="AB350" s="54"/>
      <c r="AC350" s="54"/>
      <c r="AD350" s="54"/>
      <c r="AG350" s="54"/>
      <c r="AH350" s="54"/>
      <c r="AI350" s="54"/>
    </row>
    <row r="351" spans="18:35" x14ac:dyDescent="0.3">
      <c r="R351" s="54"/>
      <c r="S351" s="54"/>
      <c r="T351" s="54"/>
      <c r="W351" s="54"/>
      <c r="X351" s="54"/>
      <c r="Y351" s="54"/>
      <c r="AB351" s="54"/>
      <c r="AC351" s="54"/>
      <c r="AD351" s="54"/>
      <c r="AG351" s="54"/>
      <c r="AH351" s="54"/>
      <c r="AI351" s="54"/>
    </row>
    <row r="352" spans="18:35" x14ac:dyDescent="0.3">
      <c r="R352" s="54"/>
      <c r="S352" s="54"/>
      <c r="T352" s="54"/>
      <c r="W352" s="54"/>
      <c r="X352" s="54"/>
      <c r="Y352" s="54"/>
      <c r="AB352" s="54"/>
      <c r="AC352" s="54"/>
      <c r="AD352" s="54"/>
      <c r="AG352" s="54"/>
      <c r="AH352" s="54"/>
      <c r="AI352" s="54"/>
    </row>
    <row r="353" spans="18:35" x14ac:dyDescent="0.3">
      <c r="R353" s="54"/>
      <c r="S353" s="54"/>
      <c r="T353" s="54"/>
      <c r="W353" s="54"/>
      <c r="X353" s="54"/>
      <c r="Y353" s="54"/>
      <c r="AB353" s="54"/>
      <c r="AC353" s="54"/>
      <c r="AD353" s="54"/>
      <c r="AG353" s="54"/>
      <c r="AH353" s="54"/>
      <c r="AI353" s="54"/>
    </row>
    <row r="354" spans="18:35" x14ac:dyDescent="0.3">
      <c r="R354" s="54"/>
      <c r="S354" s="54"/>
      <c r="T354" s="54"/>
      <c r="W354" s="54"/>
      <c r="X354" s="54"/>
      <c r="Y354" s="54"/>
      <c r="AB354" s="54"/>
      <c r="AC354" s="54"/>
      <c r="AD354" s="54"/>
      <c r="AG354" s="54"/>
      <c r="AH354" s="54"/>
      <c r="AI354" s="54"/>
    </row>
    <row r="355" spans="18:35" x14ac:dyDescent="0.3">
      <c r="R355" s="54"/>
      <c r="S355" s="54"/>
      <c r="T355" s="54"/>
      <c r="W355" s="54"/>
      <c r="X355" s="54"/>
      <c r="Y355" s="54"/>
      <c r="AB355" s="54"/>
      <c r="AC355" s="54"/>
      <c r="AD355" s="54"/>
      <c r="AG355" s="54"/>
      <c r="AH355" s="54"/>
      <c r="AI355" s="54"/>
    </row>
    <row r="356" spans="18:35" x14ac:dyDescent="0.3">
      <c r="R356" s="54"/>
      <c r="S356" s="54"/>
      <c r="T356" s="54"/>
      <c r="W356" s="54"/>
      <c r="X356" s="54"/>
      <c r="Y356" s="54"/>
      <c r="AB356" s="54"/>
      <c r="AC356" s="54"/>
      <c r="AD356" s="54"/>
      <c r="AG356" s="54"/>
      <c r="AH356" s="54"/>
      <c r="AI356" s="54"/>
    </row>
    <row r="357" spans="18:35" x14ac:dyDescent="0.3">
      <c r="R357" s="54"/>
      <c r="S357" s="54"/>
      <c r="T357" s="54"/>
      <c r="W357" s="54"/>
      <c r="X357" s="54"/>
      <c r="Y357" s="54"/>
      <c r="AB357" s="54"/>
      <c r="AC357" s="54"/>
      <c r="AD357" s="54"/>
      <c r="AG357" s="54"/>
      <c r="AH357" s="54"/>
      <c r="AI357" s="54"/>
    </row>
    <row r="358" spans="18:35" x14ac:dyDescent="0.3">
      <c r="R358" s="54"/>
      <c r="S358" s="54"/>
      <c r="T358" s="54"/>
      <c r="W358" s="54"/>
      <c r="X358" s="54"/>
      <c r="Y358" s="54"/>
      <c r="AB358" s="54"/>
      <c r="AC358" s="54"/>
      <c r="AD358" s="54"/>
      <c r="AG358" s="54"/>
      <c r="AH358" s="54"/>
      <c r="AI358" s="54"/>
    </row>
    <row r="359" spans="18:35" x14ac:dyDescent="0.3">
      <c r="R359" s="54"/>
      <c r="S359" s="54"/>
      <c r="T359" s="54"/>
      <c r="W359" s="54"/>
      <c r="X359" s="54"/>
      <c r="Y359" s="54"/>
      <c r="AB359" s="54"/>
      <c r="AC359" s="54"/>
      <c r="AD359" s="54"/>
      <c r="AG359" s="54"/>
      <c r="AH359" s="54"/>
      <c r="AI359" s="54"/>
    </row>
    <row r="360" spans="18:35" x14ac:dyDescent="0.3">
      <c r="R360" s="54"/>
      <c r="S360" s="54"/>
      <c r="T360" s="54"/>
      <c r="W360" s="54"/>
      <c r="X360" s="54"/>
      <c r="Y360" s="54"/>
      <c r="AB360" s="54"/>
      <c r="AC360" s="54"/>
      <c r="AD360" s="54"/>
      <c r="AG360" s="54"/>
      <c r="AH360" s="54"/>
      <c r="AI360" s="54"/>
    </row>
    <row r="361" spans="18:35" x14ac:dyDescent="0.3">
      <c r="R361" s="54"/>
      <c r="S361" s="54"/>
      <c r="T361" s="54"/>
      <c r="W361" s="54"/>
      <c r="X361" s="54"/>
      <c r="Y361" s="54"/>
      <c r="AB361" s="54"/>
      <c r="AC361" s="54"/>
      <c r="AD361" s="54"/>
      <c r="AG361" s="54"/>
      <c r="AH361" s="54"/>
      <c r="AI361" s="54"/>
    </row>
    <row r="362" spans="18:35" x14ac:dyDescent="0.3">
      <c r="R362" s="54"/>
      <c r="S362" s="54"/>
      <c r="T362" s="54"/>
      <c r="W362" s="54"/>
      <c r="X362" s="54"/>
      <c r="Y362" s="54"/>
      <c r="AB362" s="54"/>
      <c r="AC362" s="54"/>
      <c r="AD362" s="54"/>
      <c r="AG362" s="54"/>
      <c r="AH362" s="54"/>
      <c r="AI362" s="54"/>
    </row>
    <row r="363" spans="18:35" x14ac:dyDescent="0.3">
      <c r="R363" s="54"/>
      <c r="S363" s="54"/>
      <c r="T363" s="54"/>
      <c r="W363" s="54"/>
      <c r="X363" s="54"/>
      <c r="Y363" s="54"/>
      <c r="AB363" s="54"/>
      <c r="AC363" s="54"/>
      <c r="AD363" s="54"/>
      <c r="AG363" s="54"/>
      <c r="AH363" s="54"/>
      <c r="AI363" s="54"/>
    </row>
    <row r="364" spans="18:35" x14ac:dyDescent="0.3">
      <c r="R364" s="54"/>
      <c r="S364" s="54"/>
      <c r="T364" s="54"/>
      <c r="W364" s="54"/>
      <c r="X364" s="54"/>
      <c r="Y364" s="54"/>
      <c r="AB364" s="54"/>
      <c r="AC364" s="54"/>
      <c r="AD364" s="54"/>
      <c r="AG364" s="54"/>
      <c r="AH364" s="54"/>
      <c r="AI364" s="54"/>
    </row>
    <row r="365" spans="18:35" x14ac:dyDescent="0.3">
      <c r="R365" s="54"/>
      <c r="S365" s="54"/>
      <c r="T365" s="54"/>
      <c r="W365" s="54"/>
      <c r="X365" s="54"/>
      <c r="Y365" s="54"/>
      <c r="AB365" s="54"/>
      <c r="AC365" s="54"/>
      <c r="AD365" s="54"/>
      <c r="AG365" s="54"/>
      <c r="AH365" s="54"/>
      <c r="AI365" s="54"/>
    </row>
    <row r="366" spans="18:35" x14ac:dyDescent="0.3">
      <c r="R366" s="54"/>
      <c r="S366" s="54"/>
      <c r="T366" s="54"/>
      <c r="W366" s="54"/>
      <c r="X366" s="54"/>
      <c r="Y366" s="54"/>
      <c r="AB366" s="54"/>
      <c r="AC366" s="54"/>
      <c r="AD366" s="54"/>
      <c r="AG366" s="54"/>
      <c r="AH366" s="54"/>
      <c r="AI366" s="54"/>
    </row>
    <row r="367" spans="18:35" x14ac:dyDescent="0.3">
      <c r="R367" s="54"/>
      <c r="S367" s="54"/>
      <c r="T367" s="54"/>
      <c r="W367" s="54"/>
      <c r="X367" s="54"/>
      <c r="Y367" s="54"/>
      <c r="AB367" s="54"/>
      <c r="AC367" s="54"/>
      <c r="AD367" s="54"/>
      <c r="AG367" s="54"/>
      <c r="AH367" s="54"/>
      <c r="AI367" s="54"/>
    </row>
    <row r="368" spans="18:35" x14ac:dyDescent="0.3">
      <c r="R368" s="54"/>
      <c r="S368" s="54"/>
      <c r="T368" s="54"/>
      <c r="W368" s="54"/>
      <c r="X368" s="54"/>
      <c r="Y368" s="54"/>
      <c r="AB368" s="54"/>
      <c r="AC368" s="54"/>
      <c r="AD368" s="54"/>
      <c r="AG368" s="54"/>
      <c r="AH368" s="54"/>
      <c r="AI368" s="54"/>
    </row>
    <row r="369" spans="18:35" x14ac:dyDescent="0.3">
      <c r="R369" s="54"/>
      <c r="S369" s="54"/>
      <c r="T369" s="54"/>
      <c r="W369" s="54"/>
      <c r="X369" s="54"/>
      <c r="Y369" s="54"/>
      <c r="AB369" s="54"/>
      <c r="AC369" s="54"/>
      <c r="AD369" s="54"/>
      <c r="AG369" s="54"/>
      <c r="AH369" s="54"/>
      <c r="AI369" s="54"/>
    </row>
    <row r="370" spans="18:35" x14ac:dyDescent="0.3">
      <c r="R370" s="54"/>
      <c r="S370" s="54"/>
      <c r="T370" s="54"/>
      <c r="W370" s="54"/>
      <c r="X370" s="54"/>
      <c r="Y370" s="54"/>
      <c r="AB370" s="54"/>
      <c r="AC370" s="54"/>
      <c r="AD370" s="54"/>
      <c r="AG370" s="54"/>
      <c r="AH370" s="54"/>
      <c r="AI370" s="54"/>
    </row>
    <row r="371" spans="18:35" x14ac:dyDescent="0.3">
      <c r="R371" s="54"/>
      <c r="S371" s="54"/>
      <c r="T371" s="54"/>
      <c r="W371" s="54"/>
      <c r="X371" s="54"/>
      <c r="Y371" s="54"/>
      <c r="AB371" s="54"/>
      <c r="AC371" s="54"/>
      <c r="AD371" s="54"/>
      <c r="AG371" s="54"/>
      <c r="AH371" s="54"/>
      <c r="AI371" s="54"/>
    </row>
    <row r="372" spans="18:35" x14ac:dyDescent="0.3">
      <c r="R372" s="54"/>
      <c r="S372" s="54"/>
      <c r="T372" s="54"/>
      <c r="W372" s="54"/>
      <c r="X372" s="54"/>
      <c r="Y372" s="54"/>
      <c r="AB372" s="54"/>
      <c r="AC372" s="54"/>
      <c r="AD372" s="54"/>
      <c r="AG372" s="54"/>
      <c r="AH372" s="54"/>
      <c r="AI372" s="54"/>
    </row>
    <row r="373" spans="18:35" x14ac:dyDescent="0.3">
      <c r="R373" s="54"/>
      <c r="S373" s="54"/>
      <c r="T373" s="54"/>
      <c r="W373" s="54"/>
      <c r="X373" s="54"/>
      <c r="Y373" s="54"/>
      <c r="AB373" s="54"/>
      <c r="AC373" s="54"/>
      <c r="AD373" s="54"/>
      <c r="AG373" s="54"/>
      <c r="AH373" s="54"/>
      <c r="AI373" s="54"/>
    </row>
    <row r="374" spans="18:35" x14ac:dyDescent="0.3">
      <c r="R374" s="54"/>
      <c r="S374" s="54"/>
      <c r="T374" s="54"/>
      <c r="W374" s="54"/>
      <c r="X374" s="54"/>
      <c r="Y374" s="54"/>
      <c r="AB374" s="54"/>
      <c r="AC374" s="54"/>
      <c r="AD374" s="54"/>
      <c r="AG374" s="54"/>
      <c r="AH374" s="54"/>
      <c r="AI374" s="54"/>
    </row>
    <row r="375" spans="18:35" x14ac:dyDescent="0.3">
      <c r="R375" s="54"/>
      <c r="S375" s="54"/>
      <c r="T375" s="54"/>
      <c r="W375" s="54"/>
      <c r="X375" s="54"/>
      <c r="Y375" s="54"/>
      <c r="AB375" s="54"/>
      <c r="AC375" s="54"/>
      <c r="AD375" s="54"/>
      <c r="AG375" s="54"/>
      <c r="AH375" s="54"/>
      <c r="AI375" s="54"/>
    </row>
    <row r="376" spans="18:35" x14ac:dyDescent="0.3">
      <c r="R376" s="54"/>
      <c r="S376" s="54"/>
      <c r="T376" s="54"/>
      <c r="W376" s="54"/>
      <c r="X376" s="54"/>
      <c r="Y376" s="54"/>
      <c r="AB376" s="54"/>
      <c r="AC376" s="54"/>
      <c r="AD376" s="54"/>
      <c r="AG376" s="54"/>
      <c r="AH376" s="54"/>
      <c r="AI376" s="54"/>
    </row>
    <row r="377" spans="18:35" x14ac:dyDescent="0.3">
      <c r="R377" s="54"/>
      <c r="S377" s="54"/>
      <c r="T377" s="54"/>
      <c r="W377" s="54"/>
      <c r="X377" s="54"/>
      <c r="Y377" s="54"/>
      <c r="AB377" s="54"/>
      <c r="AC377" s="54"/>
      <c r="AD377" s="54"/>
      <c r="AG377" s="54"/>
      <c r="AH377" s="54"/>
      <c r="AI377" s="54"/>
    </row>
    <row r="378" spans="18:35" x14ac:dyDescent="0.3">
      <c r="R378" s="54"/>
      <c r="S378" s="54"/>
      <c r="T378" s="54"/>
      <c r="W378" s="54"/>
      <c r="X378" s="54"/>
      <c r="Y378" s="54"/>
      <c r="AB378" s="54"/>
      <c r="AC378" s="54"/>
      <c r="AD378" s="54"/>
      <c r="AG378" s="54"/>
      <c r="AH378" s="54"/>
      <c r="AI378" s="54"/>
    </row>
    <row r="379" spans="18:35" x14ac:dyDescent="0.3">
      <c r="R379" s="54"/>
      <c r="S379" s="54"/>
      <c r="T379" s="54"/>
      <c r="W379" s="54"/>
      <c r="X379" s="54"/>
      <c r="Y379" s="54"/>
      <c r="AB379" s="54"/>
      <c r="AC379" s="54"/>
      <c r="AD379" s="54"/>
      <c r="AG379" s="54"/>
      <c r="AH379" s="54"/>
      <c r="AI379" s="54"/>
    </row>
    <row r="380" spans="18:35" x14ac:dyDescent="0.3">
      <c r="R380" s="54"/>
      <c r="S380" s="54"/>
      <c r="T380" s="54"/>
      <c r="W380" s="54"/>
      <c r="X380" s="54"/>
      <c r="Y380" s="54"/>
      <c r="AB380" s="54"/>
      <c r="AC380" s="54"/>
      <c r="AD380" s="54"/>
      <c r="AG380" s="54"/>
      <c r="AH380" s="54"/>
      <c r="AI380" s="54"/>
    </row>
    <row r="381" spans="18:35" x14ac:dyDescent="0.3">
      <c r="R381" s="54"/>
      <c r="S381" s="54"/>
      <c r="T381" s="54"/>
      <c r="W381" s="54"/>
      <c r="X381" s="54"/>
      <c r="Y381" s="54"/>
      <c r="AB381" s="54"/>
      <c r="AC381" s="54"/>
      <c r="AD381" s="54"/>
      <c r="AG381" s="54"/>
      <c r="AH381" s="54"/>
      <c r="AI381" s="54"/>
    </row>
    <row r="382" spans="18:35" x14ac:dyDescent="0.3">
      <c r="R382" s="54"/>
      <c r="S382" s="54"/>
      <c r="T382" s="54"/>
      <c r="W382" s="54"/>
      <c r="X382" s="54"/>
      <c r="Y382" s="54"/>
      <c r="AB382" s="54"/>
      <c r="AC382" s="54"/>
      <c r="AD382" s="54"/>
      <c r="AG382" s="54"/>
      <c r="AH382" s="54"/>
      <c r="AI382" s="54"/>
    </row>
    <row r="383" spans="18:35" x14ac:dyDescent="0.3">
      <c r="R383" s="54"/>
      <c r="S383" s="54"/>
      <c r="T383" s="54"/>
      <c r="W383" s="54"/>
      <c r="X383" s="54"/>
      <c r="Y383" s="54"/>
      <c r="AB383" s="54"/>
      <c r="AC383" s="54"/>
      <c r="AD383" s="54"/>
      <c r="AG383" s="54"/>
      <c r="AH383" s="54"/>
      <c r="AI383" s="54"/>
    </row>
    <row r="384" spans="18:35" x14ac:dyDescent="0.3">
      <c r="R384" s="54"/>
      <c r="S384" s="54"/>
      <c r="T384" s="54"/>
      <c r="W384" s="54"/>
      <c r="X384" s="54"/>
      <c r="Y384" s="54"/>
      <c r="AB384" s="54"/>
      <c r="AC384" s="54"/>
      <c r="AD384" s="54"/>
      <c r="AG384" s="54"/>
      <c r="AH384" s="54"/>
      <c r="AI384" s="54"/>
    </row>
    <row r="385" spans="18:35" x14ac:dyDescent="0.3">
      <c r="R385" s="54"/>
      <c r="S385" s="54"/>
      <c r="T385" s="54"/>
      <c r="W385" s="54"/>
      <c r="X385" s="54"/>
      <c r="Y385" s="54"/>
      <c r="AB385" s="54"/>
      <c r="AC385" s="54"/>
      <c r="AD385" s="54"/>
      <c r="AG385" s="54"/>
      <c r="AH385" s="54"/>
      <c r="AI385" s="54"/>
    </row>
    <row r="386" spans="18:35" x14ac:dyDescent="0.3">
      <c r="R386" s="54"/>
      <c r="S386" s="54"/>
      <c r="T386" s="54"/>
      <c r="W386" s="54"/>
      <c r="X386" s="54"/>
      <c r="Y386" s="54"/>
      <c r="AB386" s="54"/>
      <c r="AC386" s="54"/>
      <c r="AD386" s="54"/>
      <c r="AG386" s="54"/>
      <c r="AH386" s="54"/>
      <c r="AI386" s="54"/>
    </row>
    <row r="387" spans="18:35" x14ac:dyDescent="0.3">
      <c r="R387" s="54"/>
      <c r="S387" s="54"/>
      <c r="T387" s="54"/>
      <c r="W387" s="54"/>
      <c r="X387" s="54"/>
      <c r="Y387" s="54"/>
      <c r="AB387" s="54"/>
      <c r="AC387" s="54"/>
      <c r="AD387" s="54"/>
      <c r="AG387" s="54"/>
      <c r="AH387" s="54"/>
      <c r="AI387" s="54"/>
    </row>
    <row r="388" spans="18:35" x14ac:dyDescent="0.3">
      <c r="R388" s="54"/>
      <c r="S388" s="54"/>
      <c r="T388" s="54"/>
      <c r="W388" s="54"/>
      <c r="X388" s="54"/>
      <c r="Y388" s="54"/>
      <c r="AB388" s="54"/>
      <c r="AC388" s="54"/>
      <c r="AD388" s="54"/>
      <c r="AG388" s="54"/>
      <c r="AH388" s="54"/>
      <c r="AI388" s="54"/>
    </row>
    <row r="389" spans="18:35" x14ac:dyDescent="0.3">
      <c r="R389" s="54"/>
      <c r="S389" s="54"/>
      <c r="T389" s="54"/>
      <c r="W389" s="54"/>
      <c r="X389" s="54"/>
      <c r="Y389" s="54"/>
      <c r="AB389" s="54"/>
      <c r="AC389" s="54"/>
      <c r="AD389" s="54"/>
      <c r="AG389" s="54"/>
      <c r="AH389" s="54"/>
      <c r="AI389" s="54"/>
    </row>
    <row r="390" spans="18:35" x14ac:dyDescent="0.3">
      <c r="R390" s="54"/>
      <c r="S390" s="54"/>
      <c r="T390" s="54"/>
      <c r="W390" s="54"/>
      <c r="X390" s="54"/>
      <c r="Y390" s="54"/>
      <c r="AB390" s="54"/>
      <c r="AC390" s="54"/>
      <c r="AD390" s="54"/>
      <c r="AG390" s="54"/>
      <c r="AH390" s="54"/>
      <c r="AI390" s="54"/>
    </row>
    <row r="391" spans="18:35" x14ac:dyDescent="0.3">
      <c r="R391" s="54"/>
      <c r="S391" s="54"/>
      <c r="T391" s="54"/>
      <c r="W391" s="54"/>
      <c r="X391" s="54"/>
      <c r="Y391" s="54"/>
      <c r="AB391" s="54"/>
      <c r="AC391" s="54"/>
      <c r="AD391" s="54"/>
      <c r="AG391" s="54"/>
      <c r="AH391" s="54"/>
      <c r="AI391" s="54"/>
    </row>
    <row r="392" spans="18:35" x14ac:dyDescent="0.3">
      <c r="R392" s="54"/>
      <c r="S392" s="54"/>
      <c r="T392" s="54"/>
      <c r="W392" s="54"/>
      <c r="X392" s="54"/>
      <c r="Y392" s="54"/>
      <c r="AB392" s="54"/>
      <c r="AC392" s="54"/>
      <c r="AD392" s="54"/>
      <c r="AG392" s="54"/>
      <c r="AH392" s="54"/>
      <c r="AI392" s="54"/>
    </row>
    <row r="393" spans="18:35" x14ac:dyDescent="0.3">
      <c r="R393" s="54"/>
      <c r="S393" s="54"/>
      <c r="T393" s="54"/>
      <c r="W393" s="54"/>
      <c r="X393" s="54"/>
      <c r="Y393" s="54"/>
      <c r="AB393" s="54"/>
      <c r="AC393" s="54"/>
      <c r="AD393" s="54"/>
      <c r="AG393" s="54"/>
      <c r="AH393" s="54"/>
      <c r="AI393" s="54"/>
    </row>
    <row r="394" spans="18:35" x14ac:dyDescent="0.3">
      <c r="R394" s="54"/>
      <c r="S394" s="54"/>
      <c r="T394" s="54"/>
      <c r="W394" s="54"/>
      <c r="X394" s="54"/>
      <c r="Y394" s="54"/>
      <c r="AB394" s="54"/>
      <c r="AC394" s="54"/>
      <c r="AD394" s="54"/>
      <c r="AG394" s="54"/>
      <c r="AH394" s="54"/>
      <c r="AI394" s="54"/>
    </row>
    <row r="395" spans="18:35" x14ac:dyDescent="0.3">
      <c r="R395" s="54"/>
      <c r="S395" s="54"/>
      <c r="T395" s="54"/>
      <c r="W395" s="54"/>
      <c r="X395" s="54"/>
      <c r="Y395" s="54"/>
      <c r="AB395" s="54"/>
      <c r="AC395" s="54"/>
      <c r="AD395" s="54"/>
      <c r="AG395" s="54"/>
      <c r="AH395" s="54"/>
      <c r="AI395" s="54"/>
    </row>
    <row r="396" spans="18:35" x14ac:dyDescent="0.3">
      <c r="R396" s="54"/>
      <c r="S396" s="54"/>
      <c r="T396" s="54"/>
      <c r="W396" s="54"/>
      <c r="X396" s="54"/>
      <c r="Y396" s="54"/>
      <c r="AB396" s="54"/>
      <c r="AC396" s="54"/>
      <c r="AD396" s="54"/>
      <c r="AG396" s="54"/>
      <c r="AH396" s="54"/>
      <c r="AI396" s="54"/>
    </row>
    <row r="397" spans="18:35" x14ac:dyDescent="0.3">
      <c r="R397" s="54"/>
      <c r="S397" s="54"/>
      <c r="T397" s="54"/>
      <c r="W397" s="54"/>
      <c r="X397" s="54"/>
      <c r="Y397" s="54"/>
      <c r="AB397" s="54"/>
      <c r="AC397" s="54"/>
      <c r="AD397" s="54"/>
      <c r="AG397" s="54"/>
      <c r="AH397" s="54"/>
      <c r="AI397" s="54"/>
    </row>
    <row r="398" spans="18:35" x14ac:dyDescent="0.3">
      <c r="R398" s="54"/>
      <c r="S398" s="54"/>
      <c r="T398" s="54"/>
      <c r="W398" s="54"/>
      <c r="X398" s="54"/>
      <c r="Y398" s="54"/>
      <c r="AB398" s="54"/>
      <c r="AC398" s="54"/>
      <c r="AD398" s="54"/>
      <c r="AG398" s="54"/>
      <c r="AH398" s="54"/>
      <c r="AI398" s="54"/>
    </row>
    <row r="399" spans="18:35" x14ac:dyDescent="0.3">
      <c r="R399" s="54"/>
      <c r="S399" s="54"/>
      <c r="T399" s="54"/>
      <c r="W399" s="54"/>
      <c r="X399" s="54"/>
      <c r="Y399" s="54"/>
      <c r="AB399" s="54"/>
      <c r="AC399" s="54"/>
      <c r="AD399" s="54"/>
      <c r="AG399" s="54"/>
      <c r="AH399" s="54"/>
      <c r="AI399" s="54"/>
    </row>
    <row r="400" spans="18:35" x14ac:dyDescent="0.3">
      <c r="R400" s="54"/>
      <c r="S400" s="54"/>
      <c r="T400" s="54"/>
      <c r="W400" s="54"/>
      <c r="X400" s="54"/>
      <c r="Y400" s="54"/>
      <c r="AB400" s="54"/>
      <c r="AC400" s="54"/>
      <c r="AD400" s="54"/>
      <c r="AG400" s="54"/>
      <c r="AH400" s="54"/>
      <c r="AI400" s="54"/>
    </row>
    <row r="401" spans="18:35" x14ac:dyDescent="0.3">
      <c r="R401" s="54"/>
      <c r="S401" s="54"/>
      <c r="T401" s="54"/>
      <c r="W401" s="54"/>
      <c r="X401" s="54"/>
      <c r="Y401" s="54"/>
      <c r="AB401" s="54"/>
      <c r="AC401" s="54"/>
      <c r="AD401" s="54"/>
      <c r="AG401" s="54"/>
      <c r="AH401" s="54"/>
      <c r="AI401" s="54"/>
    </row>
    <row r="402" spans="18:35" x14ac:dyDescent="0.3">
      <c r="R402" s="54"/>
      <c r="S402" s="54"/>
      <c r="T402" s="54"/>
      <c r="W402" s="54"/>
      <c r="X402" s="54"/>
      <c r="Y402" s="54"/>
      <c r="AB402" s="54"/>
      <c r="AC402" s="54"/>
      <c r="AD402" s="54"/>
      <c r="AG402" s="54"/>
      <c r="AH402" s="54"/>
      <c r="AI402" s="54"/>
    </row>
    <row r="403" spans="18:35" x14ac:dyDescent="0.3">
      <c r="R403" s="54"/>
      <c r="S403" s="54"/>
      <c r="T403" s="54"/>
      <c r="W403" s="54"/>
      <c r="X403" s="54"/>
      <c r="Y403" s="54"/>
      <c r="AB403" s="54"/>
      <c r="AC403" s="54"/>
      <c r="AD403" s="54"/>
      <c r="AG403" s="54"/>
      <c r="AH403" s="54"/>
      <c r="AI403" s="54"/>
    </row>
    <row r="404" spans="18:35" x14ac:dyDescent="0.3">
      <c r="R404" s="54"/>
      <c r="S404" s="54"/>
      <c r="T404" s="54"/>
      <c r="W404" s="54"/>
      <c r="X404" s="54"/>
      <c r="Y404" s="54"/>
      <c r="AB404" s="54"/>
      <c r="AC404" s="54"/>
      <c r="AD404" s="54"/>
      <c r="AG404" s="54"/>
      <c r="AH404" s="54"/>
      <c r="AI404" s="54"/>
    </row>
    <row r="405" spans="18:35" x14ac:dyDescent="0.3">
      <c r="R405" s="54"/>
      <c r="S405" s="54"/>
      <c r="T405" s="54"/>
      <c r="W405" s="54"/>
      <c r="X405" s="54"/>
      <c r="Y405" s="54"/>
      <c r="AB405" s="54"/>
      <c r="AC405" s="54"/>
      <c r="AD405" s="54"/>
      <c r="AG405" s="54"/>
      <c r="AH405" s="54"/>
      <c r="AI405" s="54"/>
    </row>
    <row r="406" spans="18:35" x14ac:dyDescent="0.3">
      <c r="R406" s="54"/>
      <c r="S406" s="54"/>
      <c r="T406" s="54"/>
      <c r="W406" s="54"/>
      <c r="X406" s="54"/>
      <c r="Y406" s="54"/>
      <c r="AB406" s="54"/>
      <c r="AC406" s="54"/>
      <c r="AD406" s="54"/>
      <c r="AG406" s="54"/>
      <c r="AH406" s="54"/>
      <c r="AI406" s="54"/>
    </row>
    <row r="407" spans="18:35" x14ac:dyDescent="0.3">
      <c r="R407" s="54"/>
      <c r="S407" s="54"/>
      <c r="T407" s="54"/>
      <c r="W407" s="54"/>
      <c r="X407" s="54"/>
      <c r="Y407" s="54"/>
      <c r="AB407" s="54"/>
      <c r="AC407" s="54"/>
      <c r="AD407" s="54"/>
      <c r="AG407" s="54"/>
      <c r="AH407" s="54"/>
      <c r="AI407" s="54"/>
    </row>
    <row r="408" spans="18:35" x14ac:dyDescent="0.3">
      <c r="R408" s="54"/>
      <c r="S408" s="54"/>
      <c r="T408" s="54"/>
      <c r="W408" s="54"/>
      <c r="X408" s="54"/>
      <c r="Y408" s="54"/>
      <c r="AB408" s="54"/>
      <c r="AC408" s="54"/>
      <c r="AD408" s="54"/>
      <c r="AG408" s="54"/>
      <c r="AH408" s="54"/>
      <c r="AI408" s="54"/>
    </row>
    <row r="409" spans="18:35" x14ac:dyDescent="0.3">
      <c r="R409" s="54"/>
      <c r="S409" s="54"/>
      <c r="T409" s="54"/>
      <c r="W409" s="54"/>
      <c r="X409" s="54"/>
      <c r="Y409" s="54"/>
      <c r="AB409" s="54"/>
      <c r="AC409" s="54"/>
      <c r="AD409" s="54"/>
      <c r="AG409" s="54"/>
      <c r="AH409" s="54"/>
      <c r="AI409" s="54"/>
    </row>
    <row r="410" spans="18:35" x14ac:dyDescent="0.3">
      <c r="R410" s="54"/>
      <c r="S410" s="54"/>
      <c r="T410" s="54"/>
      <c r="W410" s="54"/>
      <c r="X410" s="54"/>
      <c r="Y410" s="54"/>
      <c r="AB410" s="54"/>
      <c r="AC410" s="54"/>
      <c r="AD410" s="54"/>
      <c r="AG410" s="54"/>
      <c r="AH410" s="54"/>
      <c r="AI410" s="54"/>
    </row>
    <row r="411" spans="18:35" x14ac:dyDescent="0.3">
      <c r="R411" s="54"/>
      <c r="S411" s="54"/>
      <c r="T411" s="54"/>
      <c r="W411" s="54"/>
      <c r="X411" s="54"/>
      <c r="Y411" s="54"/>
      <c r="AB411" s="54"/>
      <c r="AC411" s="54"/>
      <c r="AD411" s="54"/>
      <c r="AG411" s="54"/>
      <c r="AH411" s="54"/>
      <c r="AI411" s="54"/>
    </row>
    <row r="412" spans="18:35" x14ac:dyDescent="0.3">
      <c r="R412" s="54"/>
      <c r="S412" s="54"/>
      <c r="T412" s="54"/>
      <c r="W412" s="54"/>
      <c r="X412" s="54"/>
      <c r="Y412" s="54"/>
      <c r="AB412" s="54"/>
      <c r="AC412" s="54"/>
      <c r="AD412" s="54"/>
      <c r="AG412" s="54"/>
      <c r="AH412" s="54"/>
      <c r="AI412" s="54"/>
    </row>
    <row r="413" spans="18:35" x14ac:dyDescent="0.3">
      <c r="R413" s="54"/>
      <c r="S413" s="54"/>
      <c r="T413" s="54"/>
      <c r="W413" s="54"/>
      <c r="X413" s="54"/>
      <c r="Y413" s="54"/>
      <c r="AB413" s="54"/>
      <c r="AC413" s="54"/>
      <c r="AD413" s="54"/>
      <c r="AG413" s="54"/>
      <c r="AH413" s="54"/>
      <c r="AI413" s="54"/>
    </row>
    <row r="414" spans="18:35" x14ac:dyDescent="0.3">
      <c r="R414" s="54"/>
      <c r="S414" s="54"/>
      <c r="T414" s="54"/>
      <c r="W414" s="54"/>
      <c r="X414" s="54"/>
      <c r="Y414" s="54"/>
      <c r="AB414" s="54"/>
      <c r="AC414" s="54"/>
      <c r="AD414" s="54"/>
      <c r="AG414" s="54"/>
      <c r="AH414" s="54"/>
      <c r="AI414" s="54"/>
    </row>
    <row r="415" spans="18:35" x14ac:dyDescent="0.3">
      <c r="R415" s="54"/>
      <c r="S415" s="54"/>
      <c r="T415" s="54"/>
      <c r="W415" s="54"/>
      <c r="X415" s="54"/>
      <c r="Y415" s="54"/>
      <c r="AB415" s="54"/>
      <c r="AC415" s="54"/>
      <c r="AD415" s="54"/>
      <c r="AG415" s="54"/>
      <c r="AH415" s="54"/>
      <c r="AI415" s="54"/>
    </row>
    <row r="416" spans="18:35" x14ac:dyDescent="0.3">
      <c r="R416" s="54"/>
      <c r="S416" s="54"/>
      <c r="T416" s="54"/>
      <c r="W416" s="54"/>
      <c r="X416" s="54"/>
      <c r="Y416" s="54"/>
      <c r="AB416" s="54"/>
      <c r="AC416" s="54"/>
      <c r="AD416" s="54"/>
      <c r="AG416" s="54"/>
      <c r="AH416" s="54"/>
      <c r="AI416" s="54"/>
    </row>
    <row r="417" spans="18:35" x14ac:dyDescent="0.3">
      <c r="R417" s="54"/>
      <c r="S417" s="54"/>
      <c r="T417" s="54"/>
      <c r="W417" s="54"/>
      <c r="X417" s="54"/>
      <c r="Y417" s="54"/>
      <c r="AB417" s="54"/>
      <c r="AC417" s="54"/>
      <c r="AD417" s="54"/>
      <c r="AG417" s="54"/>
      <c r="AH417" s="54"/>
      <c r="AI417" s="54"/>
    </row>
    <row r="418" spans="18:35" x14ac:dyDescent="0.3">
      <c r="R418" s="54"/>
      <c r="S418" s="54"/>
      <c r="T418" s="54"/>
      <c r="W418" s="54"/>
      <c r="X418" s="54"/>
      <c r="Y418" s="54"/>
      <c r="AB418" s="54"/>
      <c r="AC418" s="54"/>
      <c r="AD418" s="54"/>
      <c r="AG418" s="54"/>
      <c r="AH418" s="54"/>
      <c r="AI418" s="54"/>
    </row>
    <row r="419" spans="18:35" x14ac:dyDescent="0.3">
      <c r="R419" s="54"/>
      <c r="S419" s="54"/>
      <c r="T419" s="54"/>
      <c r="W419" s="54"/>
      <c r="X419" s="54"/>
      <c r="Y419" s="54"/>
      <c r="AB419" s="54"/>
      <c r="AC419" s="54"/>
      <c r="AD419" s="54"/>
      <c r="AG419" s="54"/>
      <c r="AH419" s="54"/>
      <c r="AI419" s="54"/>
    </row>
    <row r="420" spans="18:35" x14ac:dyDescent="0.3">
      <c r="R420" s="54"/>
      <c r="S420" s="54"/>
      <c r="T420" s="54"/>
      <c r="W420" s="54"/>
      <c r="X420" s="54"/>
      <c r="Y420" s="54"/>
      <c r="AB420" s="54"/>
      <c r="AC420" s="54"/>
      <c r="AD420" s="54"/>
      <c r="AG420" s="54"/>
      <c r="AH420" s="54"/>
      <c r="AI420" s="54"/>
    </row>
    <row r="421" spans="18:35" x14ac:dyDescent="0.3">
      <c r="R421" s="54"/>
      <c r="S421" s="54"/>
      <c r="T421" s="54"/>
      <c r="W421" s="54"/>
      <c r="X421" s="54"/>
      <c r="Y421" s="54"/>
      <c r="AB421" s="54"/>
      <c r="AC421" s="54"/>
      <c r="AD421" s="54"/>
      <c r="AG421" s="54"/>
      <c r="AH421" s="54"/>
      <c r="AI421" s="54"/>
    </row>
    <row r="422" spans="18:35" x14ac:dyDescent="0.3">
      <c r="R422" s="54"/>
      <c r="S422" s="54"/>
      <c r="T422" s="54"/>
      <c r="W422" s="54"/>
      <c r="X422" s="54"/>
      <c r="Y422" s="54"/>
      <c r="AB422" s="54"/>
      <c r="AC422" s="54"/>
      <c r="AD422" s="54"/>
      <c r="AG422" s="54"/>
      <c r="AH422" s="54"/>
      <c r="AI422" s="54"/>
    </row>
    <row r="423" spans="18:35" x14ac:dyDescent="0.3">
      <c r="R423" s="54"/>
      <c r="S423" s="54"/>
      <c r="T423" s="54"/>
      <c r="W423" s="54"/>
      <c r="X423" s="54"/>
      <c r="Y423" s="54"/>
      <c r="AB423" s="54"/>
      <c r="AC423" s="54"/>
      <c r="AD423" s="54"/>
      <c r="AG423" s="54"/>
      <c r="AH423" s="54"/>
      <c r="AI423" s="54"/>
    </row>
    <row r="424" spans="18:35" x14ac:dyDescent="0.3">
      <c r="R424" s="54"/>
      <c r="S424" s="54"/>
      <c r="T424" s="54"/>
      <c r="W424" s="54"/>
      <c r="X424" s="54"/>
      <c r="Y424" s="54"/>
      <c r="AB424" s="54"/>
      <c r="AC424" s="54"/>
      <c r="AD424" s="54"/>
      <c r="AG424" s="54"/>
      <c r="AH424" s="54"/>
      <c r="AI424" s="54"/>
    </row>
    <row r="425" spans="18:35" x14ac:dyDescent="0.3">
      <c r="R425" s="54"/>
      <c r="S425" s="54"/>
      <c r="T425" s="54"/>
      <c r="W425" s="54"/>
      <c r="X425" s="54"/>
      <c r="Y425" s="54"/>
      <c r="AB425" s="54"/>
      <c r="AC425" s="54"/>
      <c r="AD425" s="54"/>
      <c r="AG425" s="54"/>
      <c r="AH425" s="54"/>
      <c r="AI425" s="54"/>
    </row>
    <row r="426" spans="18:35" x14ac:dyDescent="0.3">
      <c r="R426" s="54"/>
      <c r="S426" s="54"/>
      <c r="T426" s="54"/>
      <c r="W426" s="54"/>
      <c r="X426" s="54"/>
      <c r="Y426" s="54"/>
      <c r="AB426" s="54"/>
      <c r="AC426" s="54"/>
      <c r="AD426" s="54"/>
      <c r="AG426" s="54"/>
      <c r="AH426" s="54"/>
      <c r="AI426" s="54"/>
    </row>
    <row r="427" spans="18:35" x14ac:dyDescent="0.3">
      <c r="R427" s="54"/>
      <c r="S427" s="54"/>
      <c r="T427" s="54"/>
      <c r="W427" s="54"/>
      <c r="X427" s="54"/>
      <c r="Y427" s="54"/>
      <c r="AB427" s="54"/>
      <c r="AC427" s="54"/>
      <c r="AD427" s="54"/>
      <c r="AG427" s="54"/>
      <c r="AH427" s="54"/>
      <c r="AI427" s="54"/>
    </row>
    <row r="428" spans="18:35" x14ac:dyDescent="0.3">
      <c r="R428" s="54"/>
      <c r="S428" s="54"/>
      <c r="T428" s="54"/>
      <c r="W428" s="54"/>
      <c r="X428" s="54"/>
      <c r="Y428" s="54"/>
      <c r="AB428" s="54"/>
      <c r="AC428" s="54"/>
      <c r="AD428" s="54"/>
      <c r="AG428" s="54"/>
      <c r="AH428" s="54"/>
      <c r="AI428" s="54"/>
    </row>
    <row r="429" spans="18:35" x14ac:dyDescent="0.3">
      <c r="R429" s="54"/>
      <c r="S429" s="54"/>
      <c r="T429" s="54"/>
      <c r="W429" s="54"/>
      <c r="X429" s="54"/>
      <c r="Y429" s="54"/>
      <c r="AB429" s="54"/>
      <c r="AC429" s="54"/>
      <c r="AD429" s="54"/>
      <c r="AG429" s="54"/>
      <c r="AH429" s="54"/>
      <c r="AI429" s="54"/>
    </row>
    <row r="430" spans="18:35" x14ac:dyDescent="0.3">
      <c r="R430" s="54"/>
      <c r="S430" s="54"/>
      <c r="T430" s="54"/>
      <c r="W430" s="54"/>
      <c r="X430" s="54"/>
      <c r="Y430" s="54"/>
      <c r="AB430" s="54"/>
      <c r="AC430" s="54"/>
      <c r="AD430" s="54"/>
      <c r="AG430" s="54"/>
      <c r="AH430" s="54"/>
      <c r="AI430" s="54"/>
    </row>
    <row r="431" spans="18:35" x14ac:dyDescent="0.3">
      <c r="R431" s="54"/>
      <c r="S431" s="54"/>
      <c r="T431" s="54"/>
      <c r="W431" s="54"/>
      <c r="X431" s="54"/>
      <c r="Y431" s="54"/>
      <c r="AB431" s="54"/>
      <c r="AC431" s="54"/>
      <c r="AD431" s="54"/>
      <c r="AG431" s="54"/>
      <c r="AH431" s="54"/>
      <c r="AI431" s="54"/>
    </row>
    <row r="432" spans="18:35" x14ac:dyDescent="0.3">
      <c r="R432" s="54"/>
      <c r="S432" s="54"/>
      <c r="T432" s="54"/>
      <c r="W432" s="54"/>
      <c r="X432" s="54"/>
      <c r="Y432" s="54"/>
      <c r="AB432" s="54"/>
      <c r="AC432" s="54"/>
      <c r="AD432" s="54"/>
      <c r="AG432" s="54"/>
      <c r="AH432" s="54"/>
      <c r="AI432" s="54"/>
    </row>
    <row r="433" spans="18:35" x14ac:dyDescent="0.3">
      <c r="R433" s="54"/>
      <c r="S433" s="54"/>
      <c r="T433" s="54"/>
      <c r="W433" s="54"/>
      <c r="X433" s="54"/>
      <c r="Y433" s="54"/>
      <c r="AB433" s="54"/>
      <c r="AC433" s="54"/>
      <c r="AD433" s="54"/>
      <c r="AG433" s="54"/>
      <c r="AH433" s="54"/>
      <c r="AI433" s="54"/>
    </row>
    <row r="434" spans="18:35" x14ac:dyDescent="0.3">
      <c r="R434" s="54"/>
      <c r="S434" s="54"/>
      <c r="T434" s="54"/>
      <c r="W434" s="54"/>
      <c r="X434" s="54"/>
      <c r="Y434" s="54"/>
      <c r="AB434" s="54"/>
      <c r="AC434" s="54"/>
      <c r="AD434" s="54"/>
      <c r="AG434" s="54"/>
      <c r="AH434" s="54"/>
      <c r="AI434" s="54"/>
    </row>
    <row r="435" spans="18:35" x14ac:dyDescent="0.3">
      <c r="R435" s="54"/>
      <c r="S435" s="54"/>
      <c r="T435" s="54"/>
      <c r="W435" s="54"/>
      <c r="X435" s="54"/>
      <c r="Y435" s="54"/>
      <c r="AB435" s="54"/>
      <c r="AC435" s="54"/>
      <c r="AD435" s="54"/>
      <c r="AG435" s="54"/>
      <c r="AH435" s="54"/>
      <c r="AI435" s="54"/>
    </row>
    <row r="436" spans="18:35" x14ac:dyDescent="0.3">
      <c r="R436" s="54"/>
      <c r="S436" s="54"/>
      <c r="T436" s="54"/>
      <c r="W436" s="54"/>
      <c r="X436" s="54"/>
      <c r="Y436" s="54"/>
      <c r="AB436" s="54"/>
      <c r="AC436" s="54"/>
      <c r="AD436" s="54"/>
      <c r="AG436" s="54"/>
      <c r="AH436" s="54"/>
      <c r="AI436" s="54"/>
    </row>
    <row r="437" spans="18:35" x14ac:dyDescent="0.3">
      <c r="R437" s="54"/>
      <c r="S437" s="54"/>
      <c r="T437" s="54"/>
      <c r="W437" s="54"/>
      <c r="X437" s="54"/>
      <c r="Y437" s="54"/>
      <c r="AB437" s="54"/>
      <c r="AC437" s="54"/>
      <c r="AD437" s="54"/>
      <c r="AG437" s="54"/>
      <c r="AH437" s="54"/>
      <c r="AI437" s="54"/>
    </row>
    <row r="438" spans="18:35" x14ac:dyDescent="0.3">
      <c r="R438" s="54"/>
      <c r="S438" s="54"/>
      <c r="T438" s="54"/>
      <c r="W438" s="54"/>
      <c r="X438" s="54"/>
      <c r="Y438" s="54"/>
      <c r="AB438" s="54"/>
      <c r="AC438" s="54"/>
      <c r="AD438" s="54"/>
      <c r="AG438" s="54"/>
      <c r="AH438" s="54"/>
      <c r="AI438" s="54"/>
    </row>
    <row r="439" spans="18:35" x14ac:dyDescent="0.3">
      <c r="R439" s="54"/>
      <c r="S439" s="54"/>
      <c r="T439" s="54"/>
      <c r="W439" s="54"/>
      <c r="X439" s="54"/>
      <c r="Y439" s="54"/>
      <c r="AB439" s="54"/>
      <c r="AC439" s="54"/>
      <c r="AD439" s="54"/>
      <c r="AG439" s="54"/>
      <c r="AH439" s="54"/>
      <c r="AI439" s="54"/>
    </row>
    <row r="440" spans="18:35" x14ac:dyDescent="0.3">
      <c r="R440" s="54"/>
      <c r="S440" s="54"/>
      <c r="T440" s="54"/>
      <c r="W440" s="54"/>
      <c r="X440" s="54"/>
      <c r="Y440" s="54"/>
      <c r="AB440" s="54"/>
      <c r="AC440" s="54"/>
      <c r="AD440" s="54"/>
      <c r="AG440" s="54"/>
      <c r="AH440" s="54"/>
      <c r="AI440" s="54"/>
    </row>
    <row r="441" spans="18:35" x14ac:dyDescent="0.3">
      <c r="R441" s="54"/>
      <c r="S441" s="54"/>
      <c r="T441" s="54"/>
      <c r="W441" s="54"/>
      <c r="X441" s="54"/>
      <c r="Y441" s="54"/>
      <c r="AB441" s="54"/>
      <c r="AC441" s="54"/>
      <c r="AD441" s="54"/>
      <c r="AG441" s="54"/>
      <c r="AH441" s="54"/>
      <c r="AI441" s="54"/>
    </row>
    <row r="442" spans="18:35" x14ac:dyDescent="0.3">
      <c r="R442" s="54"/>
      <c r="S442" s="54"/>
      <c r="T442" s="54"/>
      <c r="W442" s="54"/>
      <c r="X442" s="54"/>
      <c r="Y442" s="54"/>
      <c r="AB442" s="54"/>
      <c r="AC442" s="54"/>
      <c r="AD442" s="54"/>
      <c r="AG442" s="54"/>
      <c r="AH442" s="54"/>
      <c r="AI442" s="54"/>
    </row>
    <row r="443" spans="18:35" x14ac:dyDescent="0.3">
      <c r="R443" s="54"/>
      <c r="S443" s="54"/>
      <c r="T443" s="54"/>
      <c r="W443" s="54"/>
      <c r="X443" s="54"/>
      <c r="Y443" s="54"/>
      <c r="AB443" s="54"/>
      <c r="AC443" s="54"/>
      <c r="AD443" s="54"/>
      <c r="AG443" s="54"/>
      <c r="AH443" s="54"/>
      <c r="AI443" s="54"/>
    </row>
    <row r="444" spans="18:35" x14ac:dyDescent="0.3">
      <c r="R444" s="54"/>
      <c r="S444" s="54"/>
      <c r="T444" s="54"/>
      <c r="W444" s="54"/>
      <c r="X444" s="54"/>
      <c r="Y444" s="54"/>
      <c r="AB444" s="54"/>
      <c r="AC444" s="54"/>
      <c r="AD444" s="54"/>
      <c r="AG444" s="54"/>
      <c r="AH444" s="54"/>
      <c r="AI444" s="54"/>
    </row>
    <row r="445" spans="18:35" x14ac:dyDescent="0.3">
      <c r="R445" s="54"/>
      <c r="S445" s="54"/>
      <c r="T445" s="54"/>
      <c r="W445" s="54"/>
      <c r="X445" s="54"/>
      <c r="Y445" s="54"/>
      <c r="AB445" s="54"/>
      <c r="AC445" s="54"/>
      <c r="AD445" s="54"/>
      <c r="AG445" s="54"/>
      <c r="AH445" s="54"/>
      <c r="AI445" s="54"/>
    </row>
    <row r="446" spans="18:35" x14ac:dyDescent="0.3">
      <c r="R446" s="54"/>
      <c r="S446" s="54"/>
      <c r="T446" s="54"/>
      <c r="W446" s="54"/>
      <c r="X446" s="54"/>
      <c r="Y446" s="54"/>
      <c r="AB446" s="54"/>
      <c r="AC446" s="54"/>
      <c r="AD446" s="54"/>
      <c r="AG446" s="54"/>
      <c r="AH446" s="54"/>
      <c r="AI446" s="54"/>
    </row>
    <row r="447" spans="18:35" x14ac:dyDescent="0.3">
      <c r="R447" s="54"/>
      <c r="S447" s="54"/>
      <c r="T447" s="54"/>
      <c r="W447" s="54"/>
      <c r="X447" s="54"/>
      <c r="Y447" s="54"/>
      <c r="AB447" s="54"/>
      <c r="AC447" s="54"/>
      <c r="AD447" s="54"/>
      <c r="AG447" s="54"/>
      <c r="AH447" s="54"/>
      <c r="AI447" s="54"/>
    </row>
    <row r="448" spans="18:35" x14ac:dyDescent="0.3">
      <c r="R448" s="54"/>
      <c r="S448" s="54"/>
      <c r="T448" s="54"/>
      <c r="W448" s="54"/>
      <c r="X448" s="54"/>
      <c r="Y448" s="54"/>
      <c r="AB448" s="54"/>
      <c r="AC448" s="54"/>
      <c r="AD448" s="54"/>
      <c r="AG448" s="54"/>
      <c r="AH448" s="54"/>
      <c r="AI448" s="54"/>
    </row>
    <row r="449" spans="18:35" x14ac:dyDescent="0.3">
      <c r="R449" s="54"/>
      <c r="S449" s="54"/>
      <c r="T449" s="54"/>
      <c r="W449" s="54"/>
      <c r="X449" s="54"/>
      <c r="Y449" s="54"/>
      <c r="AB449" s="54"/>
      <c r="AC449" s="54"/>
      <c r="AD449" s="54"/>
      <c r="AG449" s="54"/>
      <c r="AH449" s="54"/>
      <c r="AI449" s="54"/>
    </row>
    <row r="450" spans="18:35" x14ac:dyDescent="0.3">
      <c r="R450" s="54"/>
      <c r="S450" s="54"/>
      <c r="T450" s="54"/>
      <c r="W450" s="54"/>
      <c r="X450" s="54"/>
      <c r="Y450" s="54"/>
      <c r="AB450" s="54"/>
      <c r="AC450" s="54"/>
      <c r="AD450" s="54"/>
      <c r="AG450" s="54"/>
      <c r="AH450" s="54"/>
      <c r="AI450" s="54"/>
    </row>
    <row r="451" spans="18:35" x14ac:dyDescent="0.3">
      <c r="R451" s="54"/>
      <c r="S451" s="54"/>
      <c r="T451" s="54"/>
      <c r="W451" s="54"/>
      <c r="X451" s="54"/>
      <c r="Y451" s="54"/>
      <c r="AB451" s="54"/>
      <c r="AC451" s="54"/>
      <c r="AD451" s="54"/>
      <c r="AG451" s="54"/>
      <c r="AH451" s="54"/>
      <c r="AI451" s="54"/>
    </row>
    <row r="452" spans="18:35" x14ac:dyDescent="0.3">
      <c r="R452" s="54"/>
      <c r="S452" s="54"/>
      <c r="T452" s="54"/>
      <c r="W452" s="54"/>
      <c r="X452" s="54"/>
      <c r="Y452" s="54"/>
      <c r="AB452" s="54"/>
      <c r="AC452" s="54"/>
      <c r="AD452" s="54"/>
      <c r="AG452" s="54"/>
      <c r="AH452" s="54"/>
      <c r="AI452" s="54"/>
    </row>
    <row r="453" spans="18:35" x14ac:dyDescent="0.3">
      <c r="R453" s="54"/>
      <c r="S453" s="54"/>
      <c r="T453" s="54"/>
      <c r="W453" s="54"/>
      <c r="X453" s="54"/>
      <c r="Y453" s="54"/>
      <c r="AB453" s="54"/>
      <c r="AC453" s="54"/>
      <c r="AD453" s="54"/>
      <c r="AG453" s="54"/>
      <c r="AH453" s="54"/>
      <c r="AI453" s="54"/>
    </row>
    <row r="454" spans="18:35" x14ac:dyDescent="0.3">
      <c r="R454" s="54"/>
      <c r="S454" s="54"/>
      <c r="T454" s="54"/>
      <c r="W454" s="54"/>
      <c r="X454" s="54"/>
      <c r="Y454" s="54"/>
      <c r="AB454" s="54"/>
      <c r="AC454" s="54"/>
      <c r="AD454" s="54"/>
      <c r="AG454" s="54"/>
      <c r="AH454" s="54"/>
      <c r="AI454" s="54"/>
    </row>
    <row r="455" spans="18:35" x14ac:dyDescent="0.3">
      <c r="R455" s="54"/>
      <c r="S455" s="54"/>
      <c r="T455" s="54"/>
      <c r="W455" s="54"/>
      <c r="X455" s="54"/>
      <c r="Y455" s="54"/>
      <c r="AB455" s="54"/>
      <c r="AC455" s="54"/>
      <c r="AD455" s="54"/>
      <c r="AG455" s="54"/>
      <c r="AH455" s="54"/>
      <c r="AI455" s="54"/>
    </row>
    <row r="456" spans="18:35" x14ac:dyDescent="0.3">
      <c r="R456" s="54"/>
      <c r="S456" s="54"/>
      <c r="T456" s="54"/>
      <c r="W456" s="54"/>
      <c r="X456" s="54"/>
      <c r="Y456" s="54"/>
      <c r="AB456" s="54"/>
      <c r="AC456" s="54"/>
      <c r="AD456" s="54"/>
      <c r="AG456" s="54"/>
      <c r="AH456" s="54"/>
      <c r="AI456" s="54"/>
    </row>
    <row r="457" spans="18:35" x14ac:dyDescent="0.3">
      <c r="AG457" s="54"/>
      <c r="AH457" s="54"/>
      <c r="AI457" s="54"/>
    </row>
  </sheetData>
  <sheetProtection algorithmName="SHA-512" hashValue="LuMi5JKQoEbHFolvfoY33ZCHLWAengPhdzvNG2LZ4iKaWlkCv2mIE5XiL7YvUCahCdbj3iJVZbNU6vdGgYxKxA==" saltValue="uXnht86mJ+Lzi0OBfJLlUg==" spinCount="100000" sheet="1" objects="1" scenarios="1" selectLockedCells="1"/>
  <mergeCells count="5">
    <mergeCell ref="F69:H69"/>
    <mergeCell ref="O3:P3"/>
    <mergeCell ref="A1:Q1"/>
    <mergeCell ref="F82:G82"/>
    <mergeCell ref="L35:Q36"/>
  </mergeCells>
  <phoneticPr fontId="5" type="noConversion"/>
  <conditionalFormatting sqref="E7 E9">
    <cfRule type="cellIs" dxfId="29" priority="39" stopIfTrue="1" operator="notBetween">
      <formula>3.5</formula>
      <formula>VIN_MAX_RATING</formula>
    </cfRule>
  </conditionalFormatting>
  <conditionalFormatting sqref="E10">
    <cfRule type="cellIs" dxfId="28" priority="36" stopIfTrue="1" operator="notBetween">
      <formula>0.6</formula>
      <formula>VOUT_MAX_RATING</formula>
    </cfRule>
  </conditionalFormatting>
  <conditionalFormatting sqref="E33">
    <cfRule type="cellIs" dxfId="27" priority="34" stopIfTrue="1" operator="lessThanOrEqual">
      <formula>0</formula>
    </cfRule>
  </conditionalFormatting>
  <conditionalFormatting sqref="E35">
    <cfRule type="cellIs" dxfId="26" priority="33" stopIfTrue="1" operator="lessThan">
      <formula>$E$34</formula>
    </cfRule>
  </conditionalFormatting>
  <conditionalFormatting sqref="E37">
    <cfRule type="cellIs" dxfId="25" priority="32" stopIfTrue="1" operator="greaterThan">
      <formula>$E$36</formula>
    </cfRule>
  </conditionalFormatting>
  <conditionalFormatting sqref="E42">
    <cfRule type="cellIs" dxfId="24" priority="30" stopIfTrue="1" operator="equal">
      <formula>0</formula>
    </cfRule>
  </conditionalFormatting>
  <conditionalFormatting sqref="E44">
    <cfRule type="cellIs" dxfId="23" priority="29" stopIfTrue="1" operator="lessThan">
      <formula>$E$43</formula>
    </cfRule>
  </conditionalFormatting>
  <conditionalFormatting sqref="E46">
    <cfRule type="cellIs" dxfId="22" priority="27" stopIfTrue="1" operator="greaterThan">
      <formula>$E$45</formula>
    </cfRule>
    <cfRule type="cellIs" dxfId="21" priority="28" stopIfTrue="1" operator="equal">
      <formula>0</formula>
    </cfRule>
  </conditionalFormatting>
  <conditionalFormatting sqref="E51">
    <cfRule type="cellIs" dxfId="20" priority="23" operator="lessThan">
      <formula>0.1</formula>
    </cfRule>
  </conditionalFormatting>
  <conditionalFormatting sqref="E12">
    <cfRule type="cellIs" dxfId="19" priority="42" stopIfTrue="1" operator="notBetween">
      <formula>2500</formula>
      <formula>100</formula>
    </cfRule>
  </conditionalFormatting>
  <conditionalFormatting sqref="E55">
    <cfRule type="expression" dxfId="18" priority="21">
      <formula>DITHER=2</formula>
    </cfRule>
  </conditionalFormatting>
  <conditionalFormatting sqref="D56">
    <cfRule type="expression" dxfId="17" priority="20">
      <formula>DITHER=2</formula>
    </cfRule>
  </conditionalFormatting>
  <conditionalFormatting sqref="D55">
    <cfRule type="expression" dxfId="16" priority="19">
      <formula>DITHER=2</formula>
    </cfRule>
  </conditionalFormatting>
  <conditionalFormatting sqref="E8">
    <cfRule type="cellIs" dxfId="15" priority="43" operator="notBetween">
      <formula>$E$7</formula>
      <formula>$E$9</formula>
    </cfRule>
  </conditionalFormatting>
  <conditionalFormatting sqref="J10">
    <cfRule type="cellIs" dxfId="14" priority="16" stopIfTrue="1" operator="notBetween">
      <formula>0.6</formula>
      <formula>VOUT_MAX_RATING</formula>
    </cfRule>
  </conditionalFormatting>
  <conditionalFormatting sqref="J33">
    <cfRule type="cellIs" dxfId="13" priority="15" stopIfTrue="1" operator="lessThanOrEqual">
      <formula>0</formula>
    </cfRule>
  </conditionalFormatting>
  <conditionalFormatting sqref="J35">
    <cfRule type="cellIs" dxfId="12" priority="14" stopIfTrue="1" operator="lessThan">
      <formula>$J$34</formula>
    </cfRule>
  </conditionalFormatting>
  <conditionalFormatting sqref="J37">
    <cfRule type="cellIs" dxfId="11" priority="13" stopIfTrue="1" operator="greaterThan">
      <formula>$J$36</formula>
    </cfRule>
  </conditionalFormatting>
  <conditionalFormatting sqref="E53">
    <cfRule type="cellIs" dxfId="10" priority="12" operator="lessThan">
      <formula>0</formula>
    </cfRule>
  </conditionalFormatting>
  <conditionalFormatting sqref="A73:G75">
    <cfRule type="expression" dxfId="9" priority="11">
      <formula>MODE=2</formula>
    </cfRule>
  </conditionalFormatting>
  <conditionalFormatting sqref="G61:K66 G33:K39 G17:K24 G27:K30 G10:K11">
    <cfRule type="expression" dxfId="8" priority="8">
      <formula>MODE=2</formula>
    </cfRule>
  </conditionalFormatting>
  <conditionalFormatting sqref="D65">
    <cfRule type="expression" dxfId="7" priority="9">
      <formula>OR((Ch1_VOUT=1),(Ch1_VOUT=2))</formula>
    </cfRule>
  </conditionalFormatting>
  <conditionalFormatting sqref="I65">
    <cfRule type="expression" dxfId="6" priority="10">
      <formula>OR((Ch2_VOUT=1),(Ch2_VOUT=2))</formula>
    </cfRule>
  </conditionalFormatting>
  <conditionalFormatting sqref="E65:F66">
    <cfRule type="expression" dxfId="5" priority="7">
      <formula>OR((Ch1_VOUT=1),(Ch1_VOUT=2))</formula>
    </cfRule>
  </conditionalFormatting>
  <conditionalFormatting sqref="J65:K66">
    <cfRule type="expression" dxfId="4" priority="6">
      <formula>OR((Ch2_VOUT=1),(Ch2_VOUT=2))</formula>
    </cfRule>
  </conditionalFormatting>
  <conditionalFormatting sqref="F97:F98">
    <cfRule type="expression" dxfId="3" priority="5">
      <formula>MODE=2</formula>
    </cfRule>
  </conditionalFormatting>
  <conditionalFormatting sqref="D81 G80">
    <cfRule type="expression" dxfId="2" priority="4">
      <formula>MODE=2</formula>
    </cfRule>
  </conditionalFormatting>
  <conditionalFormatting sqref="H80:J94">
    <cfRule type="expression" dxfId="1" priority="2">
      <formula>MODE=2</formula>
    </cfRule>
  </conditionalFormatting>
  <conditionalFormatting sqref="D19:F19 D21:F21 D18:F18 I18:K18 I19:K19 I21:K21">
    <cfRule type="expression" dxfId="0" priority="1">
      <formula>SENSING_TYPE=2</formula>
    </cfRule>
  </conditionalFormatting>
  <hyperlinks>
    <hyperlink ref="O2" r:id="rId1" xr:uid="{00000000-0004-0000-0000-000000000000}"/>
    <hyperlink ref="C3" r:id="rId2" xr:uid="{00000000-0004-0000-0000-000001000000}"/>
  </hyperlinks>
  <printOptions horizontalCentered="1" verticalCentered="1"/>
  <pageMargins left="0.1" right="0.1" top="0.1" bottom="0.1" header="0.25" footer="0.25"/>
  <pageSetup scale="44" orientation="portrait" r:id="rId3"/>
  <headerFooter alignWithMargins="0"/>
  <rowBreaks count="1" manualBreakCount="1">
    <brk id="109" max="16383" man="1"/>
  </rowBreaks>
  <ignoredErrors>
    <ignoredError sqref="E68"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700372" r:id="rId7" name="Drop Down 3028">
              <controlPr defaultSize="0" autoLine="0" autoPict="0">
                <anchor moveWithCells="1">
                  <from>
                    <xdr:col>16</xdr:col>
                    <xdr:colOff>4826000</xdr:colOff>
                    <xdr:row>0</xdr:row>
                    <xdr:rowOff>482600</xdr:rowOff>
                  </from>
                  <to>
                    <xdr:col>16</xdr:col>
                    <xdr:colOff>5207000</xdr:colOff>
                    <xdr:row>1</xdr:row>
                    <xdr:rowOff>139700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311150</xdr:colOff>
                    <xdr:row>69</xdr:row>
                    <xdr:rowOff>76200</xdr:rowOff>
                  </from>
                  <to>
                    <xdr:col>2</xdr:col>
                    <xdr:colOff>901700</xdr:colOff>
                    <xdr:row>71</xdr:row>
                    <xdr:rowOff>139700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311150</xdr:colOff>
                    <xdr:row>69</xdr:row>
                    <xdr:rowOff>76200</xdr:rowOff>
                  </from>
                  <to>
                    <xdr:col>2</xdr:col>
                    <xdr:colOff>901700</xdr:colOff>
                    <xdr:row>71</xdr:row>
                    <xdr:rowOff>139700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6350</xdr:colOff>
                    <xdr:row>62</xdr:row>
                    <xdr:rowOff>0</xdr:rowOff>
                  </from>
                  <to>
                    <xdr:col>5</xdr:col>
                    <xdr:colOff>184150</xdr:colOff>
                    <xdr:row>62</xdr:row>
                    <xdr:rowOff>184150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120650</xdr:colOff>
                    <xdr:row>7</xdr:row>
                    <xdr:rowOff>6350</xdr:rowOff>
                  </from>
                  <to>
                    <xdr:col>5</xdr:col>
                    <xdr:colOff>304800</xdr:colOff>
                    <xdr:row>8</xdr:row>
                    <xdr:rowOff>25400</xdr:rowOff>
                  </to>
                </anchor>
              </controlPr>
            </control>
          </mc:Choice>
        </mc:AlternateContent>
        <mc:AlternateContent xmlns:mc="http://schemas.openxmlformats.org/markup-compatibility/2006">
          <mc:Choice Requires="x14">
            <control shapeId="672924" r:id="rId12" name="Drop Down 156">
              <controlPr defaultSize="0" autoLine="0" autoPict="0">
                <anchor>
                  <from>
                    <xdr:col>11</xdr:col>
                    <xdr:colOff>374650</xdr:colOff>
                    <xdr:row>77</xdr:row>
                    <xdr:rowOff>31750</xdr:rowOff>
                  </from>
                  <to>
                    <xdr:col>13</xdr:col>
                    <xdr:colOff>425450</xdr:colOff>
                    <xdr:row>78</xdr:row>
                    <xdr:rowOff>107950</xdr:rowOff>
                  </to>
                </anchor>
              </controlPr>
            </control>
          </mc:Choice>
        </mc:AlternateContent>
        <mc:AlternateContent xmlns:mc="http://schemas.openxmlformats.org/markup-compatibility/2006">
          <mc:Choice Requires="x14">
            <control shapeId="673029" r:id="rId13" name="Drop Down 261">
              <controlPr defaultSize="0" autoLine="0" autoPict="0">
                <anchor moveWithCells="1">
                  <from>
                    <xdr:col>0</xdr:col>
                    <xdr:colOff>6350</xdr:colOff>
                    <xdr:row>54</xdr:row>
                    <xdr:rowOff>0</xdr:rowOff>
                  </from>
                  <to>
                    <xdr:col>1</xdr:col>
                    <xdr:colOff>482600</xdr:colOff>
                    <xdr:row>55</xdr:row>
                    <xdr:rowOff>0</xdr:rowOff>
                  </to>
                </anchor>
              </controlPr>
            </control>
          </mc:Choice>
        </mc:AlternateContent>
        <mc:AlternateContent xmlns:mc="http://schemas.openxmlformats.org/markup-compatibility/2006">
          <mc:Choice Requires="x14">
            <control shapeId="685346" r:id="rId14" name="Drop Down 1314">
              <controlPr defaultSize="0" autoLine="0" autoPict="0">
                <anchor moveWithCells="1">
                  <from>
                    <xdr:col>2</xdr:col>
                    <xdr:colOff>520700</xdr:colOff>
                    <xdr:row>5</xdr:row>
                    <xdr:rowOff>6350</xdr:rowOff>
                  </from>
                  <to>
                    <xdr:col>5</xdr:col>
                    <xdr:colOff>101600</xdr:colOff>
                    <xdr:row>6</xdr:row>
                    <xdr:rowOff>6350</xdr:rowOff>
                  </to>
                </anchor>
              </controlPr>
            </control>
          </mc:Choice>
        </mc:AlternateContent>
        <mc:AlternateContent xmlns:mc="http://schemas.openxmlformats.org/markup-compatibility/2006">
          <mc:Choice Requires="x14">
            <control shapeId="685442" r:id="rId15" name="Drop Down 1410">
              <controlPr defaultSize="0" autoLine="0" autoPict="0">
                <anchor moveWithCells="1">
                  <from>
                    <xdr:col>0</xdr:col>
                    <xdr:colOff>6350</xdr:colOff>
                    <xdr:row>56</xdr:row>
                    <xdr:rowOff>0</xdr:rowOff>
                  </from>
                  <to>
                    <xdr:col>1</xdr:col>
                    <xdr:colOff>76200</xdr:colOff>
                    <xdr:row>56</xdr:row>
                    <xdr:rowOff>184150</xdr:rowOff>
                  </to>
                </anchor>
              </controlPr>
            </control>
          </mc:Choice>
        </mc:AlternateContent>
        <mc:AlternateContent xmlns:mc="http://schemas.openxmlformats.org/markup-compatibility/2006">
          <mc:Choice Requires="x14">
            <control shapeId="685525" r:id="rId16" name="Spinner 1493">
              <controlPr defaultSize="0" autoPict="0">
                <anchor moveWithCells="1" sizeWithCells="1">
                  <from>
                    <xdr:col>10</xdr:col>
                    <xdr:colOff>6350</xdr:colOff>
                    <xdr:row>62</xdr:row>
                    <xdr:rowOff>0</xdr:rowOff>
                  </from>
                  <to>
                    <xdr:col>10</xdr:col>
                    <xdr:colOff>184150</xdr:colOff>
                    <xdr:row>62</xdr:row>
                    <xdr:rowOff>184150</xdr:rowOff>
                  </to>
                </anchor>
              </controlPr>
            </control>
          </mc:Choice>
        </mc:AlternateContent>
        <mc:AlternateContent xmlns:mc="http://schemas.openxmlformats.org/markup-compatibility/2006">
          <mc:Choice Requires="x14">
            <control shapeId="685729" r:id="rId17" name="Drop Down 1697">
              <controlPr defaultSize="0" autoLine="0" autoPict="0">
                <anchor>
                  <from>
                    <xdr:col>11</xdr:col>
                    <xdr:colOff>69850</xdr:colOff>
                    <xdr:row>41</xdr:row>
                    <xdr:rowOff>76200</xdr:rowOff>
                  </from>
                  <to>
                    <xdr:col>12</xdr:col>
                    <xdr:colOff>336550</xdr:colOff>
                    <xdr:row>43</xdr:row>
                    <xdr:rowOff>0</xdr:rowOff>
                  </to>
                </anchor>
              </controlPr>
            </control>
          </mc:Choice>
        </mc:AlternateContent>
        <mc:AlternateContent xmlns:mc="http://schemas.openxmlformats.org/markup-compatibility/2006">
          <mc:Choice Requires="x14">
            <control shapeId="685906" r:id="rId18" name="Drop Down 1874">
              <controlPr defaultSize="0" autoLine="0" autoPict="0">
                <anchor moveWithCells="1">
                  <from>
                    <xdr:col>0</xdr:col>
                    <xdr:colOff>25400</xdr:colOff>
                    <xdr:row>102</xdr:row>
                    <xdr:rowOff>0</xdr:rowOff>
                  </from>
                  <to>
                    <xdr:col>2</xdr:col>
                    <xdr:colOff>6350</xdr:colOff>
                    <xdr:row>103</xdr:row>
                    <xdr:rowOff>0</xdr:rowOff>
                  </to>
                </anchor>
              </controlPr>
            </control>
          </mc:Choice>
        </mc:AlternateContent>
        <mc:AlternateContent xmlns:mc="http://schemas.openxmlformats.org/markup-compatibility/2006">
          <mc:Choice Requires="x14">
            <control shapeId="700259" r:id="rId19" name="Drop Down 2915">
              <controlPr locked="0" defaultSize="0" autoLine="0" autoPict="0">
                <anchor moveWithCells="1">
                  <from>
                    <xdr:col>6</xdr:col>
                    <xdr:colOff>374650</xdr:colOff>
                    <xdr:row>4</xdr:row>
                    <xdr:rowOff>6350</xdr:rowOff>
                  </from>
                  <to>
                    <xdr:col>7</xdr:col>
                    <xdr:colOff>520700</xdr:colOff>
                    <xdr:row>4</xdr:row>
                    <xdr:rowOff>234950</xdr:rowOff>
                  </to>
                </anchor>
              </controlPr>
            </control>
          </mc:Choice>
        </mc:AlternateContent>
        <mc:AlternateContent xmlns:mc="http://schemas.openxmlformats.org/markup-compatibility/2006">
          <mc:Choice Requires="x14">
            <control shapeId="713934" r:id="rId20" name="Drop Down 3278">
              <controlPr locked="0" defaultSize="0" autoLine="0" autoPict="0">
                <anchor moveWithCells="1">
                  <from>
                    <xdr:col>5</xdr:col>
                    <xdr:colOff>222250</xdr:colOff>
                    <xdr:row>15</xdr:row>
                    <xdr:rowOff>6350</xdr:rowOff>
                  </from>
                  <to>
                    <xdr:col>7</xdr:col>
                    <xdr:colOff>469900</xdr:colOff>
                    <xdr:row>15</xdr:row>
                    <xdr:rowOff>234950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0000"/>
  </sheetPr>
  <dimension ref="A1:M81"/>
  <sheetViews>
    <sheetView topLeftCell="A42" zoomScaleNormal="100" workbookViewId="0">
      <selection activeCell="D77" sqref="D77"/>
    </sheetView>
  </sheetViews>
  <sheetFormatPr defaultRowHeight="12.5" x14ac:dyDescent="0.25"/>
  <cols>
    <col min="1" max="1" width="9.54296875" style="214" customWidth="1"/>
    <col min="2" max="2" width="20.36328125" style="214" customWidth="1"/>
    <col min="3" max="3" width="16.08984375" style="214" customWidth="1"/>
    <col min="4" max="4" width="20.08984375" style="214" customWidth="1"/>
    <col min="5" max="5" width="17.36328125" style="214" customWidth="1"/>
    <col min="6" max="6" width="20.54296875" style="214" bestFit="1" customWidth="1"/>
    <col min="7" max="7" width="9.6328125" style="214" customWidth="1"/>
    <col min="8" max="8" width="16.08984375" style="214" customWidth="1"/>
    <col min="9" max="9" width="17.36328125" style="214" customWidth="1"/>
    <col min="10" max="10" width="18.453125" style="214" customWidth="1"/>
    <col min="11" max="11" width="26.453125" style="214" customWidth="1"/>
    <col min="12" max="12" width="9.08984375" style="214"/>
    <col min="13" max="13" width="9.08984375" style="215"/>
    <col min="14" max="256" width="9.08984375" style="214"/>
    <col min="257" max="257" width="8.6328125" style="214" bestFit="1" customWidth="1"/>
    <col min="258" max="258" width="13.36328125" style="214" customWidth="1"/>
    <col min="259" max="259" width="16.08984375" style="214" bestFit="1" customWidth="1"/>
    <col min="260" max="260" width="23.54296875" style="214" customWidth="1"/>
    <col min="261" max="261" width="17.36328125" style="214" customWidth="1"/>
    <col min="262" max="262" width="20.54296875" style="214" bestFit="1" customWidth="1"/>
    <col min="263" max="263" width="17.08984375" style="214" customWidth="1"/>
    <col min="264" max="264" width="21.90625" style="214" bestFit="1" customWidth="1"/>
    <col min="265" max="265" width="17.08984375" style="214" bestFit="1" customWidth="1"/>
    <col min="266" max="266" width="18.08984375" style="214" bestFit="1" customWidth="1"/>
    <col min="267" max="267" width="26.453125" style="214" customWidth="1"/>
    <col min="268" max="512" width="9.08984375" style="214"/>
    <col min="513" max="513" width="8.6328125" style="214" bestFit="1" customWidth="1"/>
    <col min="514" max="514" width="13.36328125" style="214" customWidth="1"/>
    <col min="515" max="515" width="16.08984375" style="214" bestFit="1" customWidth="1"/>
    <col min="516" max="516" width="23.54296875" style="214" customWidth="1"/>
    <col min="517" max="517" width="17.36328125" style="214" customWidth="1"/>
    <col min="518" max="518" width="20.54296875" style="214" bestFit="1" customWidth="1"/>
    <col min="519" max="519" width="17.08984375" style="214" customWidth="1"/>
    <col min="520" max="520" width="21.90625" style="214" bestFit="1" customWidth="1"/>
    <col min="521" max="521" width="17.08984375" style="214" bestFit="1" customWidth="1"/>
    <col min="522" max="522" width="18.08984375" style="214" bestFit="1" customWidth="1"/>
    <col min="523" max="523" width="26.453125" style="214" customWidth="1"/>
    <col min="524" max="768" width="9.08984375" style="214"/>
    <col min="769" max="769" width="8.6328125" style="214" bestFit="1" customWidth="1"/>
    <col min="770" max="770" width="13.36328125" style="214" customWidth="1"/>
    <col min="771" max="771" width="16.08984375" style="214" bestFit="1" customWidth="1"/>
    <col min="772" max="772" width="23.54296875" style="214" customWidth="1"/>
    <col min="773" max="773" width="17.36328125" style="214" customWidth="1"/>
    <col min="774" max="774" width="20.54296875" style="214" bestFit="1" customWidth="1"/>
    <col min="775" max="775" width="17.08984375" style="214" customWidth="1"/>
    <col min="776" max="776" width="21.90625" style="214" bestFit="1" customWidth="1"/>
    <col min="777" max="777" width="17.08984375" style="214" bestFit="1" customWidth="1"/>
    <col min="778" max="778" width="18.08984375" style="214" bestFit="1" customWidth="1"/>
    <col min="779" max="779" width="26.453125" style="214" customWidth="1"/>
    <col min="780" max="1024" width="9.08984375" style="214"/>
    <col min="1025" max="1025" width="8.6328125" style="214" bestFit="1" customWidth="1"/>
    <col min="1026" max="1026" width="13.36328125" style="214" customWidth="1"/>
    <col min="1027" max="1027" width="16.08984375" style="214" bestFit="1" customWidth="1"/>
    <col min="1028" max="1028" width="23.54296875" style="214" customWidth="1"/>
    <col min="1029" max="1029" width="17.36328125" style="214" customWidth="1"/>
    <col min="1030" max="1030" width="20.54296875" style="214" bestFit="1" customWidth="1"/>
    <col min="1031" max="1031" width="17.08984375" style="214" customWidth="1"/>
    <col min="1032" max="1032" width="21.90625" style="214" bestFit="1" customWidth="1"/>
    <col min="1033" max="1033" width="17.08984375" style="214" bestFit="1" customWidth="1"/>
    <col min="1034" max="1034" width="18.08984375" style="214" bestFit="1" customWidth="1"/>
    <col min="1035" max="1035" width="26.453125" style="214" customWidth="1"/>
    <col min="1036" max="1280" width="9.08984375" style="214"/>
    <col min="1281" max="1281" width="8.6328125" style="214" bestFit="1" customWidth="1"/>
    <col min="1282" max="1282" width="13.36328125" style="214" customWidth="1"/>
    <col min="1283" max="1283" width="16.08984375" style="214" bestFit="1" customWidth="1"/>
    <col min="1284" max="1284" width="23.54296875" style="214" customWidth="1"/>
    <col min="1285" max="1285" width="17.36328125" style="214" customWidth="1"/>
    <col min="1286" max="1286" width="20.54296875" style="214" bestFit="1" customWidth="1"/>
    <col min="1287" max="1287" width="17.08984375" style="214" customWidth="1"/>
    <col min="1288" max="1288" width="21.90625" style="214" bestFit="1" customWidth="1"/>
    <col min="1289" max="1289" width="17.08984375" style="214" bestFit="1" customWidth="1"/>
    <col min="1290" max="1290" width="18.08984375" style="214" bestFit="1" customWidth="1"/>
    <col min="1291" max="1291" width="26.453125" style="214" customWidth="1"/>
    <col min="1292" max="1536" width="9.08984375" style="214"/>
    <col min="1537" max="1537" width="8.6328125" style="214" bestFit="1" customWidth="1"/>
    <col min="1538" max="1538" width="13.36328125" style="214" customWidth="1"/>
    <col min="1539" max="1539" width="16.08984375" style="214" bestFit="1" customWidth="1"/>
    <col min="1540" max="1540" width="23.54296875" style="214" customWidth="1"/>
    <col min="1541" max="1541" width="17.36328125" style="214" customWidth="1"/>
    <col min="1542" max="1542" width="20.54296875" style="214" bestFit="1" customWidth="1"/>
    <col min="1543" max="1543" width="17.08984375" style="214" customWidth="1"/>
    <col min="1544" max="1544" width="21.90625" style="214" bestFit="1" customWidth="1"/>
    <col min="1545" max="1545" width="17.08984375" style="214" bestFit="1" customWidth="1"/>
    <col min="1546" max="1546" width="18.08984375" style="214" bestFit="1" customWidth="1"/>
    <col min="1547" max="1547" width="26.453125" style="214" customWidth="1"/>
    <col min="1548" max="1792" width="9.08984375" style="214"/>
    <col min="1793" max="1793" width="8.6328125" style="214" bestFit="1" customWidth="1"/>
    <col min="1794" max="1794" width="13.36328125" style="214" customWidth="1"/>
    <col min="1795" max="1795" width="16.08984375" style="214" bestFit="1" customWidth="1"/>
    <col min="1796" max="1796" width="23.54296875" style="214" customWidth="1"/>
    <col min="1797" max="1797" width="17.36328125" style="214" customWidth="1"/>
    <col min="1798" max="1798" width="20.54296875" style="214" bestFit="1" customWidth="1"/>
    <col min="1799" max="1799" width="17.08984375" style="214" customWidth="1"/>
    <col min="1800" max="1800" width="21.90625" style="214" bestFit="1" customWidth="1"/>
    <col min="1801" max="1801" width="17.08984375" style="214" bestFit="1" customWidth="1"/>
    <col min="1802" max="1802" width="18.08984375" style="214" bestFit="1" customWidth="1"/>
    <col min="1803" max="1803" width="26.453125" style="214" customWidth="1"/>
    <col min="1804" max="2048" width="9.08984375" style="214"/>
    <col min="2049" max="2049" width="8.6328125" style="214" bestFit="1" customWidth="1"/>
    <col min="2050" max="2050" width="13.36328125" style="214" customWidth="1"/>
    <col min="2051" max="2051" width="16.08984375" style="214" bestFit="1" customWidth="1"/>
    <col min="2052" max="2052" width="23.54296875" style="214" customWidth="1"/>
    <col min="2053" max="2053" width="17.36328125" style="214" customWidth="1"/>
    <col min="2054" max="2054" width="20.54296875" style="214" bestFit="1" customWidth="1"/>
    <col min="2055" max="2055" width="17.08984375" style="214" customWidth="1"/>
    <col min="2056" max="2056" width="21.90625" style="214" bestFit="1" customWidth="1"/>
    <col min="2057" max="2057" width="17.08984375" style="214" bestFit="1" customWidth="1"/>
    <col min="2058" max="2058" width="18.08984375" style="214" bestFit="1" customWidth="1"/>
    <col min="2059" max="2059" width="26.453125" style="214" customWidth="1"/>
    <col min="2060" max="2304" width="9.08984375" style="214"/>
    <col min="2305" max="2305" width="8.6328125" style="214" bestFit="1" customWidth="1"/>
    <col min="2306" max="2306" width="13.36328125" style="214" customWidth="1"/>
    <col min="2307" max="2307" width="16.08984375" style="214" bestFit="1" customWidth="1"/>
    <col min="2308" max="2308" width="23.54296875" style="214" customWidth="1"/>
    <col min="2309" max="2309" width="17.36328125" style="214" customWidth="1"/>
    <col min="2310" max="2310" width="20.54296875" style="214" bestFit="1" customWidth="1"/>
    <col min="2311" max="2311" width="17.08984375" style="214" customWidth="1"/>
    <col min="2312" max="2312" width="21.90625" style="214" bestFit="1" customWidth="1"/>
    <col min="2313" max="2313" width="17.08984375" style="214" bestFit="1" customWidth="1"/>
    <col min="2314" max="2314" width="18.08984375" style="214" bestFit="1" customWidth="1"/>
    <col min="2315" max="2315" width="26.453125" style="214" customWidth="1"/>
    <col min="2316" max="2560" width="9.08984375" style="214"/>
    <col min="2561" max="2561" width="8.6328125" style="214" bestFit="1" customWidth="1"/>
    <col min="2562" max="2562" width="13.36328125" style="214" customWidth="1"/>
    <col min="2563" max="2563" width="16.08984375" style="214" bestFit="1" customWidth="1"/>
    <col min="2564" max="2564" width="23.54296875" style="214" customWidth="1"/>
    <col min="2565" max="2565" width="17.36328125" style="214" customWidth="1"/>
    <col min="2566" max="2566" width="20.54296875" style="214" bestFit="1" customWidth="1"/>
    <col min="2567" max="2567" width="17.08984375" style="214" customWidth="1"/>
    <col min="2568" max="2568" width="21.90625" style="214" bestFit="1" customWidth="1"/>
    <col min="2569" max="2569" width="17.08984375" style="214" bestFit="1" customWidth="1"/>
    <col min="2570" max="2570" width="18.08984375" style="214" bestFit="1" customWidth="1"/>
    <col min="2571" max="2571" width="26.453125" style="214" customWidth="1"/>
    <col min="2572" max="2816" width="9.08984375" style="214"/>
    <col min="2817" max="2817" width="8.6328125" style="214" bestFit="1" customWidth="1"/>
    <col min="2818" max="2818" width="13.36328125" style="214" customWidth="1"/>
    <col min="2819" max="2819" width="16.08984375" style="214" bestFit="1" customWidth="1"/>
    <col min="2820" max="2820" width="23.54296875" style="214" customWidth="1"/>
    <col min="2821" max="2821" width="17.36328125" style="214" customWidth="1"/>
    <col min="2822" max="2822" width="20.54296875" style="214" bestFit="1" customWidth="1"/>
    <col min="2823" max="2823" width="17.08984375" style="214" customWidth="1"/>
    <col min="2824" max="2824" width="21.90625" style="214" bestFit="1" customWidth="1"/>
    <col min="2825" max="2825" width="17.08984375" style="214" bestFit="1" customWidth="1"/>
    <col min="2826" max="2826" width="18.08984375" style="214" bestFit="1" customWidth="1"/>
    <col min="2827" max="2827" width="26.453125" style="214" customWidth="1"/>
    <col min="2828" max="3072" width="9.08984375" style="214"/>
    <col min="3073" max="3073" width="8.6328125" style="214" bestFit="1" customWidth="1"/>
    <col min="3074" max="3074" width="13.36328125" style="214" customWidth="1"/>
    <col min="3075" max="3075" width="16.08984375" style="214" bestFit="1" customWidth="1"/>
    <col min="3076" max="3076" width="23.54296875" style="214" customWidth="1"/>
    <col min="3077" max="3077" width="17.36328125" style="214" customWidth="1"/>
    <col min="3078" max="3078" width="20.54296875" style="214" bestFit="1" customWidth="1"/>
    <col min="3079" max="3079" width="17.08984375" style="214" customWidth="1"/>
    <col min="3080" max="3080" width="21.90625" style="214" bestFit="1" customWidth="1"/>
    <col min="3081" max="3081" width="17.08984375" style="214" bestFit="1" customWidth="1"/>
    <col min="3082" max="3082" width="18.08984375" style="214" bestFit="1" customWidth="1"/>
    <col min="3083" max="3083" width="26.453125" style="214" customWidth="1"/>
    <col min="3084" max="3328" width="9.08984375" style="214"/>
    <col min="3329" max="3329" width="8.6328125" style="214" bestFit="1" customWidth="1"/>
    <col min="3330" max="3330" width="13.36328125" style="214" customWidth="1"/>
    <col min="3331" max="3331" width="16.08984375" style="214" bestFit="1" customWidth="1"/>
    <col min="3332" max="3332" width="23.54296875" style="214" customWidth="1"/>
    <col min="3333" max="3333" width="17.36328125" style="214" customWidth="1"/>
    <col min="3334" max="3334" width="20.54296875" style="214" bestFit="1" customWidth="1"/>
    <col min="3335" max="3335" width="17.08984375" style="214" customWidth="1"/>
    <col min="3336" max="3336" width="21.90625" style="214" bestFit="1" customWidth="1"/>
    <col min="3337" max="3337" width="17.08984375" style="214" bestFit="1" customWidth="1"/>
    <col min="3338" max="3338" width="18.08984375" style="214" bestFit="1" customWidth="1"/>
    <col min="3339" max="3339" width="26.453125" style="214" customWidth="1"/>
    <col min="3340" max="3584" width="9.08984375" style="214"/>
    <col min="3585" max="3585" width="8.6328125" style="214" bestFit="1" customWidth="1"/>
    <col min="3586" max="3586" width="13.36328125" style="214" customWidth="1"/>
    <col min="3587" max="3587" width="16.08984375" style="214" bestFit="1" customWidth="1"/>
    <col min="3588" max="3588" width="23.54296875" style="214" customWidth="1"/>
    <col min="3589" max="3589" width="17.36328125" style="214" customWidth="1"/>
    <col min="3590" max="3590" width="20.54296875" style="214" bestFit="1" customWidth="1"/>
    <col min="3591" max="3591" width="17.08984375" style="214" customWidth="1"/>
    <col min="3592" max="3592" width="21.90625" style="214" bestFit="1" customWidth="1"/>
    <col min="3593" max="3593" width="17.08984375" style="214" bestFit="1" customWidth="1"/>
    <col min="3594" max="3594" width="18.08984375" style="214" bestFit="1" customWidth="1"/>
    <col min="3595" max="3595" width="26.453125" style="214" customWidth="1"/>
    <col min="3596" max="3840" width="9.08984375" style="214"/>
    <col min="3841" max="3841" width="8.6328125" style="214" bestFit="1" customWidth="1"/>
    <col min="3842" max="3842" width="13.36328125" style="214" customWidth="1"/>
    <col min="3843" max="3843" width="16.08984375" style="214" bestFit="1" customWidth="1"/>
    <col min="3844" max="3844" width="23.54296875" style="214" customWidth="1"/>
    <col min="3845" max="3845" width="17.36328125" style="214" customWidth="1"/>
    <col min="3846" max="3846" width="20.54296875" style="214" bestFit="1" customWidth="1"/>
    <col min="3847" max="3847" width="17.08984375" style="214" customWidth="1"/>
    <col min="3848" max="3848" width="21.90625" style="214" bestFit="1" customWidth="1"/>
    <col min="3849" max="3849" width="17.08984375" style="214" bestFit="1" customWidth="1"/>
    <col min="3850" max="3850" width="18.08984375" style="214" bestFit="1" customWidth="1"/>
    <col min="3851" max="3851" width="26.453125" style="214" customWidth="1"/>
    <col min="3852" max="4096" width="9.08984375" style="214"/>
    <col min="4097" max="4097" width="8.6328125" style="214" bestFit="1" customWidth="1"/>
    <col min="4098" max="4098" width="13.36328125" style="214" customWidth="1"/>
    <col min="4099" max="4099" width="16.08984375" style="214" bestFit="1" customWidth="1"/>
    <col min="4100" max="4100" width="23.54296875" style="214" customWidth="1"/>
    <col min="4101" max="4101" width="17.36328125" style="214" customWidth="1"/>
    <col min="4102" max="4102" width="20.54296875" style="214" bestFit="1" customWidth="1"/>
    <col min="4103" max="4103" width="17.08984375" style="214" customWidth="1"/>
    <col min="4104" max="4104" width="21.90625" style="214" bestFit="1" customWidth="1"/>
    <col min="4105" max="4105" width="17.08984375" style="214" bestFit="1" customWidth="1"/>
    <col min="4106" max="4106" width="18.08984375" style="214" bestFit="1" customWidth="1"/>
    <col min="4107" max="4107" width="26.453125" style="214" customWidth="1"/>
    <col min="4108" max="4352" width="9.08984375" style="214"/>
    <col min="4353" max="4353" width="8.6328125" style="214" bestFit="1" customWidth="1"/>
    <col min="4354" max="4354" width="13.36328125" style="214" customWidth="1"/>
    <col min="4355" max="4355" width="16.08984375" style="214" bestFit="1" customWidth="1"/>
    <col min="4356" max="4356" width="23.54296875" style="214" customWidth="1"/>
    <col min="4357" max="4357" width="17.36328125" style="214" customWidth="1"/>
    <col min="4358" max="4358" width="20.54296875" style="214" bestFit="1" customWidth="1"/>
    <col min="4359" max="4359" width="17.08984375" style="214" customWidth="1"/>
    <col min="4360" max="4360" width="21.90625" style="214" bestFit="1" customWidth="1"/>
    <col min="4361" max="4361" width="17.08984375" style="214" bestFit="1" customWidth="1"/>
    <col min="4362" max="4362" width="18.08984375" style="214" bestFit="1" customWidth="1"/>
    <col min="4363" max="4363" width="26.453125" style="214" customWidth="1"/>
    <col min="4364" max="4608" width="9.08984375" style="214"/>
    <col min="4609" max="4609" width="8.6328125" style="214" bestFit="1" customWidth="1"/>
    <col min="4610" max="4610" width="13.36328125" style="214" customWidth="1"/>
    <col min="4611" max="4611" width="16.08984375" style="214" bestFit="1" customWidth="1"/>
    <col min="4612" max="4612" width="23.54296875" style="214" customWidth="1"/>
    <col min="4613" max="4613" width="17.36328125" style="214" customWidth="1"/>
    <col min="4614" max="4614" width="20.54296875" style="214" bestFit="1" customWidth="1"/>
    <col min="4615" max="4615" width="17.08984375" style="214" customWidth="1"/>
    <col min="4616" max="4616" width="21.90625" style="214" bestFit="1" customWidth="1"/>
    <col min="4617" max="4617" width="17.08984375" style="214" bestFit="1" customWidth="1"/>
    <col min="4618" max="4618" width="18.08984375" style="214" bestFit="1" customWidth="1"/>
    <col min="4619" max="4619" width="26.453125" style="214" customWidth="1"/>
    <col min="4620" max="4864" width="9.08984375" style="214"/>
    <col min="4865" max="4865" width="8.6328125" style="214" bestFit="1" customWidth="1"/>
    <col min="4866" max="4866" width="13.36328125" style="214" customWidth="1"/>
    <col min="4867" max="4867" width="16.08984375" style="214" bestFit="1" customWidth="1"/>
    <col min="4868" max="4868" width="23.54296875" style="214" customWidth="1"/>
    <col min="4869" max="4869" width="17.36328125" style="214" customWidth="1"/>
    <col min="4870" max="4870" width="20.54296875" style="214" bestFit="1" customWidth="1"/>
    <col min="4871" max="4871" width="17.08984375" style="214" customWidth="1"/>
    <col min="4872" max="4872" width="21.90625" style="214" bestFit="1" customWidth="1"/>
    <col min="4873" max="4873" width="17.08984375" style="214" bestFit="1" customWidth="1"/>
    <col min="4874" max="4874" width="18.08984375" style="214" bestFit="1" customWidth="1"/>
    <col min="4875" max="4875" width="26.453125" style="214" customWidth="1"/>
    <col min="4876" max="5120" width="9.08984375" style="214"/>
    <col min="5121" max="5121" width="8.6328125" style="214" bestFit="1" customWidth="1"/>
    <col min="5122" max="5122" width="13.36328125" style="214" customWidth="1"/>
    <col min="5123" max="5123" width="16.08984375" style="214" bestFit="1" customWidth="1"/>
    <col min="5124" max="5124" width="23.54296875" style="214" customWidth="1"/>
    <col min="5125" max="5125" width="17.36328125" style="214" customWidth="1"/>
    <col min="5126" max="5126" width="20.54296875" style="214" bestFit="1" customWidth="1"/>
    <col min="5127" max="5127" width="17.08984375" style="214" customWidth="1"/>
    <col min="5128" max="5128" width="21.90625" style="214" bestFit="1" customWidth="1"/>
    <col min="5129" max="5129" width="17.08984375" style="214" bestFit="1" customWidth="1"/>
    <col min="5130" max="5130" width="18.08984375" style="214" bestFit="1" customWidth="1"/>
    <col min="5131" max="5131" width="26.453125" style="214" customWidth="1"/>
    <col min="5132" max="5376" width="9.08984375" style="214"/>
    <col min="5377" max="5377" width="8.6328125" style="214" bestFit="1" customWidth="1"/>
    <col min="5378" max="5378" width="13.36328125" style="214" customWidth="1"/>
    <col min="5379" max="5379" width="16.08984375" style="214" bestFit="1" customWidth="1"/>
    <col min="5380" max="5380" width="23.54296875" style="214" customWidth="1"/>
    <col min="5381" max="5381" width="17.36328125" style="214" customWidth="1"/>
    <col min="5382" max="5382" width="20.54296875" style="214" bestFit="1" customWidth="1"/>
    <col min="5383" max="5383" width="17.08984375" style="214" customWidth="1"/>
    <col min="5384" max="5384" width="21.90625" style="214" bestFit="1" customWidth="1"/>
    <col min="5385" max="5385" width="17.08984375" style="214" bestFit="1" customWidth="1"/>
    <col min="5386" max="5386" width="18.08984375" style="214" bestFit="1" customWidth="1"/>
    <col min="5387" max="5387" width="26.453125" style="214" customWidth="1"/>
    <col min="5388" max="5632" width="9.08984375" style="214"/>
    <col min="5633" max="5633" width="8.6328125" style="214" bestFit="1" customWidth="1"/>
    <col min="5634" max="5634" width="13.36328125" style="214" customWidth="1"/>
    <col min="5635" max="5635" width="16.08984375" style="214" bestFit="1" customWidth="1"/>
    <col min="5636" max="5636" width="23.54296875" style="214" customWidth="1"/>
    <col min="5637" max="5637" width="17.36328125" style="214" customWidth="1"/>
    <col min="5638" max="5638" width="20.54296875" style="214" bestFit="1" customWidth="1"/>
    <col min="5639" max="5639" width="17.08984375" style="214" customWidth="1"/>
    <col min="5640" max="5640" width="21.90625" style="214" bestFit="1" customWidth="1"/>
    <col min="5641" max="5641" width="17.08984375" style="214" bestFit="1" customWidth="1"/>
    <col min="5642" max="5642" width="18.08984375" style="214" bestFit="1" customWidth="1"/>
    <col min="5643" max="5643" width="26.453125" style="214" customWidth="1"/>
    <col min="5644" max="5888" width="9.08984375" style="214"/>
    <col min="5889" max="5889" width="8.6328125" style="214" bestFit="1" customWidth="1"/>
    <col min="5890" max="5890" width="13.36328125" style="214" customWidth="1"/>
    <col min="5891" max="5891" width="16.08984375" style="214" bestFit="1" customWidth="1"/>
    <col min="5892" max="5892" width="23.54296875" style="214" customWidth="1"/>
    <col min="5893" max="5893" width="17.36328125" style="214" customWidth="1"/>
    <col min="5894" max="5894" width="20.54296875" style="214" bestFit="1" customWidth="1"/>
    <col min="5895" max="5895" width="17.08984375" style="214" customWidth="1"/>
    <col min="5896" max="5896" width="21.90625" style="214" bestFit="1" customWidth="1"/>
    <col min="5897" max="5897" width="17.08984375" style="214" bestFit="1" customWidth="1"/>
    <col min="5898" max="5898" width="18.08984375" style="214" bestFit="1" customWidth="1"/>
    <col min="5899" max="5899" width="26.453125" style="214" customWidth="1"/>
    <col min="5900" max="6144" width="9.08984375" style="214"/>
    <col min="6145" max="6145" width="8.6328125" style="214" bestFit="1" customWidth="1"/>
    <col min="6146" max="6146" width="13.36328125" style="214" customWidth="1"/>
    <col min="6147" max="6147" width="16.08984375" style="214" bestFit="1" customWidth="1"/>
    <col min="6148" max="6148" width="23.54296875" style="214" customWidth="1"/>
    <col min="6149" max="6149" width="17.36328125" style="214" customWidth="1"/>
    <col min="6150" max="6150" width="20.54296875" style="214" bestFit="1" customWidth="1"/>
    <col min="6151" max="6151" width="17.08984375" style="214" customWidth="1"/>
    <col min="6152" max="6152" width="21.90625" style="214" bestFit="1" customWidth="1"/>
    <col min="6153" max="6153" width="17.08984375" style="214" bestFit="1" customWidth="1"/>
    <col min="6154" max="6154" width="18.08984375" style="214" bestFit="1" customWidth="1"/>
    <col min="6155" max="6155" width="26.453125" style="214" customWidth="1"/>
    <col min="6156" max="6400" width="9.08984375" style="214"/>
    <col min="6401" max="6401" width="8.6328125" style="214" bestFit="1" customWidth="1"/>
    <col min="6402" max="6402" width="13.36328125" style="214" customWidth="1"/>
    <col min="6403" max="6403" width="16.08984375" style="214" bestFit="1" customWidth="1"/>
    <col min="6404" max="6404" width="23.54296875" style="214" customWidth="1"/>
    <col min="6405" max="6405" width="17.36328125" style="214" customWidth="1"/>
    <col min="6406" max="6406" width="20.54296875" style="214" bestFit="1" customWidth="1"/>
    <col min="6407" max="6407" width="17.08984375" style="214" customWidth="1"/>
    <col min="6408" max="6408" width="21.90625" style="214" bestFit="1" customWidth="1"/>
    <col min="6409" max="6409" width="17.08984375" style="214" bestFit="1" customWidth="1"/>
    <col min="6410" max="6410" width="18.08984375" style="214" bestFit="1" customWidth="1"/>
    <col min="6411" max="6411" width="26.453125" style="214" customWidth="1"/>
    <col min="6412" max="6656" width="9.08984375" style="214"/>
    <col min="6657" max="6657" width="8.6328125" style="214" bestFit="1" customWidth="1"/>
    <col min="6658" max="6658" width="13.36328125" style="214" customWidth="1"/>
    <col min="6659" max="6659" width="16.08984375" style="214" bestFit="1" customWidth="1"/>
    <col min="6660" max="6660" width="23.54296875" style="214" customWidth="1"/>
    <col min="6661" max="6661" width="17.36328125" style="214" customWidth="1"/>
    <col min="6662" max="6662" width="20.54296875" style="214" bestFit="1" customWidth="1"/>
    <col min="6663" max="6663" width="17.08984375" style="214" customWidth="1"/>
    <col min="6664" max="6664" width="21.90625" style="214" bestFit="1" customWidth="1"/>
    <col min="6665" max="6665" width="17.08984375" style="214" bestFit="1" customWidth="1"/>
    <col min="6666" max="6666" width="18.08984375" style="214" bestFit="1" customWidth="1"/>
    <col min="6667" max="6667" width="26.453125" style="214" customWidth="1"/>
    <col min="6668" max="6912" width="9.08984375" style="214"/>
    <col min="6913" max="6913" width="8.6328125" style="214" bestFit="1" customWidth="1"/>
    <col min="6914" max="6914" width="13.36328125" style="214" customWidth="1"/>
    <col min="6915" max="6915" width="16.08984375" style="214" bestFit="1" customWidth="1"/>
    <col min="6916" max="6916" width="23.54296875" style="214" customWidth="1"/>
    <col min="6917" max="6917" width="17.36328125" style="214" customWidth="1"/>
    <col min="6918" max="6918" width="20.54296875" style="214" bestFit="1" customWidth="1"/>
    <col min="6919" max="6919" width="17.08984375" style="214" customWidth="1"/>
    <col min="6920" max="6920" width="21.90625" style="214" bestFit="1" customWidth="1"/>
    <col min="6921" max="6921" width="17.08984375" style="214" bestFit="1" customWidth="1"/>
    <col min="6922" max="6922" width="18.08984375" style="214" bestFit="1" customWidth="1"/>
    <col min="6923" max="6923" width="26.453125" style="214" customWidth="1"/>
    <col min="6924" max="7168" width="9.08984375" style="214"/>
    <col min="7169" max="7169" width="8.6328125" style="214" bestFit="1" customWidth="1"/>
    <col min="7170" max="7170" width="13.36328125" style="214" customWidth="1"/>
    <col min="7171" max="7171" width="16.08984375" style="214" bestFit="1" customWidth="1"/>
    <col min="7172" max="7172" width="23.54296875" style="214" customWidth="1"/>
    <col min="7173" max="7173" width="17.36328125" style="214" customWidth="1"/>
    <col min="7174" max="7174" width="20.54296875" style="214" bestFit="1" customWidth="1"/>
    <col min="7175" max="7175" width="17.08984375" style="214" customWidth="1"/>
    <col min="7176" max="7176" width="21.90625" style="214" bestFit="1" customWidth="1"/>
    <col min="7177" max="7177" width="17.08984375" style="214" bestFit="1" customWidth="1"/>
    <col min="7178" max="7178" width="18.08984375" style="214" bestFit="1" customWidth="1"/>
    <col min="7179" max="7179" width="26.453125" style="214" customWidth="1"/>
    <col min="7180" max="7424" width="9.08984375" style="214"/>
    <col min="7425" max="7425" width="8.6328125" style="214" bestFit="1" customWidth="1"/>
    <col min="7426" max="7426" width="13.36328125" style="214" customWidth="1"/>
    <col min="7427" max="7427" width="16.08984375" style="214" bestFit="1" customWidth="1"/>
    <col min="7428" max="7428" width="23.54296875" style="214" customWidth="1"/>
    <col min="7429" max="7429" width="17.36328125" style="214" customWidth="1"/>
    <col min="7430" max="7430" width="20.54296875" style="214" bestFit="1" customWidth="1"/>
    <col min="7431" max="7431" width="17.08984375" style="214" customWidth="1"/>
    <col min="7432" max="7432" width="21.90625" style="214" bestFit="1" customWidth="1"/>
    <col min="7433" max="7433" width="17.08984375" style="214" bestFit="1" customWidth="1"/>
    <col min="7434" max="7434" width="18.08984375" style="214" bestFit="1" customWidth="1"/>
    <col min="7435" max="7435" width="26.453125" style="214" customWidth="1"/>
    <col min="7436" max="7680" width="9.08984375" style="214"/>
    <col min="7681" max="7681" width="8.6328125" style="214" bestFit="1" customWidth="1"/>
    <col min="7682" max="7682" width="13.36328125" style="214" customWidth="1"/>
    <col min="7683" max="7683" width="16.08984375" style="214" bestFit="1" customWidth="1"/>
    <col min="7684" max="7684" width="23.54296875" style="214" customWidth="1"/>
    <col min="7685" max="7685" width="17.36328125" style="214" customWidth="1"/>
    <col min="7686" max="7686" width="20.54296875" style="214" bestFit="1" customWidth="1"/>
    <col min="7687" max="7687" width="17.08984375" style="214" customWidth="1"/>
    <col min="7688" max="7688" width="21.90625" style="214" bestFit="1" customWidth="1"/>
    <col min="7689" max="7689" width="17.08984375" style="214" bestFit="1" customWidth="1"/>
    <col min="7690" max="7690" width="18.08984375" style="214" bestFit="1" customWidth="1"/>
    <col min="7691" max="7691" width="26.453125" style="214" customWidth="1"/>
    <col min="7692" max="7936" width="9.08984375" style="214"/>
    <col min="7937" max="7937" width="8.6328125" style="214" bestFit="1" customWidth="1"/>
    <col min="7938" max="7938" width="13.36328125" style="214" customWidth="1"/>
    <col min="7939" max="7939" width="16.08984375" style="214" bestFit="1" customWidth="1"/>
    <col min="7940" max="7940" width="23.54296875" style="214" customWidth="1"/>
    <col min="7941" max="7941" width="17.36328125" style="214" customWidth="1"/>
    <col min="7942" max="7942" width="20.54296875" style="214" bestFit="1" customWidth="1"/>
    <col min="7943" max="7943" width="17.08984375" style="214" customWidth="1"/>
    <col min="7944" max="7944" width="21.90625" style="214" bestFit="1" customWidth="1"/>
    <col min="7945" max="7945" width="17.08984375" style="214" bestFit="1" customWidth="1"/>
    <col min="7946" max="7946" width="18.08984375" style="214" bestFit="1" customWidth="1"/>
    <col min="7947" max="7947" width="26.453125" style="214" customWidth="1"/>
    <col min="7948" max="8192" width="9.08984375" style="214"/>
    <col min="8193" max="8193" width="8.6328125" style="214" bestFit="1" customWidth="1"/>
    <col min="8194" max="8194" width="13.36328125" style="214" customWidth="1"/>
    <col min="8195" max="8195" width="16.08984375" style="214" bestFit="1" customWidth="1"/>
    <col min="8196" max="8196" width="23.54296875" style="214" customWidth="1"/>
    <col min="8197" max="8197" width="17.36328125" style="214" customWidth="1"/>
    <col min="8198" max="8198" width="20.54296875" style="214" bestFit="1" customWidth="1"/>
    <col min="8199" max="8199" width="17.08984375" style="214" customWidth="1"/>
    <col min="8200" max="8200" width="21.90625" style="214" bestFit="1" customWidth="1"/>
    <col min="8201" max="8201" width="17.08984375" style="214" bestFit="1" customWidth="1"/>
    <col min="8202" max="8202" width="18.08984375" style="214" bestFit="1" customWidth="1"/>
    <col min="8203" max="8203" width="26.453125" style="214" customWidth="1"/>
    <col min="8204" max="8448" width="9.08984375" style="214"/>
    <col min="8449" max="8449" width="8.6328125" style="214" bestFit="1" customWidth="1"/>
    <col min="8450" max="8450" width="13.36328125" style="214" customWidth="1"/>
    <col min="8451" max="8451" width="16.08984375" style="214" bestFit="1" customWidth="1"/>
    <col min="8452" max="8452" width="23.54296875" style="214" customWidth="1"/>
    <col min="8453" max="8453" width="17.36328125" style="214" customWidth="1"/>
    <col min="8454" max="8454" width="20.54296875" style="214" bestFit="1" customWidth="1"/>
    <col min="8455" max="8455" width="17.08984375" style="214" customWidth="1"/>
    <col min="8456" max="8456" width="21.90625" style="214" bestFit="1" customWidth="1"/>
    <col min="8457" max="8457" width="17.08984375" style="214" bestFit="1" customWidth="1"/>
    <col min="8458" max="8458" width="18.08984375" style="214" bestFit="1" customWidth="1"/>
    <col min="8459" max="8459" width="26.453125" style="214" customWidth="1"/>
    <col min="8460" max="8704" width="9.08984375" style="214"/>
    <col min="8705" max="8705" width="8.6328125" style="214" bestFit="1" customWidth="1"/>
    <col min="8706" max="8706" width="13.36328125" style="214" customWidth="1"/>
    <col min="8707" max="8707" width="16.08984375" style="214" bestFit="1" customWidth="1"/>
    <col min="8708" max="8708" width="23.54296875" style="214" customWidth="1"/>
    <col min="8709" max="8709" width="17.36328125" style="214" customWidth="1"/>
    <col min="8710" max="8710" width="20.54296875" style="214" bestFit="1" customWidth="1"/>
    <col min="8711" max="8711" width="17.08984375" style="214" customWidth="1"/>
    <col min="8712" max="8712" width="21.90625" style="214" bestFit="1" customWidth="1"/>
    <col min="8713" max="8713" width="17.08984375" style="214" bestFit="1" customWidth="1"/>
    <col min="8714" max="8714" width="18.08984375" style="214" bestFit="1" customWidth="1"/>
    <col min="8715" max="8715" width="26.453125" style="214" customWidth="1"/>
    <col min="8716" max="8960" width="9.08984375" style="214"/>
    <col min="8961" max="8961" width="8.6328125" style="214" bestFit="1" customWidth="1"/>
    <col min="8962" max="8962" width="13.36328125" style="214" customWidth="1"/>
    <col min="8963" max="8963" width="16.08984375" style="214" bestFit="1" customWidth="1"/>
    <col min="8964" max="8964" width="23.54296875" style="214" customWidth="1"/>
    <col min="8965" max="8965" width="17.36328125" style="214" customWidth="1"/>
    <col min="8966" max="8966" width="20.54296875" style="214" bestFit="1" customWidth="1"/>
    <col min="8967" max="8967" width="17.08984375" style="214" customWidth="1"/>
    <col min="8968" max="8968" width="21.90625" style="214" bestFit="1" customWidth="1"/>
    <col min="8969" max="8969" width="17.08984375" style="214" bestFit="1" customWidth="1"/>
    <col min="8970" max="8970" width="18.08984375" style="214" bestFit="1" customWidth="1"/>
    <col min="8971" max="8971" width="26.453125" style="214" customWidth="1"/>
    <col min="8972" max="9216" width="9.08984375" style="214"/>
    <col min="9217" max="9217" width="8.6328125" style="214" bestFit="1" customWidth="1"/>
    <col min="9218" max="9218" width="13.36328125" style="214" customWidth="1"/>
    <col min="9219" max="9219" width="16.08984375" style="214" bestFit="1" customWidth="1"/>
    <col min="9220" max="9220" width="23.54296875" style="214" customWidth="1"/>
    <col min="9221" max="9221" width="17.36328125" style="214" customWidth="1"/>
    <col min="9222" max="9222" width="20.54296875" style="214" bestFit="1" customWidth="1"/>
    <col min="9223" max="9223" width="17.08984375" style="214" customWidth="1"/>
    <col min="9224" max="9224" width="21.90625" style="214" bestFit="1" customWidth="1"/>
    <col min="9225" max="9225" width="17.08984375" style="214" bestFit="1" customWidth="1"/>
    <col min="9226" max="9226" width="18.08984375" style="214" bestFit="1" customWidth="1"/>
    <col min="9227" max="9227" width="26.453125" style="214" customWidth="1"/>
    <col min="9228" max="9472" width="9.08984375" style="214"/>
    <col min="9473" max="9473" width="8.6328125" style="214" bestFit="1" customWidth="1"/>
    <col min="9474" max="9474" width="13.36328125" style="214" customWidth="1"/>
    <col min="9475" max="9475" width="16.08984375" style="214" bestFit="1" customWidth="1"/>
    <col min="9476" max="9476" width="23.54296875" style="214" customWidth="1"/>
    <col min="9477" max="9477" width="17.36328125" style="214" customWidth="1"/>
    <col min="9478" max="9478" width="20.54296875" style="214" bestFit="1" customWidth="1"/>
    <col min="9479" max="9479" width="17.08984375" style="214" customWidth="1"/>
    <col min="9480" max="9480" width="21.90625" style="214" bestFit="1" customWidth="1"/>
    <col min="9481" max="9481" width="17.08984375" style="214" bestFit="1" customWidth="1"/>
    <col min="9482" max="9482" width="18.08984375" style="214" bestFit="1" customWidth="1"/>
    <col min="9483" max="9483" width="26.453125" style="214" customWidth="1"/>
    <col min="9484" max="9728" width="9.08984375" style="214"/>
    <col min="9729" max="9729" width="8.6328125" style="214" bestFit="1" customWidth="1"/>
    <col min="9730" max="9730" width="13.36328125" style="214" customWidth="1"/>
    <col min="9731" max="9731" width="16.08984375" style="214" bestFit="1" customWidth="1"/>
    <col min="9732" max="9732" width="23.54296875" style="214" customWidth="1"/>
    <col min="9733" max="9733" width="17.36328125" style="214" customWidth="1"/>
    <col min="9734" max="9734" width="20.54296875" style="214" bestFit="1" customWidth="1"/>
    <col min="9735" max="9735" width="17.08984375" style="214" customWidth="1"/>
    <col min="9736" max="9736" width="21.90625" style="214" bestFit="1" customWidth="1"/>
    <col min="9737" max="9737" width="17.08984375" style="214" bestFit="1" customWidth="1"/>
    <col min="9738" max="9738" width="18.08984375" style="214" bestFit="1" customWidth="1"/>
    <col min="9739" max="9739" width="26.453125" style="214" customWidth="1"/>
    <col min="9740" max="9984" width="9.08984375" style="214"/>
    <col min="9985" max="9985" width="8.6328125" style="214" bestFit="1" customWidth="1"/>
    <col min="9986" max="9986" width="13.36328125" style="214" customWidth="1"/>
    <col min="9987" max="9987" width="16.08984375" style="214" bestFit="1" customWidth="1"/>
    <col min="9988" max="9988" width="23.54296875" style="214" customWidth="1"/>
    <col min="9989" max="9989" width="17.36328125" style="214" customWidth="1"/>
    <col min="9990" max="9990" width="20.54296875" style="214" bestFit="1" customWidth="1"/>
    <col min="9991" max="9991" width="17.08984375" style="214" customWidth="1"/>
    <col min="9992" max="9992" width="21.90625" style="214" bestFit="1" customWidth="1"/>
    <col min="9993" max="9993" width="17.08984375" style="214" bestFit="1" customWidth="1"/>
    <col min="9994" max="9994" width="18.08984375" style="214" bestFit="1" customWidth="1"/>
    <col min="9995" max="9995" width="26.453125" style="214" customWidth="1"/>
    <col min="9996" max="10240" width="9.08984375" style="214"/>
    <col min="10241" max="10241" width="8.6328125" style="214" bestFit="1" customWidth="1"/>
    <col min="10242" max="10242" width="13.36328125" style="214" customWidth="1"/>
    <col min="10243" max="10243" width="16.08984375" style="214" bestFit="1" customWidth="1"/>
    <col min="10244" max="10244" width="23.54296875" style="214" customWidth="1"/>
    <col min="10245" max="10245" width="17.36328125" style="214" customWidth="1"/>
    <col min="10246" max="10246" width="20.54296875" style="214" bestFit="1" customWidth="1"/>
    <col min="10247" max="10247" width="17.08984375" style="214" customWidth="1"/>
    <col min="10248" max="10248" width="21.90625" style="214" bestFit="1" customWidth="1"/>
    <col min="10249" max="10249" width="17.08984375" style="214" bestFit="1" customWidth="1"/>
    <col min="10250" max="10250" width="18.08984375" style="214" bestFit="1" customWidth="1"/>
    <col min="10251" max="10251" width="26.453125" style="214" customWidth="1"/>
    <col min="10252" max="10496" width="9.08984375" style="214"/>
    <col min="10497" max="10497" width="8.6328125" style="214" bestFit="1" customWidth="1"/>
    <col min="10498" max="10498" width="13.36328125" style="214" customWidth="1"/>
    <col min="10499" max="10499" width="16.08984375" style="214" bestFit="1" customWidth="1"/>
    <col min="10500" max="10500" width="23.54296875" style="214" customWidth="1"/>
    <col min="10501" max="10501" width="17.36328125" style="214" customWidth="1"/>
    <col min="10502" max="10502" width="20.54296875" style="214" bestFit="1" customWidth="1"/>
    <col min="10503" max="10503" width="17.08984375" style="214" customWidth="1"/>
    <col min="10504" max="10504" width="21.90625" style="214" bestFit="1" customWidth="1"/>
    <col min="10505" max="10505" width="17.08984375" style="214" bestFit="1" customWidth="1"/>
    <col min="10506" max="10506" width="18.08984375" style="214" bestFit="1" customWidth="1"/>
    <col min="10507" max="10507" width="26.453125" style="214" customWidth="1"/>
    <col min="10508" max="10752" width="9.08984375" style="214"/>
    <col min="10753" max="10753" width="8.6328125" style="214" bestFit="1" customWidth="1"/>
    <col min="10754" max="10754" width="13.36328125" style="214" customWidth="1"/>
    <col min="10755" max="10755" width="16.08984375" style="214" bestFit="1" customWidth="1"/>
    <col min="10756" max="10756" width="23.54296875" style="214" customWidth="1"/>
    <col min="10757" max="10757" width="17.36328125" style="214" customWidth="1"/>
    <col min="10758" max="10758" width="20.54296875" style="214" bestFit="1" customWidth="1"/>
    <col min="10759" max="10759" width="17.08984375" style="214" customWidth="1"/>
    <col min="10760" max="10760" width="21.90625" style="214" bestFit="1" customWidth="1"/>
    <col min="10761" max="10761" width="17.08984375" style="214" bestFit="1" customWidth="1"/>
    <col min="10762" max="10762" width="18.08984375" style="214" bestFit="1" customWidth="1"/>
    <col min="10763" max="10763" width="26.453125" style="214" customWidth="1"/>
    <col min="10764" max="11008" width="9.08984375" style="214"/>
    <col min="11009" max="11009" width="8.6328125" style="214" bestFit="1" customWidth="1"/>
    <col min="11010" max="11010" width="13.36328125" style="214" customWidth="1"/>
    <col min="11011" max="11011" width="16.08984375" style="214" bestFit="1" customWidth="1"/>
    <col min="11012" max="11012" width="23.54296875" style="214" customWidth="1"/>
    <col min="11013" max="11013" width="17.36328125" style="214" customWidth="1"/>
    <col min="11014" max="11014" width="20.54296875" style="214" bestFit="1" customWidth="1"/>
    <col min="11015" max="11015" width="17.08984375" style="214" customWidth="1"/>
    <col min="11016" max="11016" width="21.90625" style="214" bestFit="1" customWidth="1"/>
    <col min="11017" max="11017" width="17.08984375" style="214" bestFit="1" customWidth="1"/>
    <col min="11018" max="11018" width="18.08984375" style="214" bestFit="1" customWidth="1"/>
    <col min="11019" max="11019" width="26.453125" style="214" customWidth="1"/>
    <col min="11020" max="11264" width="9.08984375" style="214"/>
    <col min="11265" max="11265" width="8.6328125" style="214" bestFit="1" customWidth="1"/>
    <col min="11266" max="11266" width="13.36328125" style="214" customWidth="1"/>
    <col min="11267" max="11267" width="16.08984375" style="214" bestFit="1" customWidth="1"/>
    <col min="11268" max="11268" width="23.54296875" style="214" customWidth="1"/>
    <col min="11269" max="11269" width="17.36328125" style="214" customWidth="1"/>
    <col min="11270" max="11270" width="20.54296875" style="214" bestFit="1" customWidth="1"/>
    <col min="11271" max="11271" width="17.08984375" style="214" customWidth="1"/>
    <col min="11272" max="11272" width="21.90625" style="214" bestFit="1" customWidth="1"/>
    <col min="11273" max="11273" width="17.08984375" style="214" bestFit="1" customWidth="1"/>
    <col min="11274" max="11274" width="18.08984375" style="214" bestFit="1" customWidth="1"/>
    <col min="11275" max="11275" width="26.453125" style="214" customWidth="1"/>
    <col min="11276" max="11520" width="9.08984375" style="214"/>
    <col min="11521" max="11521" width="8.6328125" style="214" bestFit="1" customWidth="1"/>
    <col min="11522" max="11522" width="13.36328125" style="214" customWidth="1"/>
    <col min="11523" max="11523" width="16.08984375" style="214" bestFit="1" customWidth="1"/>
    <col min="11524" max="11524" width="23.54296875" style="214" customWidth="1"/>
    <col min="11525" max="11525" width="17.36328125" style="214" customWidth="1"/>
    <col min="11526" max="11526" width="20.54296875" style="214" bestFit="1" customWidth="1"/>
    <col min="11527" max="11527" width="17.08984375" style="214" customWidth="1"/>
    <col min="11528" max="11528" width="21.90625" style="214" bestFit="1" customWidth="1"/>
    <col min="11529" max="11529" width="17.08984375" style="214" bestFit="1" customWidth="1"/>
    <col min="11530" max="11530" width="18.08984375" style="214" bestFit="1" customWidth="1"/>
    <col min="11531" max="11531" width="26.453125" style="214" customWidth="1"/>
    <col min="11532" max="11776" width="9.08984375" style="214"/>
    <col min="11777" max="11777" width="8.6328125" style="214" bestFit="1" customWidth="1"/>
    <col min="11778" max="11778" width="13.36328125" style="214" customWidth="1"/>
    <col min="11779" max="11779" width="16.08984375" style="214" bestFit="1" customWidth="1"/>
    <col min="11780" max="11780" width="23.54296875" style="214" customWidth="1"/>
    <col min="11781" max="11781" width="17.36328125" style="214" customWidth="1"/>
    <col min="11782" max="11782" width="20.54296875" style="214" bestFit="1" customWidth="1"/>
    <col min="11783" max="11783" width="17.08984375" style="214" customWidth="1"/>
    <col min="11784" max="11784" width="21.90625" style="214" bestFit="1" customWidth="1"/>
    <col min="11785" max="11785" width="17.08984375" style="214" bestFit="1" customWidth="1"/>
    <col min="11786" max="11786" width="18.08984375" style="214" bestFit="1" customWidth="1"/>
    <col min="11787" max="11787" width="26.453125" style="214" customWidth="1"/>
    <col min="11788" max="12032" width="9.08984375" style="214"/>
    <col min="12033" max="12033" width="8.6328125" style="214" bestFit="1" customWidth="1"/>
    <col min="12034" max="12034" width="13.36328125" style="214" customWidth="1"/>
    <col min="12035" max="12035" width="16.08984375" style="214" bestFit="1" customWidth="1"/>
    <col min="12036" max="12036" width="23.54296875" style="214" customWidth="1"/>
    <col min="12037" max="12037" width="17.36328125" style="214" customWidth="1"/>
    <col min="12038" max="12038" width="20.54296875" style="214" bestFit="1" customWidth="1"/>
    <col min="12039" max="12039" width="17.08984375" style="214" customWidth="1"/>
    <col min="12040" max="12040" width="21.90625" style="214" bestFit="1" customWidth="1"/>
    <col min="12041" max="12041" width="17.08984375" style="214" bestFit="1" customWidth="1"/>
    <col min="12042" max="12042" width="18.08984375" style="214" bestFit="1" customWidth="1"/>
    <col min="12043" max="12043" width="26.453125" style="214" customWidth="1"/>
    <col min="12044" max="12288" width="9.08984375" style="214"/>
    <col min="12289" max="12289" width="8.6328125" style="214" bestFit="1" customWidth="1"/>
    <col min="12290" max="12290" width="13.36328125" style="214" customWidth="1"/>
    <col min="12291" max="12291" width="16.08984375" style="214" bestFit="1" customWidth="1"/>
    <col min="12292" max="12292" width="23.54296875" style="214" customWidth="1"/>
    <col min="12293" max="12293" width="17.36328125" style="214" customWidth="1"/>
    <col min="12294" max="12294" width="20.54296875" style="214" bestFit="1" customWidth="1"/>
    <col min="12295" max="12295" width="17.08984375" style="214" customWidth="1"/>
    <col min="12296" max="12296" width="21.90625" style="214" bestFit="1" customWidth="1"/>
    <col min="12297" max="12297" width="17.08984375" style="214" bestFit="1" customWidth="1"/>
    <col min="12298" max="12298" width="18.08984375" style="214" bestFit="1" customWidth="1"/>
    <col min="12299" max="12299" width="26.453125" style="214" customWidth="1"/>
    <col min="12300" max="12544" width="9.08984375" style="214"/>
    <col min="12545" max="12545" width="8.6328125" style="214" bestFit="1" customWidth="1"/>
    <col min="12546" max="12546" width="13.36328125" style="214" customWidth="1"/>
    <col min="12547" max="12547" width="16.08984375" style="214" bestFit="1" customWidth="1"/>
    <col min="12548" max="12548" width="23.54296875" style="214" customWidth="1"/>
    <col min="12549" max="12549" width="17.36328125" style="214" customWidth="1"/>
    <col min="12550" max="12550" width="20.54296875" style="214" bestFit="1" customWidth="1"/>
    <col min="12551" max="12551" width="17.08984375" style="214" customWidth="1"/>
    <col min="12552" max="12552" width="21.90625" style="214" bestFit="1" customWidth="1"/>
    <col min="12553" max="12553" width="17.08984375" style="214" bestFit="1" customWidth="1"/>
    <col min="12554" max="12554" width="18.08984375" style="214" bestFit="1" customWidth="1"/>
    <col min="12555" max="12555" width="26.453125" style="214" customWidth="1"/>
    <col min="12556" max="12800" width="9.08984375" style="214"/>
    <col min="12801" max="12801" width="8.6328125" style="214" bestFit="1" customWidth="1"/>
    <col min="12802" max="12802" width="13.36328125" style="214" customWidth="1"/>
    <col min="12803" max="12803" width="16.08984375" style="214" bestFit="1" customWidth="1"/>
    <col min="12804" max="12804" width="23.54296875" style="214" customWidth="1"/>
    <col min="12805" max="12805" width="17.36328125" style="214" customWidth="1"/>
    <col min="12806" max="12806" width="20.54296875" style="214" bestFit="1" customWidth="1"/>
    <col min="12807" max="12807" width="17.08984375" style="214" customWidth="1"/>
    <col min="12808" max="12808" width="21.90625" style="214" bestFit="1" customWidth="1"/>
    <col min="12809" max="12809" width="17.08984375" style="214" bestFit="1" customWidth="1"/>
    <col min="12810" max="12810" width="18.08984375" style="214" bestFit="1" customWidth="1"/>
    <col min="12811" max="12811" width="26.453125" style="214" customWidth="1"/>
    <col min="12812" max="13056" width="9.08984375" style="214"/>
    <col min="13057" max="13057" width="8.6328125" style="214" bestFit="1" customWidth="1"/>
    <col min="13058" max="13058" width="13.36328125" style="214" customWidth="1"/>
    <col min="13059" max="13059" width="16.08984375" style="214" bestFit="1" customWidth="1"/>
    <col min="13060" max="13060" width="23.54296875" style="214" customWidth="1"/>
    <col min="13061" max="13061" width="17.36328125" style="214" customWidth="1"/>
    <col min="13062" max="13062" width="20.54296875" style="214" bestFit="1" customWidth="1"/>
    <col min="13063" max="13063" width="17.08984375" style="214" customWidth="1"/>
    <col min="13064" max="13064" width="21.90625" style="214" bestFit="1" customWidth="1"/>
    <col min="13065" max="13065" width="17.08984375" style="214" bestFit="1" customWidth="1"/>
    <col min="13066" max="13066" width="18.08984375" style="214" bestFit="1" customWidth="1"/>
    <col min="13067" max="13067" width="26.453125" style="214" customWidth="1"/>
    <col min="13068" max="13312" width="9.08984375" style="214"/>
    <col min="13313" max="13313" width="8.6328125" style="214" bestFit="1" customWidth="1"/>
    <col min="13314" max="13314" width="13.36328125" style="214" customWidth="1"/>
    <col min="13315" max="13315" width="16.08984375" style="214" bestFit="1" customWidth="1"/>
    <col min="13316" max="13316" width="23.54296875" style="214" customWidth="1"/>
    <col min="13317" max="13317" width="17.36328125" style="214" customWidth="1"/>
    <col min="13318" max="13318" width="20.54296875" style="214" bestFit="1" customWidth="1"/>
    <col min="13319" max="13319" width="17.08984375" style="214" customWidth="1"/>
    <col min="13320" max="13320" width="21.90625" style="214" bestFit="1" customWidth="1"/>
    <col min="13321" max="13321" width="17.08984375" style="214" bestFit="1" customWidth="1"/>
    <col min="13322" max="13322" width="18.08984375" style="214" bestFit="1" customWidth="1"/>
    <col min="13323" max="13323" width="26.453125" style="214" customWidth="1"/>
    <col min="13324" max="13568" width="9.08984375" style="214"/>
    <col min="13569" max="13569" width="8.6328125" style="214" bestFit="1" customWidth="1"/>
    <col min="13570" max="13570" width="13.36328125" style="214" customWidth="1"/>
    <col min="13571" max="13571" width="16.08984375" style="214" bestFit="1" customWidth="1"/>
    <col min="13572" max="13572" width="23.54296875" style="214" customWidth="1"/>
    <col min="13573" max="13573" width="17.36328125" style="214" customWidth="1"/>
    <col min="13574" max="13574" width="20.54296875" style="214" bestFit="1" customWidth="1"/>
    <col min="13575" max="13575" width="17.08984375" style="214" customWidth="1"/>
    <col min="13576" max="13576" width="21.90625" style="214" bestFit="1" customWidth="1"/>
    <col min="13577" max="13577" width="17.08984375" style="214" bestFit="1" customWidth="1"/>
    <col min="13578" max="13578" width="18.08984375" style="214" bestFit="1" customWidth="1"/>
    <col min="13579" max="13579" width="26.453125" style="214" customWidth="1"/>
    <col min="13580" max="13824" width="9.08984375" style="214"/>
    <col min="13825" max="13825" width="8.6328125" style="214" bestFit="1" customWidth="1"/>
    <col min="13826" max="13826" width="13.36328125" style="214" customWidth="1"/>
    <col min="13827" max="13827" width="16.08984375" style="214" bestFit="1" customWidth="1"/>
    <col min="13828" max="13828" width="23.54296875" style="214" customWidth="1"/>
    <col min="13829" max="13829" width="17.36328125" style="214" customWidth="1"/>
    <col min="13830" max="13830" width="20.54296875" style="214" bestFit="1" customWidth="1"/>
    <col min="13831" max="13831" width="17.08984375" style="214" customWidth="1"/>
    <col min="13832" max="13832" width="21.90625" style="214" bestFit="1" customWidth="1"/>
    <col min="13833" max="13833" width="17.08984375" style="214" bestFit="1" customWidth="1"/>
    <col min="13834" max="13834" width="18.08984375" style="214" bestFit="1" customWidth="1"/>
    <col min="13835" max="13835" width="26.453125" style="214" customWidth="1"/>
    <col min="13836" max="14080" width="9.08984375" style="214"/>
    <col min="14081" max="14081" width="8.6328125" style="214" bestFit="1" customWidth="1"/>
    <col min="14082" max="14082" width="13.36328125" style="214" customWidth="1"/>
    <col min="14083" max="14083" width="16.08984375" style="214" bestFit="1" customWidth="1"/>
    <col min="14084" max="14084" width="23.54296875" style="214" customWidth="1"/>
    <col min="14085" max="14085" width="17.36328125" style="214" customWidth="1"/>
    <col min="14086" max="14086" width="20.54296875" style="214" bestFit="1" customWidth="1"/>
    <col min="14087" max="14087" width="17.08984375" style="214" customWidth="1"/>
    <col min="14088" max="14088" width="21.90625" style="214" bestFit="1" customWidth="1"/>
    <col min="14089" max="14089" width="17.08984375" style="214" bestFit="1" customWidth="1"/>
    <col min="14090" max="14090" width="18.08984375" style="214" bestFit="1" customWidth="1"/>
    <col min="14091" max="14091" width="26.453125" style="214" customWidth="1"/>
    <col min="14092" max="14336" width="9.08984375" style="214"/>
    <col min="14337" max="14337" width="8.6328125" style="214" bestFit="1" customWidth="1"/>
    <col min="14338" max="14338" width="13.36328125" style="214" customWidth="1"/>
    <col min="14339" max="14339" width="16.08984375" style="214" bestFit="1" customWidth="1"/>
    <col min="14340" max="14340" width="23.54296875" style="214" customWidth="1"/>
    <col min="14341" max="14341" width="17.36328125" style="214" customWidth="1"/>
    <col min="14342" max="14342" width="20.54296875" style="214" bestFit="1" customWidth="1"/>
    <col min="14343" max="14343" width="17.08984375" style="214" customWidth="1"/>
    <col min="14344" max="14344" width="21.90625" style="214" bestFit="1" customWidth="1"/>
    <col min="14345" max="14345" width="17.08984375" style="214" bestFit="1" customWidth="1"/>
    <col min="14346" max="14346" width="18.08984375" style="214" bestFit="1" customWidth="1"/>
    <col min="14347" max="14347" width="26.453125" style="214" customWidth="1"/>
    <col min="14348" max="14592" width="9.08984375" style="214"/>
    <col min="14593" max="14593" width="8.6328125" style="214" bestFit="1" customWidth="1"/>
    <col min="14594" max="14594" width="13.36328125" style="214" customWidth="1"/>
    <col min="14595" max="14595" width="16.08984375" style="214" bestFit="1" customWidth="1"/>
    <col min="14596" max="14596" width="23.54296875" style="214" customWidth="1"/>
    <col min="14597" max="14597" width="17.36328125" style="214" customWidth="1"/>
    <col min="14598" max="14598" width="20.54296875" style="214" bestFit="1" customWidth="1"/>
    <col min="14599" max="14599" width="17.08984375" style="214" customWidth="1"/>
    <col min="14600" max="14600" width="21.90625" style="214" bestFit="1" customWidth="1"/>
    <col min="14601" max="14601" width="17.08984375" style="214" bestFit="1" customWidth="1"/>
    <col min="14602" max="14602" width="18.08984375" style="214" bestFit="1" customWidth="1"/>
    <col min="14603" max="14603" width="26.453125" style="214" customWidth="1"/>
    <col min="14604" max="14848" width="9.08984375" style="214"/>
    <col min="14849" max="14849" width="8.6328125" style="214" bestFit="1" customWidth="1"/>
    <col min="14850" max="14850" width="13.36328125" style="214" customWidth="1"/>
    <col min="14851" max="14851" width="16.08984375" style="214" bestFit="1" customWidth="1"/>
    <col min="14852" max="14852" width="23.54296875" style="214" customWidth="1"/>
    <col min="14853" max="14853" width="17.36328125" style="214" customWidth="1"/>
    <col min="14854" max="14854" width="20.54296875" style="214" bestFit="1" customWidth="1"/>
    <col min="14855" max="14855" width="17.08984375" style="214" customWidth="1"/>
    <col min="14856" max="14856" width="21.90625" style="214" bestFit="1" customWidth="1"/>
    <col min="14857" max="14857" width="17.08984375" style="214" bestFit="1" customWidth="1"/>
    <col min="14858" max="14858" width="18.08984375" style="214" bestFit="1" customWidth="1"/>
    <col min="14859" max="14859" width="26.453125" style="214" customWidth="1"/>
    <col min="14860" max="15104" width="9.08984375" style="214"/>
    <col min="15105" max="15105" width="8.6328125" style="214" bestFit="1" customWidth="1"/>
    <col min="15106" max="15106" width="13.36328125" style="214" customWidth="1"/>
    <col min="15107" max="15107" width="16.08984375" style="214" bestFit="1" customWidth="1"/>
    <col min="15108" max="15108" width="23.54296875" style="214" customWidth="1"/>
    <col min="15109" max="15109" width="17.36328125" style="214" customWidth="1"/>
    <col min="15110" max="15110" width="20.54296875" style="214" bestFit="1" customWidth="1"/>
    <col min="15111" max="15111" width="17.08984375" style="214" customWidth="1"/>
    <col min="15112" max="15112" width="21.90625" style="214" bestFit="1" customWidth="1"/>
    <col min="15113" max="15113" width="17.08984375" style="214" bestFit="1" customWidth="1"/>
    <col min="15114" max="15114" width="18.08984375" style="214" bestFit="1" customWidth="1"/>
    <col min="15115" max="15115" width="26.453125" style="214" customWidth="1"/>
    <col min="15116" max="15360" width="9.08984375" style="214"/>
    <col min="15361" max="15361" width="8.6328125" style="214" bestFit="1" customWidth="1"/>
    <col min="15362" max="15362" width="13.36328125" style="214" customWidth="1"/>
    <col min="15363" max="15363" width="16.08984375" style="214" bestFit="1" customWidth="1"/>
    <col min="15364" max="15364" width="23.54296875" style="214" customWidth="1"/>
    <col min="15365" max="15365" width="17.36328125" style="214" customWidth="1"/>
    <col min="15366" max="15366" width="20.54296875" style="214" bestFit="1" customWidth="1"/>
    <col min="15367" max="15367" width="17.08984375" style="214" customWidth="1"/>
    <col min="15368" max="15368" width="21.90625" style="214" bestFit="1" customWidth="1"/>
    <col min="15369" max="15369" width="17.08984375" style="214" bestFit="1" customWidth="1"/>
    <col min="15370" max="15370" width="18.08984375" style="214" bestFit="1" customWidth="1"/>
    <col min="15371" max="15371" width="26.453125" style="214" customWidth="1"/>
    <col min="15372" max="15616" width="9.08984375" style="214"/>
    <col min="15617" max="15617" width="8.6328125" style="214" bestFit="1" customWidth="1"/>
    <col min="15618" max="15618" width="13.36328125" style="214" customWidth="1"/>
    <col min="15619" max="15619" width="16.08984375" style="214" bestFit="1" customWidth="1"/>
    <col min="15620" max="15620" width="23.54296875" style="214" customWidth="1"/>
    <col min="15621" max="15621" width="17.36328125" style="214" customWidth="1"/>
    <col min="15622" max="15622" width="20.54296875" style="214" bestFit="1" customWidth="1"/>
    <col min="15623" max="15623" width="17.08984375" style="214" customWidth="1"/>
    <col min="15624" max="15624" width="21.90625" style="214" bestFit="1" customWidth="1"/>
    <col min="15625" max="15625" width="17.08984375" style="214" bestFit="1" customWidth="1"/>
    <col min="15626" max="15626" width="18.08984375" style="214" bestFit="1" customWidth="1"/>
    <col min="15627" max="15627" width="26.453125" style="214" customWidth="1"/>
    <col min="15628" max="15872" width="9.08984375" style="214"/>
    <col min="15873" max="15873" width="8.6328125" style="214" bestFit="1" customWidth="1"/>
    <col min="15874" max="15874" width="13.36328125" style="214" customWidth="1"/>
    <col min="15875" max="15875" width="16.08984375" style="214" bestFit="1" customWidth="1"/>
    <col min="15876" max="15876" width="23.54296875" style="214" customWidth="1"/>
    <col min="15877" max="15877" width="17.36328125" style="214" customWidth="1"/>
    <col min="15878" max="15878" width="20.54296875" style="214" bestFit="1" customWidth="1"/>
    <col min="15879" max="15879" width="17.08984375" style="214" customWidth="1"/>
    <col min="15880" max="15880" width="21.90625" style="214" bestFit="1" customWidth="1"/>
    <col min="15881" max="15881" width="17.08984375" style="214" bestFit="1" customWidth="1"/>
    <col min="15882" max="15882" width="18.08984375" style="214" bestFit="1" customWidth="1"/>
    <col min="15883" max="15883" width="26.453125" style="214" customWidth="1"/>
    <col min="15884" max="16128" width="9.08984375" style="214"/>
    <col min="16129" max="16129" width="8.6328125" style="214" bestFit="1" customWidth="1"/>
    <col min="16130" max="16130" width="13.36328125" style="214" customWidth="1"/>
    <col min="16131" max="16131" width="16.08984375" style="214" bestFit="1" customWidth="1"/>
    <col min="16132" max="16132" width="23.54296875" style="214" customWidth="1"/>
    <col min="16133" max="16133" width="17.36328125" style="214" customWidth="1"/>
    <col min="16134" max="16134" width="20.54296875" style="214" bestFit="1" customWidth="1"/>
    <col min="16135" max="16135" width="17.08984375" style="214" customWidth="1"/>
    <col min="16136" max="16136" width="21.90625" style="214" bestFit="1" customWidth="1"/>
    <col min="16137" max="16137" width="17.08984375" style="214" bestFit="1" customWidth="1"/>
    <col min="16138" max="16138" width="18.08984375" style="214" bestFit="1" customWidth="1"/>
    <col min="16139" max="16139" width="26.453125" style="214" customWidth="1"/>
    <col min="16140" max="16384" width="9.08984375" style="214"/>
  </cols>
  <sheetData>
    <row r="1" spans="13:13" s="248" customFormat="1" x14ac:dyDescent="0.25">
      <c r="M1" s="249"/>
    </row>
    <row r="2" spans="13:13" s="248" customFormat="1" x14ac:dyDescent="0.25">
      <c r="M2" s="249"/>
    </row>
    <row r="3" spans="13:13" s="248" customFormat="1" x14ac:dyDescent="0.25">
      <c r="M3" s="249"/>
    </row>
    <row r="4" spans="13:13" s="248" customFormat="1" x14ac:dyDescent="0.25">
      <c r="M4" s="249"/>
    </row>
    <row r="5" spans="13:13" s="248" customFormat="1" x14ac:dyDescent="0.25">
      <c r="M5" s="249"/>
    </row>
    <row r="6" spans="13:13" s="248" customFormat="1" x14ac:dyDescent="0.25">
      <c r="M6" s="249"/>
    </row>
    <row r="7" spans="13:13" s="248" customFormat="1" x14ac:dyDescent="0.25">
      <c r="M7" s="249"/>
    </row>
    <row r="8" spans="13:13" s="248" customFormat="1" x14ac:dyDescent="0.25">
      <c r="M8" s="249"/>
    </row>
    <row r="9" spans="13:13" s="248" customFormat="1" x14ac:dyDescent="0.25">
      <c r="M9" s="249"/>
    </row>
    <row r="10" spans="13:13" s="248" customFormat="1" x14ac:dyDescent="0.25">
      <c r="M10" s="249"/>
    </row>
    <row r="11" spans="13:13" s="248" customFormat="1" x14ac:dyDescent="0.25">
      <c r="M11" s="249"/>
    </row>
    <row r="12" spans="13:13" s="248" customFormat="1" x14ac:dyDescent="0.25">
      <c r="M12" s="249"/>
    </row>
    <row r="13" spans="13:13" s="248" customFormat="1" x14ac:dyDescent="0.25">
      <c r="M13" s="249"/>
    </row>
    <row r="14" spans="13:13" s="248" customFormat="1" x14ac:dyDescent="0.25">
      <c r="M14" s="249"/>
    </row>
    <row r="15" spans="13:13" s="248" customFormat="1" x14ac:dyDescent="0.25">
      <c r="M15" s="249"/>
    </row>
    <row r="16" spans="13:13" s="248" customFormat="1" x14ac:dyDescent="0.25">
      <c r="M16" s="249"/>
    </row>
    <row r="17" spans="13:13" s="248" customFormat="1" x14ac:dyDescent="0.25">
      <c r="M17" s="249"/>
    </row>
    <row r="18" spans="13:13" s="248" customFormat="1" x14ac:dyDescent="0.25">
      <c r="M18" s="249"/>
    </row>
    <row r="19" spans="13:13" s="248" customFormat="1" x14ac:dyDescent="0.25">
      <c r="M19" s="249"/>
    </row>
    <row r="20" spans="13:13" s="248" customFormat="1" x14ac:dyDescent="0.25">
      <c r="M20" s="249"/>
    </row>
    <row r="21" spans="13:13" s="248" customFormat="1" x14ac:dyDescent="0.25">
      <c r="M21" s="249"/>
    </row>
    <row r="22" spans="13:13" s="248" customFormat="1" x14ac:dyDescent="0.25">
      <c r="M22" s="249"/>
    </row>
    <row r="23" spans="13:13" s="248" customFormat="1" x14ac:dyDescent="0.25">
      <c r="M23" s="249"/>
    </row>
    <row r="24" spans="13:13" s="248" customFormat="1" x14ac:dyDescent="0.25">
      <c r="M24" s="249"/>
    </row>
    <row r="25" spans="13:13" s="248" customFormat="1" x14ac:dyDescent="0.25">
      <c r="M25" s="249"/>
    </row>
    <row r="26" spans="13:13" s="248" customFormat="1" x14ac:dyDescent="0.25">
      <c r="M26" s="249"/>
    </row>
    <row r="27" spans="13:13" s="248" customFormat="1" x14ac:dyDescent="0.25">
      <c r="M27" s="249"/>
    </row>
    <row r="28" spans="13:13" s="248" customFormat="1" x14ac:dyDescent="0.25">
      <c r="M28" s="249"/>
    </row>
    <row r="29" spans="13:13" s="248" customFormat="1" x14ac:dyDescent="0.25">
      <c r="M29" s="249"/>
    </row>
    <row r="30" spans="13:13" s="248" customFormat="1" x14ac:dyDescent="0.25">
      <c r="M30" s="249"/>
    </row>
    <row r="31" spans="13:13" s="248" customFormat="1" x14ac:dyDescent="0.25">
      <c r="M31" s="249"/>
    </row>
    <row r="32" spans="13:13" s="248" customFormat="1" x14ac:dyDescent="0.25">
      <c r="M32" s="249"/>
    </row>
    <row r="33" spans="1:13" s="248" customFormat="1" x14ac:dyDescent="0.25">
      <c r="M33" s="249"/>
    </row>
    <row r="34" spans="1:13" s="248" customFormat="1" x14ac:dyDescent="0.25">
      <c r="M34" s="249"/>
    </row>
    <row r="35" spans="1:13" s="248" customFormat="1" x14ac:dyDescent="0.25">
      <c r="M35" s="249"/>
    </row>
    <row r="36" spans="1:13" s="248" customFormat="1" x14ac:dyDescent="0.25">
      <c r="M36" s="249"/>
    </row>
    <row r="37" spans="1:13" s="248" customFormat="1" ht="15.75" customHeight="1" x14ac:dyDescent="0.3">
      <c r="A37" s="248" t="s">
        <v>787</v>
      </c>
      <c r="I37" s="158" t="str">
        <f>IF(OR(SCH_MODE=3, SCH_MODE=4), "** Slave controller (CNTRL2) not shown **","** Tie VCCX to GND if not used **")</f>
        <v>** Tie VCCX to GND if not used **</v>
      </c>
    </row>
    <row r="38" spans="1:13" s="248" customFormat="1" ht="15.75" customHeight="1" x14ac:dyDescent="0.25">
      <c r="A38" s="248" t="s">
        <v>786</v>
      </c>
      <c r="I38" s="279" t="str">
        <f>IF(OR(SCH_MODE=3, SCH_MODE=4),"** Tie VCCX to GND if not used **", "")</f>
        <v/>
      </c>
    </row>
    <row r="39" spans="1:13" s="248" customFormat="1" ht="15.75" customHeight="1" x14ac:dyDescent="0.3">
      <c r="A39" s="248" t="s">
        <v>785</v>
      </c>
    </row>
    <row r="40" spans="1:13" s="248" customFormat="1" ht="15.75" customHeight="1" x14ac:dyDescent="0.3">
      <c r="A40" s="248" t="s">
        <v>788</v>
      </c>
    </row>
    <row r="41" spans="1:13" s="248" customFormat="1" ht="15.75" customHeight="1" x14ac:dyDescent="0.3">
      <c r="A41" s="248" t="s">
        <v>789</v>
      </c>
    </row>
    <row r="42" spans="1:13" s="248" customFormat="1" ht="24.75" customHeight="1" x14ac:dyDescent="0.35">
      <c r="A42" s="253" t="str">
        <f>CHOOSE(MODE, "VIN = "&amp;VIN_min&amp;" V to "&amp;VIN_max&amp;" V, VOUT1 = "&amp; Vout &amp;" V, IOUT1 = " &amp;Iout &amp;"A"&amp;", VOUT2 = "&amp; Vout2 &amp;" V, IOUT2 = " &amp;Iout2 &amp; " A,  Fsw = " &amp; Fsw/1000 &amp;" kHz, Current Limit = "&amp;ROUNDUP(Ilimit_DC,0)&amp;" A", "VIN = "&amp;VIN_min&amp;" V to "&amp;VIN_max&amp;" V, VOUT = "&amp; Vout &amp;" V, IOUT = " &amp;Iout &amp; " A,  Fsw = " &amp; Fsw/1000 &amp;" kHz, Current Limit = "&amp;ROUNDUP(Ilimit_DC,0)&amp;" A")</f>
        <v>VIN = 36 V to 51 V, VOUT = 24 V, IOUT = 60 A,  Fsw = 220 kHz, Current Limit = 60 A</v>
      </c>
    </row>
    <row r="43" spans="1:13" ht="24.75" customHeight="1" thickBot="1" x14ac:dyDescent="0.3">
      <c r="A43" s="216" t="s">
        <v>755</v>
      </c>
    </row>
    <row r="44" spans="1:13" ht="18" customHeight="1" x14ac:dyDescent="0.25">
      <c r="A44" s="487" t="s">
        <v>254</v>
      </c>
      <c r="B44" s="488" t="s">
        <v>253</v>
      </c>
      <c r="C44" s="488" t="s">
        <v>7</v>
      </c>
      <c r="D44" s="690" t="s">
        <v>107</v>
      </c>
      <c r="E44" s="691"/>
      <c r="F44" s="691"/>
      <c r="G44" s="692"/>
      <c r="H44" s="489" t="s">
        <v>243</v>
      </c>
      <c r="I44" s="489" t="s">
        <v>159</v>
      </c>
      <c r="J44" s="489" t="s">
        <v>244</v>
      </c>
      <c r="L44" s="215"/>
      <c r="M44" s="214"/>
    </row>
    <row r="45" spans="1:13" s="221" customFormat="1" ht="15.75" customHeight="1" x14ac:dyDescent="0.25">
      <c r="A45" s="218">
        <v>2</v>
      </c>
      <c r="B45" s="219" t="s">
        <v>463</v>
      </c>
      <c r="C45" s="233">
        <v>0.1</v>
      </c>
      <c r="D45" s="710">
        <f t="shared" ref="D45:D56" si="0">C45</f>
        <v>0.1</v>
      </c>
      <c r="E45" s="711"/>
      <c r="F45" s="711"/>
      <c r="G45" s="234"/>
      <c r="H45" s="235" t="s">
        <v>248</v>
      </c>
      <c r="I45" s="220" t="s">
        <v>245</v>
      </c>
      <c r="J45" s="220" t="s">
        <v>245</v>
      </c>
      <c r="L45" s="222"/>
    </row>
    <row r="46" spans="1:13" s="221" customFormat="1" ht="15.5" x14ac:dyDescent="0.25">
      <c r="A46" s="217">
        <v>1</v>
      </c>
      <c r="B46" s="236" t="s">
        <v>249</v>
      </c>
      <c r="C46" s="244">
        <f>'Design Regulator'!D71</f>
        <v>5.6</v>
      </c>
      <c r="D46" s="712">
        <f t="shared" si="0"/>
        <v>5.6</v>
      </c>
      <c r="E46" s="713"/>
      <c r="F46" s="713"/>
      <c r="G46" s="238"/>
      <c r="H46" s="239" t="s">
        <v>248</v>
      </c>
      <c r="I46" s="240" t="s">
        <v>245</v>
      </c>
      <c r="J46" s="240" t="s">
        <v>245</v>
      </c>
      <c r="L46" s="222"/>
    </row>
    <row r="47" spans="1:13" s="221" customFormat="1" ht="15.5" x14ac:dyDescent="0.25">
      <c r="A47" s="217">
        <v>1</v>
      </c>
      <c r="B47" s="236" t="s">
        <v>250</v>
      </c>
      <c r="C47" s="237">
        <f>'Design Regulator'!D72</f>
        <v>120</v>
      </c>
      <c r="D47" s="714">
        <f t="shared" si="0"/>
        <v>120</v>
      </c>
      <c r="E47" s="715"/>
      <c r="F47" s="715"/>
      <c r="G47" s="238"/>
      <c r="H47" s="239" t="s">
        <v>248</v>
      </c>
      <c r="I47" s="240" t="s">
        <v>245</v>
      </c>
      <c r="J47" s="240" t="s">
        <v>245</v>
      </c>
      <c r="L47" s="222"/>
    </row>
    <row r="48" spans="1:13" s="221" customFormat="1" ht="15.5" x14ac:dyDescent="0.25">
      <c r="A48" s="217">
        <v>1</v>
      </c>
      <c r="B48" s="236" t="s">
        <v>770</v>
      </c>
      <c r="C48" s="244" t="str">
        <f>IF(MODE=1, 'Variable Management'!E354, "N/A")</f>
        <v>N/A</v>
      </c>
      <c r="D48" s="712" t="str">
        <f t="shared" ref="D48:D49" si="1">C48</f>
        <v>N/A</v>
      </c>
      <c r="E48" s="713"/>
      <c r="F48" s="713"/>
      <c r="G48" s="238"/>
      <c r="H48" s="239" t="str">
        <f>IF(MODE=1, "0603", "-")</f>
        <v>-</v>
      </c>
      <c r="I48" s="239" t="str">
        <f>IF(MODE=1, "Std", "-")</f>
        <v>-</v>
      </c>
      <c r="J48" s="239" t="str">
        <f>IF(MODE=1, "Std", "-")</f>
        <v>-</v>
      </c>
      <c r="L48" s="222"/>
    </row>
    <row r="49" spans="1:12" s="221" customFormat="1" ht="15.5" x14ac:dyDescent="0.25">
      <c r="A49" s="217">
        <v>1</v>
      </c>
      <c r="B49" s="236" t="s">
        <v>771</v>
      </c>
      <c r="C49" s="237" t="str">
        <f>IF(MODE=1, 'Variable Management'!E355, "N/A")</f>
        <v>N/A</v>
      </c>
      <c r="D49" s="714" t="str">
        <f t="shared" si="1"/>
        <v>N/A</v>
      </c>
      <c r="E49" s="715"/>
      <c r="F49" s="715"/>
      <c r="G49" s="238"/>
      <c r="H49" s="239" t="str">
        <f>IF(MODE=1, "0603", "-")</f>
        <v>-</v>
      </c>
      <c r="I49" s="239" t="str">
        <f>IF(MODE=1, "Std", "-")</f>
        <v>-</v>
      </c>
      <c r="J49" s="239" t="str">
        <f>IF(MODE=1, "Std", "-")</f>
        <v>-</v>
      </c>
      <c r="L49" s="222"/>
    </row>
    <row r="50" spans="1:12" s="221" customFormat="1" ht="15.5" x14ac:dyDescent="0.25">
      <c r="A50" s="223">
        <v>1</v>
      </c>
      <c r="B50" s="224" t="s">
        <v>769</v>
      </c>
      <c r="C50" s="438">
        <f>Cres_u*1000000000</f>
        <v>470</v>
      </c>
      <c r="D50" s="693">
        <f>C50</f>
        <v>470</v>
      </c>
      <c r="E50" s="694"/>
      <c r="F50" s="694"/>
      <c r="G50" s="439"/>
      <c r="H50" s="226" t="s">
        <v>248</v>
      </c>
      <c r="I50" s="227" t="s">
        <v>245</v>
      </c>
      <c r="J50" s="227" t="s">
        <v>245</v>
      </c>
      <c r="L50" s="222"/>
    </row>
    <row r="51" spans="1:12" s="221" customFormat="1" ht="15.5" x14ac:dyDescent="0.25">
      <c r="A51" s="223">
        <v>1</v>
      </c>
      <c r="B51" s="224" t="s">
        <v>462</v>
      </c>
      <c r="C51" s="438">
        <f>Cdither*1000000000</f>
        <v>10</v>
      </c>
      <c r="D51" s="693">
        <f>C51</f>
        <v>10</v>
      </c>
      <c r="E51" s="694"/>
      <c r="F51" s="694"/>
      <c r="G51" s="439"/>
      <c r="H51" s="226" t="s">
        <v>248</v>
      </c>
      <c r="I51" s="227" t="s">
        <v>245</v>
      </c>
      <c r="J51" s="227" t="s">
        <v>245</v>
      </c>
      <c r="L51" s="222"/>
    </row>
    <row r="52" spans="1:12" s="221" customFormat="1" ht="15.5" x14ac:dyDescent="0.25">
      <c r="A52" s="217">
        <f>ROUNDUP('Design Regulator'!E44/10,0)</f>
        <v>133</v>
      </c>
      <c r="B52" s="236" t="s">
        <v>251</v>
      </c>
      <c r="C52" s="243">
        <v>10</v>
      </c>
      <c r="D52" s="718">
        <f>C52</f>
        <v>10</v>
      </c>
      <c r="E52" s="719"/>
      <c r="F52" s="719"/>
      <c r="G52" s="238"/>
      <c r="H52" s="239">
        <v>1210</v>
      </c>
      <c r="I52" s="240" t="s">
        <v>245</v>
      </c>
      <c r="J52" s="240" t="s">
        <v>245</v>
      </c>
      <c r="L52" s="222"/>
    </row>
    <row r="53" spans="1:12" s="221" customFormat="1" ht="15.5" x14ac:dyDescent="0.25">
      <c r="A53" s="217">
        <f>ROUNDUP('Design Regulator'!E35/47,0)</f>
        <v>5</v>
      </c>
      <c r="B53" s="236" t="s">
        <v>252</v>
      </c>
      <c r="C53" s="243">
        <v>47</v>
      </c>
      <c r="D53" s="725">
        <f>C53</f>
        <v>47</v>
      </c>
      <c r="E53" s="726"/>
      <c r="F53" s="726"/>
      <c r="G53" s="238"/>
      <c r="H53" s="239">
        <v>1210</v>
      </c>
      <c r="I53" s="240" t="s">
        <v>245</v>
      </c>
      <c r="J53" s="240" t="s">
        <v>245</v>
      </c>
      <c r="L53" s="222"/>
    </row>
    <row r="54" spans="1:12" s="221" customFormat="1" ht="15.5" x14ac:dyDescent="0.25">
      <c r="A54" s="217">
        <v>2</v>
      </c>
      <c r="B54" s="236" t="s">
        <v>767</v>
      </c>
      <c r="C54" s="244">
        <f>'Design Regulator'!E52</f>
        <v>100</v>
      </c>
      <c r="D54" s="712">
        <f>C54</f>
        <v>100</v>
      </c>
      <c r="E54" s="713"/>
      <c r="F54" s="713"/>
      <c r="G54" s="238"/>
      <c r="H54" s="239" t="s">
        <v>248</v>
      </c>
      <c r="I54" s="240" t="s">
        <v>245</v>
      </c>
      <c r="J54" s="240" t="s">
        <v>245</v>
      </c>
      <c r="L54" s="222"/>
    </row>
    <row r="55" spans="1:12" s="221" customFormat="1" ht="15.5" x14ac:dyDescent="0.25">
      <c r="A55" s="228">
        <v>3</v>
      </c>
      <c r="B55" s="229" t="s">
        <v>768</v>
      </c>
      <c r="C55" s="242">
        <v>2.2000000000000002</v>
      </c>
      <c r="D55" s="716">
        <f t="shared" si="0"/>
        <v>2.2000000000000002</v>
      </c>
      <c r="E55" s="717"/>
      <c r="F55" s="717"/>
      <c r="G55" s="241"/>
      <c r="H55" s="231" t="s">
        <v>248</v>
      </c>
      <c r="I55" s="232" t="s">
        <v>245</v>
      </c>
      <c r="J55" s="232" t="s">
        <v>245</v>
      </c>
      <c r="L55" s="222"/>
    </row>
    <row r="56" spans="1:12" s="221" customFormat="1" ht="15.5" x14ac:dyDescent="0.25">
      <c r="A56" s="228">
        <v>1</v>
      </c>
      <c r="B56" s="229" t="s">
        <v>772</v>
      </c>
      <c r="C56" s="242">
        <v>0.47</v>
      </c>
      <c r="D56" s="716">
        <f t="shared" si="0"/>
        <v>0.47</v>
      </c>
      <c r="E56" s="717"/>
      <c r="F56" s="717"/>
      <c r="G56" s="241"/>
      <c r="H56" s="231" t="s">
        <v>248</v>
      </c>
      <c r="I56" s="232" t="s">
        <v>245</v>
      </c>
      <c r="J56" s="232" t="s">
        <v>245</v>
      </c>
      <c r="L56" s="222"/>
    </row>
    <row r="57" spans="1:12" s="221" customFormat="1" ht="15.75" customHeight="1" x14ac:dyDescent="0.25">
      <c r="A57" s="228">
        <v>2</v>
      </c>
      <c r="B57" s="229" t="s">
        <v>760</v>
      </c>
      <c r="C57" s="245" t="s">
        <v>246</v>
      </c>
      <c r="D57" s="723" t="s">
        <v>802</v>
      </c>
      <c r="E57" s="724"/>
      <c r="F57" s="724"/>
      <c r="G57" s="241"/>
      <c r="H57" s="246" t="s">
        <v>256</v>
      </c>
      <c r="I57" s="232" t="s">
        <v>256</v>
      </c>
      <c r="J57" s="232" t="s">
        <v>255</v>
      </c>
      <c r="L57" s="222"/>
    </row>
    <row r="58" spans="1:12" s="221" customFormat="1" ht="15.5" x14ac:dyDescent="0.25">
      <c r="A58" s="217">
        <v>1</v>
      </c>
      <c r="B58" s="236" t="s">
        <v>758</v>
      </c>
      <c r="C58" s="247">
        <f>'Design Regulator'!E28</f>
        <v>10</v>
      </c>
      <c r="D58" s="707" t="str">
        <f>"Inductor, "&amp;Lf*1000000&amp;"µH, "&amp;Rdcr*1000&amp;"mΩ, &gt;"&amp;ROUNDUP(Ilimit_DC*1.3/SCH_MODE,0)&amp;"A"</f>
        <v>Inductor, 10µH, 1.4mΩ, &gt;39A</v>
      </c>
      <c r="E58" s="708"/>
      <c r="F58" s="708"/>
      <c r="G58" s="709"/>
      <c r="H58" s="240" t="s">
        <v>256</v>
      </c>
      <c r="I58" s="240" t="s">
        <v>256</v>
      </c>
      <c r="J58" s="240" t="s">
        <v>255</v>
      </c>
      <c r="L58" s="222"/>
    </row>
    <row r="59" spans="1:12" s="221" customFormat="1" ht="15.5" x14ac:dyDescent="0.25">
      <c r="A59" s="217">
        <v>1</v>
      </c>
      <c r="B59" s="236" t="s">
        <v>759</v>
      </c>
      <c r="C59" s="247">
        <f>IF(MODE = 1, 'Design Regulator'!J28, 'Design Regulator'!E28)</f>
        <v>10</v>
      </c>
      <c r="D59" s="707" t="str">
        <f>IF(MODE=1, "Inductor, "&amp;Lo_2*1000000&amp;"µH, "&amp;Rdcr2*1000&amp;"mΩ, &gt;"&amp;ROUNDUP(Ilimit2_DC*1.3,0)&amp;"A", "Inductor, "&amp;Lf*1000000&amp;"µH, "&amp;Rdcr*1000&amp;"mΩ, &gt;"&amp;ROUNDUP(Ilimit_DC*1.3/SCH_MODE,0)&amp;"A")</f>
        <v>Inductor, 10µH, 1.4mΩ, &gt;39A</v>
      </c>
      <c r="E59" s="708"/>
      <c r="F59" s="708"/>
      <c r="G59" s="709"/>
      <c r="H59" s="240" t="s">
        <v>256</v>
      </c>
      <c r="I59" s="240" t="s">
        <v>256</v>
      </c>
      <c r="J59" s="240" t="s">
        <v>255</v>
      </c>
      <c r="L59" s="222"/>
    </row>
    <row r="60" spans="1:12" s="221" customFormat="1" ht="15.5" x14ac:dyDescent="0.25">
      <c r="A60" s="228">
        <v>2</v>
      </c>
      <c r="B60" s="229" t="s">
        <v>523</v>
      </c>
      <c r="C60" s="245" t="s">
        <v>246</v>
      </c>
      <c r="D60" s="701">
        <f>'Design Regulator'!E83</f>
        <v>1.8</v>
      </c>
      <c r="E60" s="702"/>
      <c r="F60" s="702"/>
      <c r="G60" s="703"/>
      <c r="H60" s="232" t="s">
        <v>245</v>
      </c>
      <c r="I60" s="232" t="str">
        <f>'Design Regulator'!E81</f>
        <v>IGC025S08S1, IGC025S08S1</v>
      </c>
      <c r="J60" s="232" t="s">
        <v>256</v>
      </c>
      <c r="L60" s="222"/>
    </row>
    <row r="61" spans="1:12" s="221" customFormat="1" ht="15.5" x14ac:dyDescent="0.25">
      <c r="A61" s="228">
        <v>2</v>
      </c>
      <c r="B61" s="229" t="s">
        <v>524</v>
      </c>
      <c r="C61" s="245" t="s">
        <v>246</v>
      </c>
      <c r="D61" s="701">
        <f>'Design Regulator'!H83</f>
        <v>6</v>
      </c>
      <c r="E61" s="702"/>
      <c r="F61" s="702"/>
      <c r="G61" s="703"/>
      <c r="H61" s="232" t="s">
        <v>245</v>
      </c>
      <c r="I61" s="232" t="str">
        <f>IF(MODE=1, 'Design Regulator'!H81, 'Design Regulator'!E81)</f>
        <v>IGC025S08S1, IGC025S08S1</v>
      </c>
      <c r="J61" s="232" t="s">
        <v>256</v>
      </c>
      <c r="L61" s="222"/>
    </row>
    <row r="62" spans="1:12" s="221" customFormat="1" ht="15.5" x14ac:dyDescent="0.25">
      <c r="A62" s="223">
        <v>1</v>
      </c>
      <c r="B62" s="224" t="s">
        <v>257</v>
      </c>
      <c r="C62" s="225">
        <f>'Design Regulator'!D70</f>
        <v>12</v>
      </c>
      <c r="D62" s="698">
        <f t="shared" ref="D62:D74" si="2">C62</f>
        <v>12</v>
      </c>
      <c r="E62" s="699"/>
      <c r="F62" s="699"/>
      <c r="G62" s="700"/>
      <c r="H62" s="226" t="s">
        <v>248</v>
      </c>
      <c r="I62" s="227" t="s">
        <v>245</v>
      </c>
      <c r="J62" s="227" t="s">
        <v>245</v>
      </c>
      <c r="L62" s="222"/>
    </row>
    <row r="63" spans="1:12" s="221" customFormat="1" ht="15.5" x14ac:dyDescent="0.25">
      <c r="A63" s="223">
        <v>1</v>
      </c>
      <c r="B63" s="224" t="s">
        <v>761</v>
      </c>
      <c r="C63" s="225" t="str">
        <f>IF(MODE=1, 'Variable Management'!E353, "N/A")</f>
        <v>N/A</v>
      </c>
      <c r="D63" s="698" t="str">
        <f t="shared" ref="D63" si="3">C63</f>
        <v>N/A</v>
      </c>
      <c r="E63" s="699"/>
      <c r="F63" s="699"/>
      <c r="G63" s="700"/>
      <c r="H63" s="239" t="str">
        <f>IF(MODE=1, "0603", "-")</f>
        <v>-</v>
      </c>
      <c r="I63" s="239" t="str">
        <f>IF(MODE=1, "Std", "-")</f>
        <v>-</v>
      </c>
      <c r="J63" s="239" t="str">
        <f>IF(MODE=1, "Std", "-")</f>
        <v>-</v>
      </c>
      <c r="L63" s="222"/>
    </row>
    <row r="64" spans="1:12" s="221" customFormat="1" ht="15.5" x14ac:dyDescent="0.25">
      <c r="A64" s="223">
        <v>1</v>
      </c>
      <c r="B64" s="224" t="s">
        <v>762</v>
      </c>
      <c r="C64" s="437">
        <f>Rs*1000</f>
        <v>2.2000000000000002</v>
      </c>
      <c r="D64" s="704">
        <f t="shared" si="2"/>
        <v>2.2000000000000002</v>
      </c>
      <c r="E64" s="705"/>
      <c r="F64" s="705"/>
      <c r="G64" s="706"/>
      <c r="H64" s="226" t="s">
        <v>763</v>
      </c>
      <c r="I64" s="227" t="s">
        <v>245</v>
      </c>
      <c r="J64" s="227" t="s">
        <v>245</v>
      </c>
      <c r="L64" s="222"/>
    </row>
    <row r="65" spans="1:12" s="221" customFormat="1" ht="15.5" x14ac:dyDescent="0.25">
      <c r="A65" s="223">
        <v>1</v>
      </c>
      <c r="B65" s="224" t="s">
        <v>764</v>
      </c>
      <c r="C65" s="437">
        <f>IF(MODE=1, Rs_Ch2*1000, Rs*1000)</f>
        <v>2.2000000000000002</v>
      </c>
      <c r="D65" s="704">
        <f t="shared" ref="D65" si="4">C65</f>
        <v>2.2000000000000002</v>
      </c>
      <c r="E65" s="705"/>
      <c r="F65" s="705"/>
      <c r="G65" s="706"/>
      <c r="H65" s="226" t="s">
        <v>763</v>
      </c>
      <c r="I65" s="227" t="s">
        <v>245</v>
      </c>
      <c r="J65" s="227" t="s">
        <v>245</v>
      </c>
      <c r="L65" s="222"/>
    </row>
    <row r="66" spans="1:12" s="221" customFormat="1" ht="15.5" x14ac:dyDescent="0.25">
      <c r="A66" s="223">
        <v>1</v>
      </c>
      <c r="B66" s="224" t="s">
        <v>460</v>
      </c>
      <c r="C66" s="225">
        <f>'Design Regulator'!E13</f>
        <v>100</v>
      </c>
      <c r="D66" s="698">
        <f t="shared" si="2"/>
        <v>100</v>
      </c>
      <c r="E66" s="699"/>
      <c r="F66" s="699"/>
      <c r="G66" s="700"/>
      <c r="H66" s="226" t="s">
        <v>248</v>
      </c>
      <c r="I66" s="227" t="s">
        <v>245</v>
      </c>
      <c r="J66" s="227" t="s">
        <v>245</v>
      </c>
      <c r="L66" s="222"/>
    </row>
    <row r="67" spans="1:12" s="221" customFormat="1" ht="15.5" x14ac:dyDescent="0.25">
      <c r="A67" s="223">
        <v>1</v>
      </c>
      <c r="B67" s="224" t="s">
        <v>259</v>
      </c>
      <c r="C67" s="225">
        <f>'Design Regulator'!E65</f>
        <v>390</v>
      </c>
      <c r="D67" s="698">
        <f t="shared" si="2"/>
        <v>390</v>
      </c>
      <c r="E67" s="699"/>
      <c r="F67" s="699"/>
      <c r="G67" s="700"/>
      <c r="H67" s="226" t="s">
        <v>248</v>
      </c>
      <c r="I67" s="227" t="s">
        <v>245</v>
      </c>
      <c r="J67" s="227" t="s">
        <v>245</v>
      </c>
      <c r="L67" s="222"/>
    </row>
    <row r="68" spans="1:12" s="221" customFormat="1" ht="15.5" x14ac:dyDescent="0.25">
      <c r="A68" s="223">
        <v>1</v>
      </c>
      <c r="B68" s="224" t="s">
        <v>260</v>
      </c>
      <c r="C68" s="225">
        <f>'Design Regulator'!E66</f>
        <v>10</v>
      </c>
      <c r="D68" s="698">
        <f t="shared" si="2"/>
        <v>10</v>
      </c>
      <c r="E68" s="699"/>
      <c r="F68" s="699"/>
      <c r="G68" s="700"/>
      <c r="H68" s="226" t="s">
        <v>248</v>
      </c>
      <c r="I68" s="227" t="s">
        <v>245</v>
      </c>
      <c r="J68" s="227" t="s">
        <v>245</v>
      </c>
      <c r="L68" s="222"/>
    </row>
    <row r="69" spans="1:12" s="221" customFormat="1" ht="15.5" x14ac:dyDescent="0.25">
      <c r="A69" s="223">
        <v>1</v>
      </c>
      <c r="B69" s="224" t="s">
        <v>765</v>
      </c>
      <c r="C69" s="225" t="str">
        <f>IF(MODE=1, 'Design Regulator'!J65, "N/A")</f>
        <v>N/A</v>
      </c>
      <c r="D69" s="698" t="str">
        <f t="shared" ref="D69:D70" si="5">C69</f>
        <v>N/A</v>
      </c>
      <c r="E69" s="699"/>
      <c r="F69" s="699"/>
      <c r="G69" s="700"/>
      <c r="H69" s="239" t="str">
        <f>IF(MODE=1, "0603", "-")</f>
        <v>-</v>
      </c>
      <c r="I69" s="239" t="str">
        <f>IF(MODE=1, "Std", "-")</f>
        <v>-</v>
      </c>
      <c r="J69" s="239" t="str">
        <f>IF(MODE=1, "Std", "-")</f>
        <v>-</v>
      </c>
      <c r="L69" s="222"/>
    </row>
    <row r="70" spans="1:12" s="221" customFormat="1" ht="15.5" x14ac:dyDescent="0.25">
      <c r="A70" s="223">
        <v>1</v>
      </c>
      <c r="B70" s="224" t="s">
        <v>766</v>
      </c>
      <c r="C70" s="225" t="str">
        <f>IF(MODE=1, 'Design Regulator'!J66, "N/A")</f>
        <v>N/A</v>
      </c>
      <c r="D70" s="698" t="str">
        <f t="shared" si="5"/>
        <v>N/A</v>
      </c>
      <c r="E70" s="699"/>
      <c r="F70" s="699"/>
      <c r="G70" s="700"/>
      <c r="H70" s="239" t="str">
        <f>IF(MODE=1, "0603", "-")</f>
        <v>-</v>
      </c>
      <c r="I70" s="239" t="str">
        <f>IF(MODE=1, "Std", "-")</f>
        <v>-</v>
      </c>
      <c r="J70" s="239" t="str">
        <f>IF(MODE=1, "Std", "-")</f>
        <v>-</v>
      </c>
      <c r="L70" s="222"/>
    </row>
    <row r="71" spans="1:12" s="221" customFormat="1" ht="15.5" x14ac:dyDescent="0.25">
      <c r="A71" s="228">
        <v>2</v>
      </c>
      <c r="B71" s="229" t="s">
        <v>773</v>
      </c>
      <c r="C71" s="230">
        <v>100</v>
      </c>
      <c r="D71" s="695">
        <f t="shared" si="2"/>
        <v>100</v>
      </c>
      <c r="E71" s="696"/>
      <c r="F71" s="696"/>
      <c r="G71" s="697"/>
      <c r="H71" s="231" t="s">
        <v>248</v>
      </c>
      <c r="I71" s="232" t="s">
        <v>245</v>
      </c>
      <c r="J71" s="232" t="s">
        <v>245</v>
      </c>
      <c r="L71" s="222"/>
    </row>
    <row r="72" spans="1:12" s="221" customFormat="1" ht="15.5" x14ac:dyDescent="0.25">
      <c r="A72" s="223">
        <v>2</v>
      </c>
      <c r="B72" s="224" t="s">
        <v>801</v>
      </c>
      <c r="C72" s="225">
        <v>100</v>
      </c>
      <c r="D72" s="698">
        <f t="shared" si="2"/>
        <v>100</v>
      </c>
      <c r="E72" s="699"/>
      <c r="F72" s="699"/>
      <c r="G72" s="700"/>
      <c r="H72" s="226" t="s">
        <v>248</v>
      </c>
      <c r="I72" s="227" t="s">
        <v>245</v>
      </c>
      <c r="J72" s="227" t="s">
        <v>245</v>
      </c>
      <c r="L72" s="222"/>
    </row>
    <row r="73" spans="1:12" s="221" customFormat="1" ht="15.5" x14ac:dyDescent="0.25">
      <c r="A73" s="223">
        <v>1</v>
      </c>
      <c r="B73" s="224" t="s">
        <v>800</v>
      </c>
      <c r="C73" s="225">
        <v>100</v>
      </c>
      <c r="D73" s="698">
        <f t="shared" si="2"/>
        <v>100</v>
      </c>
      <c r="E73" s="699"/>
      <c r="F73" s="699"/>
      <c r="G73" s="700"/>
      <c r="H73" s="226" t="s">
        <v>248</v>
      </c>
      <c r="I73" s="227" t="s">
        <v>245</v>
      </c>
      <c r="J73" s="227" t="s">
        <v>245</v>
      </c>
      <c r="L73" s="222"/>
    </row>
    <row r="74" spans="1:12" s="221" customFormat="1" ht="15.5" x14ac:dyDescent="0.25">
      <c r="A74" s="228">
        <v>1</v>
      </c>
      <c r="B74" s="229" t="s">
        <v>258</v>
      </c>
      <c r="C74" s="245">
        <v>2.2000000000000002</v>
      </c>
      <c r="D74" s="720">
        <f t="shared" si="2"/>
        <v>2.2000000000000002</v>
      </c>
      <c r="E74" s="721"/>
      <c r="F74" s="721"/>
      <c r="G74" s="722"/>
      <c r="H74" s="231" t="s">
        <v>248</v>
      </c>
      <c r="I74" s="232" t="s">
        <v>245</v>
      </c>
      <c r="J74" s="232" t="s">
        <v>245</v>
      </c>
      <c r="L74" s="222"/>
    </row>
    <row r="75" spans="1:12" s="221" customFormat="1" ht="14.25" customHeight="1" x14ac:dyDescent="0.25">
      <c r="A75" s="676">
        <v>1</v>
      </c>
      <c r="B75" s="688" t="s">
        <v>261</v>
      </c>
      <c r="C75" s="686" t="str">
        <f>CHOOSE(VARIANT, "LM5143", "LM5143-Q1", "LM5143A-Q1","LM25143","LM25143-Q1")</f>
        <v>LM5143A-Q1</v>
      </c>
      <c r="D75" s="680" t="str">
        <f>CHOOSE(VARIANT, "IC, LM5143, Buck PWM Controller, 3.5V–65V Input","IC, LM5143-Q1, Buck PWM Controller, 3.5V–65V Input","IC, LM5143A-Q1, Buck PWM Controller, 3.5V–65V Input","IC, LM25143, Buck PWM Controller, 3.5V–42V Input","IC, LM25143-Q1, Buck PWM Controller, 3.5V–42V Input")</f>
        <v>IC, LM5143A-Q1, Buck PWM Controller, 3.5V–65V Input</v>
      </c>
      <c r="E75" s="681"/>
      <c r="F75" s="681"/>
      <c r="G75" s="682"/>
      <c r="H75" s="678" t="s">
        <v>757</v>
      </c>
      <c r="I75" s="678" t="str">
        <f>CHOOSE(VARIANT, "LM5143RHAR", "LM5143QRWGRQ1", "LM5143QRHARQ1", "LM25143RHAR", "LM25143QRHARQ1")</f>
        <v>LM5143QRHARQ1</v>
      </c>
      <c r="J75" s="678" t="s">
        <v>247</v>
      </c>
      <c r="L75" s="222"/>
    </row>
    <row r="76" spans="1:12" x14ac:dyDescent="0.25">
      <c r="A76" s="677"/>
      <c r="B76" s="689"/>
      <c r="C76" s="687"/>
      <c r="D76" s="683"/>
      <c r="E76" s="684"/>
      <c r="F76" s="684"/>
      <c r="G76" s="685"/>
      <c r="H76" s="679"/>
      <c r="I76" s="679"/>
      <c r="J76" s="679"/>
    </row>
    <row r="78" spans="1:12" ht="13" x14ac:dyDescent="0.3">
      <c r="A78" s="255" t="s">
        <v>269</v>
      </c>
    </row>
    <row r="79" spans="1:12" ht="17.149999999999999" customHeight="1" x14ac:dyDescent="0.25">
      <c r="A79" s="128" t="s">
        <v>606</v>
      </c>
      <c r="D79" s="553" t="s">
        <v>605</v>
      </c>
      <c r="E79" s="214" t="s">
        <v>607</v>
      </c>
    </row>
    <row r="80" spans="1:12" ht="17.149999999999999" customHeight="1" x14ac:dyDescent="0.25">
      <c r="A80" s="214" t="s">
        <v>464</v>
      </c>
    </row>
    <row r="81" spans="1:1" ht="17.149999999999999" customHeight="1" x14ac:dyDescent="0.25">
      <c r="A81" s="214" t="s">
        <v>461</v>
      </c>
    </row>
  </sheetData>
  <sheetProtection algorithmName="SHA-512" hashValue="noeROmgzs74+Ki+xq76TMsItNlfdGQzl7OsBLV4r541aV1xEIRFKWVAt0RfsYVUAI3hU+P78zAm5MGmv0EiM3w==" saltValue="4R3/p4V7jC78QHG7g2IlVw==" spinCount="100000" sheet="1" objects="1" scenarios="1" selectLockedCells="1" selectUnlockedCells="1"/>
  <mergeCells count="38">
    <mergeCell ref="D70:G70"/>
    <mergeCell ref="D49:F49"/>
    <mergeCell ref="D72:G72"/>
    <mergeCell ref="D73:G73"/>
    <mergeCell ref="D74:G74"/>
    <mergeCell ref="D57:F57"/>
    <mergeCell ref="D62:G62"/>
    <mergeCell ref="D53:F53"/>
    <mergeCell ref="D54:F54"/>
    <mergeCell ref="D56:F56"/>
    <mergeCell ref="D47:F47"/>
    <mergeCell ref="D48:F48"/>
    <mergeCell ref="D50:F50"/>
    <mergeCell ref="D55:F55"/>
    <mergeCell ref="D52:F52"/>
    <mergeCell ref="D44:G44"/>
    <mergeCell ref="D51:F51"/>
    <mergeCell ref="D71:G71"/>
    <mergeCell ref="D67:G67"/>
    <mergeCell ref="D68:G68"/>
    <mergeCell ref="D60:G60"/>
    <mergeCell ref="D61:G61"/>
    <mergeCell ref="D66:G66"/>
    <mergeCell ref="D64:G64"/>
    <mergeCell ref="D58:G58"/>
    <mergeCell ref="D59:G59"/>
    <mergeCell ref="D63:G63"/>
    <mergeCell ref="D65:G65"/>
    <mergeCell ref="D69:G69"/>
    <mergeCell ref="D45:F45"/>
    <mergeCell ref="D46:F46"/>
    <mergeCell ref="A75:A76"/>
    <mergeCell ref="J75:J76"/>
    <mergeCell ref="D75:G76"/>
    <mergeCell ref="C75:C76"/>
    <mergeCell ref="B75:B76"/>
    <mergeCell ref="H75:H76"/>
    <mergeCell ref="I75:I76"/>
  </mergeCells>
  <hyperlinks>
    <hyperlink ref="D79" r:id="rId1" xr:uid="{00000000-0004-0000-0100-000000000000}"/>
  </hyperlinks>
  <printOptions horizontalCentered="1"/>
  <pageMargins left="0.23" right="0.23" top="0.7" bottom="0.61" header="0.3" footer="0.5"/>
  <pageSetup scale="46" fitToHeight="2" orientation="landscape" r:id="rId2"/>
  <headerFooter alignWithMargins="0"/>
  <ignoredErrors>
    <ignoredError sqref="H45:H47 H56 H58 H71 H55 H62 H66:H68 H54 H51 H50 H72:H74 H64:H65" numberStoredAsText="1"/>
  </ignoredErrors>
  <drawing r:id="rId3"/>
  <legacy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00FF"/>
    <pageSetUpPr fitToPage="1"/>
  </sheetPr>
  <dimension ref="A1:W6"/>
  <sheetViews>
    <sheetView topLeftCell="A20" zoomScaleNormal="100" zoomScaleSheetLayoutView="80" workbookViewId="0">
      <selection activeCell="A2" sqref="A2"/>
    </sheetView>
  </sheetViews>
  <sheetFormatPr defaultColWidth="9.08984375" defaultRowHeight="12.5" x14ac:dyDescent="0.25"/>
  <cols>
    <col min="1" max="13" width="9.08984375" style="121"/>
    <col min="14" max="14" width="11.90625" style="121" customWidth="1"/>
    <col min="15" max="16" width="9.08984375" style="121"/>
    <col min="17" max="17" width="15.6328125" style="121" customWidth="1"/>
    <col min="18" max="16384" width="9.08984375" style="121"/>
  </cols>
  <sheetData>
    <row r="1" spans="1:23" s="113" customFormat="1" ht="47.25" customHeight="1" x14ac:dyDescent="0.3">
      <c r="A1" s="727" t="s">
        <v>857</v>
      </c>
      <c r="B1" s="728"/>
      <c r="C1" s="728"/>
      <c r="D1" s="728"/>
      <c r="E1" s="728"/>
      <c r="F1" s="728"/>
      <c r="G1" s="728"/>
      <c r="H1" s="728"/>
      <c r="I1" s="728"/>
      <c r="J1" s="728"/>
      <c r="K1" s="728"/>
      <c r="L1" s="728"/>
      <c r="M1" s="728"/>
      <c r="N1" s="728"/>
      <c r="O1" s="728"/>
      <c r="P1" s="728"/>
      <c r="Q1" s="728"/>
    </row>
    <row r="6" spans="1:23" ht="20" x14ac:dyDescent="0.4">
      <c r="B6" s="122" t="s">
        <v>618</v>
      </c>
      <c r="M6" s="122"/>
      <c r="W6" s="122"/>
    </row>
  </sheetData>
  <sheetProtection algorithmName="SHA-512" hashValue="ME2Liox88eb1tlMmpYGEI0zgr4rj6az9EPWygQscUZuf8Jy4pmR0dor3AWEEhfdErV15IkKQScFM+imSN0HfQg==" saltValue="7qRta+P6OvzdH2eW5Q2trw==" spinCount="100000" sheet="1" objects="1" scenarios="1"/>
  <mergeCells count="1">
    <mergeCell ref="A1:Q1"/>
  </mergeCells>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A390"/>
  <sheetViews>
    <sheetView zoomScaleNormal="100" workbookViewId="0">
      <pane ySplit="5" topLeftCell="A15" activePane="bottomLeft" state="frozenSplit"/>
      <selection pane="bottomLeft" activeCell="A4" sqref="A4"/>
    </sheetView>
  </sheetViews>
  <sheetFormatPr defaultRowHeight="13" x14ac:dyDescent="0.3"/>
  <cols>
    <col min="1" max="1" width="35.6328125" customWidth="1"/>
    <col min="2" max="2" width="12" customWidth="1"/>
    <col min="3" max="3" width="12.08984375" style="2" customWidth="1"/>
    <col min="4" max="4" width="13.453125" customWidth="1"/>
    <col min="5" max="5" width="11.54296875" customWidth="1"/>
    <col min="6" max="6" width="12.453125" bestFit="1" customWidth="1"/>
    <col min="7" max="7" width="17.453125" customWidth="1"/>
    <col min="8" max="8" width="34.6328125" customWidth="1"/>
    <col min="9" max="9" width="11.6328125" customWidth="1"/>
    <col min="10" max="10" width="12.453125" bestFit="1" customWidth="1"/>
    <col min="11" max="11" width="15.08984375" customWidth="1"/>
    <col min="12" max="12" width="13.36328125" customWidth="1"/>
    <col min="14" max="14" width="8.6328125" customWidth="1"/>
    <col min="16" max="16" width="8.36328125" customWidth="1"/>
    <col min="23" max="23" width="11.54296875" bestFit="1" customWidth="1"/>
    <col min="24" max="24" width="12.54296875" customWidth="1"/>
    <col min="25" max="25" width="12.453125" customWidth="1"/>
  </cols>
  <sheetData>
    <row r="1" spans="1:27" ht="30.75" customHeight="1" x14ac:dyDescent="0.6">
      <c r="A1" s="730" t="s">
        <v>393</v>
      </c>
      <c r="B1" s="730"/>
      <c r="C1" s="730"/>
      <c r="D1" s="730"/>
      <c r="E1" s="730"/>
      <c r="F1" s="730"/>
      <c r="G1" s="730"/>
      <c r="H1" s="730"/>
      <c r="I1" s="730"/>
    </row>
    <row r="2" spans="1:27" ht="12" customHeight="1" x14ac:dyDescent="0.3">
      <c r="A2" s="49"/>
      <c r="B2" s="49" t="s">
        <v>191</v>
      </c>
      <c r="C2" s="50"/>
      <c r="E2" s="49"/>
      <c r="F2" s="49"/>
      <c r="G2" s="49"/>
      <c r="H2" s="49"/>
      <c r="I2" s="49"/>
    </row>
    <row r="3" spans="1:27" ht="11.25" customHeight="1" x14ac:dyDescent="0.3">
      <c r="A3" s="49"/>
      <c r="B3" s="49" t="s">
        <v>223</v>
      </c>
      <c r="C3" s="51"/>
      <c r="E3" s="49"/>
      <c r="F3" s="49"/>
      <c r="G3" s="49"/>
      <c r="H3" s="49"/>
      <c r="I3" s="49"/>
    </row>
    <row r="4" spans="1:27" ht="11.25" customHeight="1" x14ac:dyDescent="0.3">
      <c r="A4" s="49"/>
      <c r="B4" s="49" t="s">
        <v>192</v>
      </c>
      <c r="C4" s="52"/>
      <c r="E4" s="49"/>
      <c r="F4" s="49"/>
      <c r="G4" s="49"/>
      <c r="H4" s="49"/>
      <c r="I4" s="49"/>
    </row>
    <row r="5" spans="1:27" x14ac:dyDescent="0.3">
      <c r="A5" s="2" t="s">
        <v>47</v>
      </c>
      <c r="B5" s="2" t="s">
        <v>7</v>
      </c>
      <c r="C5" s="2" t="s">
        <v>8</v>
      </c>
      <c r="E5" s="729" t="s">
        <v>12</v>
      </c>
      <c r="F5" s="729"/>
      <c r="G5" s="729"/>
      <c r="H5" s="729"/>
      <c r="I5" s="2" t="s">
        <v>414</v>
      </c>
    </row>
    <row r="6" spans="1:27" ht="16" thickBot="1" x14ac:dyDescent="0.4">
      <c r="A6" s="525" t="s">
        <v>148</v>
      </c>
      <c r="B6" s="2"/>
      <c r="D6" s="2"/>
      <c r="E6" s="49"/>
      <c r="F6" s="49"/>
      <c r="G6" s="49"/>
      <c r="H6" s="49"/>
      <c r="I6" s="2"/>
    </row>
    <row r="7" spans="1:27" ht="12.5" x14ac:dyDescent="0.25">
      <c r="A7" s="211" t="s">
        <v>289</v>
      </c>
      <c r="B7" s="12">
        <f>'Design Regulator'!E7</f>
        <v>36</v>
      </c>
      <c r="C7" s="63" t="s">
        <v>0</v>
      </c>
      <c r="D7" s="117" t="s">
        <v>290</v>
      </c>
      <c r="E7" s="63"/>
      <c r="F7" s="63"/>
      <c r="G7" s="63"/>
      <c r="H7" s="63"/>
      <c r="I7" s="64">
        <v>1</v>
      </c>
    </row>
    <row r="8" spans="1:27" ht="12.5" x14ac:dyDescent="0.25">
      <c r="A8" s="212" t="s">
        <v>625</v>
      </c>
      <c r="B8" s="29">
        <f>'Design Regulator'!E8</f>
        <v>45</v>
      </c>
      <c r="C8" t="s">
        <v>0</v>
      </c>
      <c r="D8" t="s">
        <v>13</v>
      </c>
      <c r="I8" s="57"/>
      <c r="K8" s="294" t="str">
        <f>CHOOSE(SCH_MODE, "Efficiency vs. IOUT (Ch1)", "Efficiency vs. IOUT - 2 Ph", "Efficiency vs. IOUT - 3 Ph", "Efficiency vs. IOUT - 4 Ph")</f>
        <v>Efficiency vs. IOUT - 2 Ph</v>
      </c>
      <c r="L8" s="116">
        <v>1</v>
      </c>
      <c r="N8" s="294" t="s">
        <v>612</v>
      </c>
      <c r="O8" s="116">
        <v>1</v>
      </c>
      <c r="T8" s="294" t="s">
        <v>780</v>
      </c>
      <c r="U8" s="116">
        <v>1</v>
      </c>
      <c r="W8" s="294" t="s">
        <v>677</v>
      </c>
      <c r="X8" s="116">
        <v>1</v>
      </c>
      <c r="Z8" s="294" t="str">
        <f>CHOOSE(SCH_MODE, "Bode Plot (Ch1)", "Bode Plot - 2 Ph", "Bode Plot - 3 Ph", "Bode Plot - 4 Ph")</f>
        <v>Bode Plot - 2 Ph</v>
      </c>
      <c r="AA8" s="116">
        <v>1</v>
      </c>
    </row>
    <row r="9" spans="1:27" ht="12.5" x14ac:dyDescent="0.25">
      <c r="A9" s="212" t="s">
        <v>288</v>
      </c>
      <c r="B9" s="29">
        <f>'Design Regulator'!E9</f>
        <v>51</v>
      </c>
      <c r="C9" t="s">
        <v>0</v>
      </c>
      <c r="D9" s="114" t="s">
        <v>291</v>
      </c>
      <c r="I9" s="57"/>
      <c r="K9" s="294" t="str">
        <f>IF(MODE=1, "Efficiency vs. IOUT (Ch2)", "N/A - Do Not Use")</f>
        <v>N/A - Do Not Use</v>
      </c>
      <c r="L9" s="116">
        <v>2</v>
      </c>
      <c r="N9" s="294" t="s">
        <v>611</v>
      </c>
      <c r="O9" s="116">
        <v>2</v>
      </c>
      <c r="T9" s="294" t="s">
        <v>781</v>
      </c>
      <c r="U9" s="116">
        <v>2</v>
      </c>
      <c r="W9" s="294" t="s">
        <v>678</v>
      </c>
      <c r="X9" s="116">
        <v>2</v>
      </c>
      <c r="Z9" s="294" t="str">
        <f>IF(MODE=1, "Bode Plot (Ch2)", "N/A - Do Not Use")</f>
        <v>N/A - Do Not Use</v>
      </c>
      <c r="AA9" s="116">
        <v>2</v>
      </c>
    </row>
    <row r="10" spans="1:27" x14ac:dyDescent="0.3">
      <c r="A10" s="212"/>
      <c r="B10" s="4"/>
      <c r="C10"/>
      <c r="D10" s="114"/>
      <c r="I10" s="57"/>
      <c r="K10" s="535" t="s">
        <v>586</v>
      </c>
      <c r="L10" s="536">
        <v>1</v>
      </c>
      <c r="N10" s="535" t="s">
        <v>609</v>
      </c>
      <c r="O10" s="536">
        <v>1</v>
      </c>
      <c r="P10" s="114" t="s">
        <v>610</v>
      </c>
      <c r="T10" s="294" t="s">
        <v>782</v>
      </c>
      <c r="U10" s="116">
        <v>3</v>
      </c>
      <c r="W10" s="535" t="s">
        <v>679</v>
      </c>
      <c r="X10" s="536">
        <v>2</v>
      </c>
      <c r="Z10" s="535" t="s">
        <v>784</v>
      </c>
      <c r="AA10" s="536">
        <v>1</v>
      </c>
    </row>
    <row r="11" spans="1:27" ht="12.5" x14ac:dyDescent="0.25">
      <c r="A11" s="56" t="s">
        <v>4</v>
      </c>
      <c r="B11" s="29">
        <f>'Design Regulator'!E10</f>
        <v>24</v>
      </c>
      <c r="C11" t="s">
        <v>0</v>
      </c>
      <c r="D11" s="114" t="s">
        <v>639</v>
      </c>
      <c r="I11" s="57"/>
      <c r="T11" s="294" t="s">
        <v>783</v>
      </c>
      <c r="U11" s="116">
        <v>4</v>
      </c>
      <c r="V11" s="114"/>
    </row>
    <row r="12" spans="1:27" x14ac:dyDescent="0.3">
      <c r="A12" s="56" t="s">
        <v>5</v>
      </c>
      <c r="B12" s="29">
        <f>'Design Regulator'!E11</f>
        <v>60</v>
      </c>
      <c r="C12" t="s">
        <v>1</v>
      </c>
      <c r="D12" s="114" t="s">
        <v>640</v>
      </c>
      <c r="I12" s="57">
        <v>1</v>
      </c>
      <c r="T12" s="535" t="s">
        <v>631</v>
      </c>
      <c r="U12" s="536">
        <v>2</v>
      </c>
      <c r="V12" s="114"/>
    </row>
    <row r="13" spans="1:27" x14ac:dyDescent="0.3">
      <c r="A13" s="212" t="s">
        <v>626</v>
      </c>
      <c r="B13" s="29">
        <f>'Design Regulator'!J10</f>
        <v>5</v>
      </c>
      <c r="C13" t="s">
        <v>0</v>
      </c>
      <c r="D13" s="114" t="s">
        <v>642</v>
      </c>
      <c r="I13" s="57">
        <v>1</v>
      </c>
      <c r="K13" s="294" t="s">
        <v>712</v>
      </c>
      <c r="L13" s="116">
        <v>1</v>
      </c>
      <c r="N13" s="294" t="s">
        <v>712</v>
      </c>
      <c r="O13" s="116">
        <v>1</v>
      </c>
      <c r="T13" s="598" t="s">
        <v>797</v>
      </c>
      <c r="U13" s="594">
        <f>IF(U12=1, 1, 2)</f>
        <v>2</v>
      </c>
      <c r="V13" s="114"/>
      <c r="W13" s="294" t="s">
        <v>808</v>
      </c>
      <c r="X13" s="116">
        <v>1</v>
      </c>
    </row>
    <row r="14" spans="1:27" x14ac:dyDescent="0.3">
      <c r="A14" s="212" t="s">
        <v>627</v>
      </c>
      <c r="B14" s="29">
        <f>'Design Regulator'!J11</f>
        <v>12</v>
      </c>
      <c r="C14" t="s">
        <v>1</v>
      </c>
      <c r="D14" s="114" t="s">
        <v>641</v>
      </c>
      <c r="I14" s="57"/>
      <c r="K14" s="294" t="s">
        <v>713</v>
      </c>
      <c r="L14" s="116">
        <v>2</v>
      </c>
      <c r="N14" s="294" t="s">
        <v>713</v>
      </c>
      <c r="O14" s="116">
        <v>2</v>
      </c>
      <c r="T14" s="296" t="s">
        <v>796</v>
      </c>
      <c r="U14" s="599">
        <f>IF(U12=1, 2, 1)</f>
        <v>1</v>
      </c>
      <c r="W14" s="294" t="s">
        <v>809</v>
      </c>
      <c r="X14" s="116">
        <v>2</v>
      </c>
    </row>
    <row r="15" spans="1:27" x14ac:dyDescent="0.3">
      <c r="A15" s="212"/>
      <c r="C15"/>
      <c r="D15" s="114"/>
      <c r="I15" s="57"/>
      <c r="K15" s="294" t="s">
        <v>714</v>
      </c>
      <c r="L15" s="116">
        <v>3</v>
      </c>
      <c r="N15" s="294" t="s">
        <v>714</v>
      </c>
      <c r="O15" s="116">
        <v>3</v>
      </c>
      <c r="T15" s="296" t="s">
        <v>795</v>
      </c>
      <c r="U15" s="299">
        <f>SCH_MODE</f>
        <v>2</v>
      </c>
      <c r="W15" s="535" t="s">
        <v>810</v>
      </c>
      <c r="X15" s="536">
        <v>2</v>
      </c>
      <c r="Z15" s="294" t="s">
        <v>858</v>
      </c>
      <c r="AA15" s="116">
        <v>1</v>
      </c>
    </row>
    <row r="16" spans="1:27" x14ac:dyDescent="0.3">
      <c r="A16" s="212" t="s">
        <v>326</v>
      </c>
      <c r="B16" s="520">
        <f>Vout/Iout</f>
        <v>0.4</v>
      </c>
      <c r="C16" s="213" t="s">
        <v>116</v>
      </c>
      <c r="D16" s="114" t="s">
        <v>629</v>
      </c>
      <c r="I16" s="57"/>
      <c r="K16" s="535" t="s">
        <v>715</v>
      </c>
      <c r="L16" s="536">
        <f>IF(Vout=3.3, 1, IF(Vout=5, 2, 3))</f>
        <v>3</v>
      </c>
      <c r="N16" s="535" t="s">
        <v>716</v>
      </c>
      <c r="O16" s="536">
        <f>IF(Vout2=3.3, 1, IF(Vout2=5, 2, 3))</f>
        <v>2</v>
      </c>
      <c r="Z16" s="294" t="s">
        <v>859</v>
      </c>
      <c r="AA16" s="116">
        <v>2</v>
      </c>
    </row>
    <row r="17" spans="1:27" x14ac:dyDescent="0.3">
      <c r="A17" s="212" t="s">
        <v>628</v>
      </c>
      <c r="B17" s="520">
        <f>Vout2/Iout2</f>
        <v>0.41666666666666669</v>
      </c>
      <c r="C17" s="213" t="s">
        <v>116</v>
      </c>
      <c r="D17" s="114"/>
      <c r="I17" s="57"/>
      <c r="Z17" s="535" t="s">
        <v>860</v>
      </c>
      <c r="AA17" s="536">
        <v>1</v>
      </c>
    </row>
    <row r="18" spans="1:27" x14ac:dyDescent="0.3">
      <c r="A18" s="212" t="s">
        <v>295</v>
      </c>
      <c r="B18" s="293">
        <f>CHOOSE(MODE, Vout*Iout+Vout2*Iout2, Vout*Iout)</f>
        <v>1440</v>
      </c>
      <c r="C18" t="s">
        <v>116</v>
      </c>
      <c r="D18" s="114" t="s">
        <v>311</v>
      </c>
      <c r="I18" s="57"/>
      <c r="Y18" s="2"/>
    </row>
    <row r="19" spans="1:27" x14ac:dyDescent="0.3">
      <c r="A19" s="212"/>
      <c r="C19"/>
      <c r="D19" s="114"/>
      <c r="I19" s="57"/>
      <c r="Y19" s="2"/>
      <c r="AA19" s="116">
        <f>SENSING_TYPE</f>
        <v>1</v>
      </c>
    </row>
    <row r="20" spans="1:27" x14ac:dyDescent="0.3">
      <c r="A20" s="212" t="s">
        <v>127</v>
      </c>
      <c r="B20" s="408">
        <v>0.9</v>
      </c>
      <c r="C20"/>
      <c r="D20" s="114" t="s">
        <v>427</v>
      </c>
      <c r="I20" s="57"/>
      <c r="X20" s="294" t="s">
        <v>853</v>
      </c>
      <c r="Y20" s="299">
        <v>1</v>
      </c>
    </row>
    <row r="21" spans="1:27" x14ac:dyDescent="0.3">
      <c r="A21" s="212" t="s">
        <v>299</v>
      </c>
      <c r="B21" s="312">
        <f>Pout/Efficiency</f>
        <v>1600</v>
      </c>
      <c r="C21" t="s">
        <v>116</v>
      </c>
      <c r="D21" s="114" t="s">
        <v>630</v>
      </c>
      <c r="I21" s="57"/>
      <c r="L21">
        <f>Vout</f>
        <v>24</v>
      </c>
      <c r="X21" s="294" t="s">
        <v>756</v>
      </c>
      <c r="Y21" s="299">
        <v>2</v>
      </c>
    </row>
    <row r="22" spans="1:27" x14ac:dyDescent="0.3">
      <c r="A22" s="212"/>
      <c r="B22" s="48"/>
      <c r="C22"/>
      <c r="D22" s="114"/>
      <c r="I22" s="57"/>
      <c r="X22" s="294" t="s">
        <v>861</v>
      </c>
      <c r="Y22" s="299">
        <v>3</v>
      </c>
      <c r="Z22" s="114"/>
    </row>
    <row r="23" spans="1:27" x14ac:dyDescent="0.3">
      <c r="A23" s="212" t="s">
        <v>296</v>
      </c>
      <c r="B23" s="305">
        <f>Pin/VIN_min</f>
        <v>44.444444444444443</v>
      </c>
      <c r="C23" t="s">
        <v>1</v>
      </c>
      <c r="D23" s="114"/>
      <c r="I23" s="57"/>
      <c r="X23" s="294" t="s">
        <v>855</v>
      </c>
      <c r="Y23" s="299">
        <v>4</v>
      </c>
    </row>
    <row r="24" spans="1:27" x14ac:dyDescent="0.3">
      <c r="A24" s="212" t="s">
        <v>297</v>
      </c>
      <c r="B24" s="305">
        <f>Pin/VIN_nom</f>
        <v>35.555555555555557</v>
      </c>
      <c r="C24" t="s">
        <v>1</v>
      </c>
      <c r="D24" s="114" t="s">
        <v>312</v>
      </c>
      <c r="I24" s="57"/>
      <c r="X24" s="294" t="s">
        <v>854</v>
      </c>
      <c r="Y24" s="299">
        <v>5</v>
      </c>
    </row>
    <row r="25" spans="1:27" x14ac:dyDescent="0.3">
      <c r="A25" s="212" t="s">
        <v>298</v>
      </c>
      <c r="B25" s="305">
        <f>Pin/VIN_max</f>
        <v>31.372549019607842</v>
      </c>
      <c r="C25" t="s">
        <v>1</v>
      </c>
      <c r="D25" s="114"/>
      <c r="I25" s="57"/>
      <c r="W25" s="536" t="s">
        <v>851</v>
      </c>
      <c r="X25" s="296" t="str">
        <f>CHOOSE(VARIANT, "LM5143", "LM5143-Q1", "LM5143A-Q1", "LM25143", "LM25143-Q1")</f>
        <v>LM5143A-Q1</v>
      </c>
      <c r="Y25" s="536">
        <v>3</v>
      </c>
    </row>
    <row r="26" spans="1:27" x14ac:dyDescent="0.3">
      <c r="A26" s="212"/>
      <c r="C26"/>
      <c r="D26" s="114"/>
      <c r="I26" s="57"/>
      <c r="W26" s="536" t="s">
        <v>852</v>
      </c>
      <c r="X26" s="296">
        <f>CHOOSE(VARIANT, 65, 65, 65, 42, 42)</f>
        <v>65</v>
      </c>
      <c r="Y26" t="s">
        <v>0</v>
      </c>
    </row>
    <row r="27" spans="1:27" ht="12.5" x14ac:dyDescent="0.25">
      <c r="A27" s="58" t="s">
        <v>6</v>
      </c>
      <c r="B27" s="256">
        <f>'Design Regulator'!E12*1000</f>
        <v>220000</v>
      </c>
      <c r="C27" s="114" t="s">
        <v>9</v>
      </c>
      <c r="D27" s="114" t="s">
        <v>646</v>
      </c>
      <c r="I27" s="57"/>
      <c r="W27" s="114" t="s">
        <v>856</v>
      </c>
      <c r="X27" s="294">
        <f>CHOOSE(VARIANT, 55, 55, 55, 36, 36)</f>
        <v>55</v>
      </c>
      <c r="Y27" s="114" t="s">
        <v>0</v>
      </c>
    </row>
    <row r="28" spans="1:27" ht="12.5" x14ac:dyDescent="0.25">
      <c r="A28" s="212" t="s">
        <v>827</v>
      </c>
      <c r="B28" s="528">
        <f>1/Fsw</f>
        <v>4.5454545454545455E-6</v>
      </c>
      <c r="C28" s="114" t="s">
        <v>549</v>
      </c>
      <c r="D28" s="114" t="s">
        <v>643</v>
      </c>
      <c r="I28" s="57">
        <v>1</v>
      </c>
    </row>
    <row r="29" spans="1:27" ht="12.5" x14ac:dyDescent="0.25">
      <c r="A29" s="58" t="s">
        <v>41</v>
      </c>
      <c r="B29" s="59">
        <v>0.6</v>
      </c>
      <c r="C29" t="s">
        <v>0</v>
      </c>
      <c r="D29" s="114" t="s">
        <v>644</v>
      </c>
      <c r="I29" s="57"/>
    </row>
    <row r="30" spans="1:27" ht="12.5" x14ac:dyDescent="0.25">
      <c r="A30" s="212" t="s">
        <v>280</v>
      </c>
      <c r="B30" s="306">
        <f>22*1000/(Fsw/1000000)</f>
        <v>100000</v>
      </c>
      <c r="C30" s="213" t="s">
        <v>116</v>
      </c>
      <c r="D30" s="114" t="s">
        <v>645</v>
      </c>
      <c r="I30" s="57"/>
    </row>
    <row r="31" spans="1:27" ht="13.5" thickBot="1" x14ac:dyDescent="0.35">
      <c r="A31" s="384"/>
      <c r="B31" s="384"/>
      <c r="C31" s="576"/>
      <c r="D31" s="384"/>
      <c r="E31" s="384"/>
      <c r="F31" s="384"/>
      <c r="G31" s="384"/>
      <c r="H31" s="384"/>
      <c r="I31" s="577"/>
    </row>
    <row r="33" spans="1:9" ht="16" thickBot="1" x14ac:dyDescent="0.4">
      <c r="A33" s="525" t="s">
        <v>721</v>
      </c>
      <c r="B33" s="2" t="s">
        <v>649</v>
      </c>
      <c r="D33" s="2" t="s">
        <v>650</v>
      </c>
    </row>
    <row r="34" spans="1:9" x14ac:dyDescent="0.3">
      <c r="A34" s="211" t="s">
        <v>14</v>
      </c>
      <c r="B34" s="289">
        <f>Vout/VIN_nom</f>
        <v>0.53333333333333333</v>
      </c>
      <c r="C34" s="579"/>
      <c r="D34" s="292"/>
      <c r="E34" s="292"/>
      <c r="F34" s="117" t="s">
        <v>293</v>
      </c>
      <c r="G34" s="63"/>
      <c r="H34" s="63"/>
      <c r="I34" s="64"/>
    </row>
    <row r="35" spans="1:9" x14ac:dyDescent="0.3">
      <c r="A35" s="212" t="s">
        <v>15</v>
      </c>
      <c r="B35" s="290">
        <f>1-34:34</f>
        <v>0.46666666666666667</v>
      </c>
      <c r="C35"/>
      <c r="F35" s="114" t="s">
        <v>294</v>
      </c>
      <c r="I35" s="57"/>
    </row>
    <row r="36" spans="1:9" ht="12.5" x14ac:dyDescent="0.25">
      <c r="A36" s="114"/>
      <c r="C36"/>
      <c r="E36" s="114"/>
      <c r="I36" s="57"/>
    </row>
    <row r="37" spans="1:9" x14ac:dyDescent="0.3">
      <c r="A37" s="212" t="s">
        <v>723</v>
      </c>
      <c r="B37" s="300">
        <f>Vout/VIN_min</f>
        <v>0.66666666666666663</v>
      </c>
      <c r="C37"/>
      <c r="D37" s="300">
        <f>Vout2/VIN_min</f>
        <v>0.1388888888888889</v>
      </c>
      <c r="E37" s="114"/>
      <c r="I37" s="57"/>
    </row>
    <row r="38" spans="1:9" x14ac:dyDescent="0.3">
      <c r="A38" s="212" t="s">
        <v>724</v>
      </c>
      <c r="B38" s="300">
        <f>Vout/VIN_nom</f>
        <v>0.53333333333333333</v>
      </c>
      <c r="C38"/>
      <c r="D38" s="300">
        <f>Vout2/VIN_nom</f>
        <v>0.1111111111111111</v>
      </c>
      <c r="I38" s="57"/>
    </row>
    <row r="39" spans="1:9" x14ac:dyDescent="0.3">
      <c r="A39" s="212" t="s">
        <v>725</v>
      </c>
      <c r="B39" s="300">
        <f>Vout/VIN_max</f>
        <v>0.47058823529411764</v>
      </c>
      <c r="C39"/>
      <c r="D39" s="300">
        <f>Vout2/VIN_max</f>
        <v>9.8039215686274508E-2</v>
      </c>
      <c r="E39" s="114"/>
      <c r="I39" s="57"/>
    </row>
    <row r="40" spans="1:9" x14ac:dyDescent="0.3">
      <c r="A40" s="114"/>
      <c r="B40" s="559"/>
      <c r="C40" s="114"/>
      <c r="E40" s="114"/>
      <c r="I40" s="57"/>
    </row>
    <row r="41" spans="1:9" x14ac:dyDescent="0.3">
      <c r="A41" s="114" t="s">
        <v>303</v>
      </c>
      <c r="B41" s="291">
        <f>(VIN_nom-Vout)*D1_Vinnom/(Fsw*(Iout/Number_of_Phases)*0.35)</f>
        <v>4.8484848484848479E-6</v>
      </c>
      <c r="C41" t="s">
        <v>19</v>
      </c>
      <c r="D41" s="291">
        <f>(VIN_nom-Vout2)*D2_Vinnom/(Fsw*Iout2*0.35)</f>
        <v>4.8100048100048111E-6</v>
      </c>
      <c r="E41" t="s">
        <v>19</v>
      </c>
      <c r="F41" s="114" t="s">
        <v>651</v>
      </c>
      <c r="I41" s="57"/>
    </row>
    <row r="42" spans="1:9" x14ac:dyDescent="0.3">
      <c r="A42" s="114" t="s">
        <v>647</v>
      </c>
      <c r="B42" s="291">
        <f>1000*Vout*Rs/24/Fsw</f>
        <v>1.0000000000000001E-5</v>
      </c>
      <c r="C42" t="s">
        <v>19</v>
      </c>
      <c r="D42" s="291">
        <f>1000*Vout2*Rs_Ch2/24/Fsw</f>
        <v>3.7878787878787882E-6</v>
      </c>
      <c r="E42" t="s">
        <v>19</v>
      </c>
      <c r="F42" s="114" t="s">
        <v>722</v>
      </c>
      <c r="I42" s="57"/>
    </row>
    <row r="43" spans="1:9" ht="12.5" x14ac:dyDescent="0.25">
      <c r="A43" s="114"/>
      <c r="C43" s="114"/>
      <c r="E43" s="114"/>
      <c r="I43" s="57"/>
    </row>
    <row r="44" spans="1:9" x14ac:dyDescent="0.3">
      <c r="A44" s="212" t="s">
        <v>304</v>
      </c>
      <c r="B44" s="291">
        <f>B42</f>
        <v>1.0000000000000001E-5</v>
      </c>
      <c r="C44" t="s">
        <v>19</v>
      </c>
      <c r="D44" s="532">
        <f>D42</f>
        <v>3.7878787878787882E-6</v>
      </c>
      <c r="E44" s="114" t="s">
        <v>19</v>
      </c>
      <c r="F44" s="114" t="s">
        <v>550</v>
      </c>
      <c r="I44" s="57"/>
    </row>
    <row r="45" spans="1:9" ht="12.5" x14ac:dyDescent="0.25">
      <c r="A45" s="212"/>
      <c r="C45"/>
      <c r="E45" s="114"/>
      <c r="I45" s="57"/>
    </row>
    <row r="46" spans="1:9" ht="12.5" x14ac:dyDescent="0.25">
      <c r="A46" s="212" t="s">
        <v>669</v>
      </c>
      <c r="B46" s="72">
        <f>'Design Regulator'!E28/1000000</f>
        <v>1.0000000000000001E-5</v>
      </c>
      <c r="C46" t="s">
        <v>19</v>
      </c>
      <c r="D46" s="72">
        <f>'Design Regulator'!J28/1000000</f>
        <v>2.2000000000000001E-6</v>
      </c>
      <c r="E46" t="s">
        <v>19</v>
      </c>
      <c r="F46" s="114" t="s">
        <v>551</v>
      </c>
      <c r="I46" s="57"/>
    </row>
    <row r="47" spans="1:9" ht="12.5" x14ac:dyDescent="0.25">
      <c r="A47" s="212" t="s">
        <v>11</v>
      </c>
      <c r="B47" s="29">
        <f>'Design Regulator'!E29/1000</f>
        <v>1.4E-3</v>
      </c>
      <c r="C47" s="213" t="s">
        <v>116</v>
      </c>
      <c r="D47" s="29">
        <f>'Design Regulator'!J29/1000</f>
        <v>5.0000000000000001E-3</v>
      </c>
      <c r="E47" s="213" t="s">
        <v>116</v>
      </c>
      <c r="F47" s="114" t="s">
        <v>552</v>
      </c>
      <c r="I47" s="57"/>
    </row>
    <row r="48" spans="1:9" ht="12.5" x14ac:dyDescent="0.25">
      <c r="A48" s="212"/>
      <c r="B48" s="114"/>
      <c r="C48" s="114"/>
      <c r="D48" s="114"/>
      <c r="E48" s="114"/>
      <c r="I48" s="57"/>
    </row>
    <row r="49" spans="1:9" x14ac:dyDescent="0.3">
      <c r="A49" s="212" t="s">
        <v>16</v>
      </c>
      <c r="B49" s="300">
        <f>(Vout+Iout*(Rdcr+Rs))/(Vin+Iout*Rs)</f>
        <v>0.53655942568465842</v>
      </c>
      <c r="C49"/>
      <c r="I49" s="57"/>
    </row>
    <row r="50" spans="1:9" x14ac:dyDescent="0.3">
      <c r="A50" s="212" t="s">
        <v>17</v>
      </c>
      <c r="B50" s="300">
        <f>1-_Don2</f>
        <v>0.46344057431534158</v>
      </c>
      <c r="C50"/>
      <c r="I50" s="57"/>
    </row>
    <row r="51" spans="1:9" ht="12.5" x14ac:dyDescent="0.25">
      <c r="A51" s="212"/>
      <c r="C51"/>
      <c r="I51" s="57"/>
    </row>
    <row r="52" spans="1:9" x14ac:dyDescent="0.3">
      <c r="A52" s="212" t="s">
        <v>726</v>
      </c>
      <c r="B52" s="300">
        <f>CHOOSE(MODE, (Vout+Iout*(Rdcr+Rs))/(VIN_min+Iout*Rs), (Vout+Iout/Number_of_Phases*(Rdcr+Rs))/(VIN_min+Iout/Number_of_Phases*Rs))</f>
        <v>0.66844119114955913</v>
      </c>
      <c r="C52"/>
      <c r="D52" s="300">
        <f>(Vout2+Iout2*(Rdcr2+Rs_Ch2))/(VIN_min+Iout2*Rs_Ch2)</f>
        <v>0.14169995561473589</v>
      </c>
      <c r="F52" s="114" t="s">
        <v>652</v>
      </c>
      <c r="I52" s="57"/>
    </row>
    <row r="53" spans="1:9" ht="15.5" x14ac:dyDescent="0.4">
      <c r="A53" s="212" t="s">
        <v>727</v>
      </c>
      <c r="B53" s="300">
        <f>CHOOSE(MODE, (Vout+Iout*(Rdcr+Rs))/(VIN_nom+Iout*Rs), (Vout+Iout/Number_of_Phases*(Rdcr+Rs))/(VIN_nom+Iout/Number_of_Phases*Rs))</f>
        <v>0.53494874184529351</v>
      </c>
      <c r="C53"/>
      <c r="D53" s="300">
        <f>(Vout2+Iout2*(Rdcr2+Rs_Ch2))/(VIN_nom+Iout2*Rs_Ch2)</f>
        <v>0.11339016160539868</v>
      </c>
      <c r="F53" s="379" t="s">
        <v>428</v>
      </c>
      <c r="I53" s="57"/>
    </row>
    <row r="54" spans="1:9" x14ac:dyDescent="0.3">
      <c r="A54" s="212" t="s">
        <v>728</v>
      </c>
      <c r="B54" s="300">
        <f>CHOOSE(MODE, (Vout+Iout*(Rdcr+Rs))/(VIN_max+Iout*Rs), (Vout+Iout/Number_of_Phases*(Rdcr+Rs))/(VIN_max+Iout/Number_of_Phases*Rs))</f>
        <v>0.47209493596522145</v>
      </c>
      <c r="C54"/>
      <c r="D54" s="300">
        <f>(Vout2+Iout2*(Rdcr2+Rs_Ch2))/(VIN_max+Iout2*Rs_Ch2)</f>
        <v>0.10006268609935745</v>
      </c>
      <c r="I54" s="57"/>
    </row>
    <row r="55" spans="1:9" ht="12.5" x14ac:dyDescent="0.25">
      <c r="A55" s="212"/>
      <c r="C55"/>
      <c r="I55" s="57"/>
    </row>
    <row r="56" spans="1:9" ht="12.5" x14ac:dyDescent="0.25">
      <c r="A56" s="212" t="s">
        <v>300</v>
      </c>
      <c r="B56" s="521">
        <f>MAX(0, (VIN_min-Vout)*D1_Vinmin_2/(Fsw*Lf))</f>
        <v>3.6460428608157773</v>
      </c>
      <c r="C56" s="114" t="s">
        <v>1</v>
      </c>
      <c r="D56" s="521">
        <f>MAX(0.1, (VIN_min-Vout2)*D2_Vinmin_2/(Fsw*Lo_2))</f>
        <v>9.0758236034231654</v>
      </c>
      <c r="E56" s="114" t="s">
        <v>1</v>
      </c>
      <c r="G56" s="30"/>
      <c r="I56" s="57"/>
    </row>
    <row r="57" spans="1:9" ht="12.5" x14ac:dyDescent="0.25">
      <c r="A57" s="212" t="s">
        <v>301</v>
      </c>
      <c r="B57" s="521">
        <f>MAX(0, (VIN_nom-Vout)*D1_Vinnom_2/(Fsw*Lf))</f>
        <v>5.1063288994323468</v>
      </c>
      <c r="C57" s="114" t="s">
        <v>1</v>
      </c>
      <c r="D57" s="521">
        <f>MAX(0, (VIN_nom-Vout2)*D2_Vinnom_2/(Fsw*Lo_2))</f>
        <v>9.3710877359833606</v>
      </c>
      <c r="E57" s="114" t="s">
        <v>1</v>
      </c>
      <c r="I57" s="57"/>
    </row>
    <row r="58" spans="1:9" ht="12.5" x14ac:dyDescent="0.25">
      <c r="A58" s="212" t="s">
        <v>302</v>
      </c>
      <c r="B58" s="521">
        <f>MAX(0, (VIN_max-Vout)*D1_Vinmax_2/(Fsw*Lf))</f>
        <v>5.7938923959368083</v>
      </c>
      <c r="C58" s="114" t="s">
        <v>1</v>
      </c>
      <c r="D58" s="521">
        <f>MAX(0, (VIN_max-Vout2)*D2_Vinmax_2/(Fsw*Lo_2))</f>
        <v>9.5100900011786003</v>
      </c>
      <c r="E58" s="114" t="s">
        <v>1</v>
      </c>
      <c r="I58" s="57"/>
    </row>
    <row r="59" spans="1:9" x14ac:dyDescent="0.3">
      <c r="A59" s="212"/>
      <c r="B59" s="578"/>
      <c r="D59" s="480"/>
      <c r="E59" s="114"/>
      <c r="I59" s="57"/>
    </row>
    <row r="60" spans="1:9" ht="12.5" x14ac:dyDescent="0.25">
      <c r="A60" s="212" t="s">
        <v>567</v>
      </c>
      <c r="B60" s="580">
        <f>SQRT((Iout/Number_of_Phases)^2+(Iripple_Vinmin^2)/12)</f>
        <v>30.018457694867926</v>
      </c>
      <c r="C60" s="114" t="s">
        <v>1</v>
      </c>
      <c r="D60" s="305">
        <f>SQRT(Iout2^2+(Iripple2_Vinmin^2)/12)</f>
        <v>12.282679451435033</v>
      </c>
      <c r="E60" s="114" t="s">
        <v>1</v>
      </c>
      <c r="F60" s="360"/>
      <c r="I60" s="57"/>
    </row>
    <row r="61" spans="1:9" ht="12.5" x14ac:dyDescent="0.25">
      <c r="A61" s="212" t="s">
        <v>568</v>
      </c>
      <c r="B61" s="580">
        <f>SQRT((Iout/Number_of_Phases)^2+(Iripple_Vinnom^2)/12)</f>
        <v>30.036192882960908</v>
      </c>
      <c r="C61" s="114" t="s">
        <v>1</v>
      </c>
      <c r="D61" s="305">
        <f>SQRT(Iout2^2+(Iripple2_Vinnom^2)/12)</f>
        <v>12.301142512505013</v>
      </c>
      <c r="E61" s="114" t="s">
        <v>1</v>
      </c>
      <c r="F61" s="360"/>
      <c r="I61" s="57"/>
    </row>
    <row r="62" spans="1:9" ht="12.5" x14ac:dyDescent="0.25">
      <c r="A62" s="212" t="s">
        <v>569</v>
      </c>
      <c r="B62" s="580">
        <f>SQRT((Iout/Number_of_Phases)^2+(Iripple_Vinmax^2)/12)</f>
        <v>30.046587700180552</v>
      </c>
      <c r="C62" s="114" t="s">
        <v>1</v>
      </c>
      <c r="D62" s="305">
        <f>SQRT(Iout2^2+(Iripple2_Vinmax^2)/12)</f>
        <v>12.310029149134584</v>
      </c>
      <c r="E62" s="114" t="s">
        <v>1</v>
      </c>
      <c r="F62" s="360"/>
      <c r="I62" s="57"/>
    </row>
    <row r="63" spans="1:9" ht="12.5" x14ac:dyDescent="0.25">
      <c r="A63" s="212" t="s">
        <v>570</v>
      </c>
      <c r="B63" s="581">
        <f>B61^2*Rs</f>
        <v>1.9847803423853494</v>
      </c>
      <c r="C63" s="114" t="s">
        <v>116</v>
      </c>
      <c r="D63" s="581">
        <f>D61^2*Rs</f>
        <v>0.33289983564850795</v>
      </c>
      <c r="E63" s="114" t="s">
        <v>116</v>
      </c>
      <c r="F63" s="395" t="s">
        <v>670</v>
      </c>
      <c r="I63" s="57"/>
    </row>
    <row r="64" spans="1:9" ht="12.5" x14ac:dyDescent="0.25">
      <c r="A64" s="212"/>
      <c r="B64" s="114"/>
      <c r="C64" s="114"/>
      <c r="D64" s="114"/>
      <c r="I64" s="57"/>
    </row>
    <row r="65" spans="1:16" ht="12.5" x14ac:dyDescent="0.25">
      <c r="A65" s="212" t="s">
        <v>310</v>
      </c>
      <c r="B65" s="301">
        <f>MAX(B56:B58)</f>
        <v>5.7938923959368083</v>
      </c>
      <c r="C65" s="395" t="s">
        <v>1</v>
      </c>
      <c r="D65" s="301">
        <f t="shared" ref="D65" si="0">MAX(D56:D58)</f>
        <v>9.5100900011786003</v>
      </c>
      <c r="E65" s="114" t="s">
        <v>1</v>
      </c>
      <c r="F65" s="114" t="s">
        <v>671</v>
      </c>
      <c r="I65" s="57"/>
    </row>
    <row r="66" spans="1:16" ht="12.5" x14ac:dyDescent="0.25">
      <c r="A66" s="212"/>
      <c r="B66" s="114"/>
      <c r="C66" s="114"/>
      <c r="D66" s="114"/>
      <c r="F66" s="114"/>
      <c r="G66" s="294"/>
      <c r="I66" s="57"/>
    </row>
    <row r="67" spans="1:16" ht="12.5" x14ac:dyDescent="0.25">
      <c r="B67" s="409">
        <f>B56/(Iout/Number_of_Phases)</f>
        <v>0.12153476202719257</v>
      </c>
      <c r="C67" s="583"/>
      <c r="D67" s="409">
        <f>D56/Iout2</f>
        <v>0.75631863361859708</v>
      </c>
      <c r="F67" s="4"/>
      <c r="G67" s="410"/>
      <c r="I67" s="57"/>
    </row>
    <row r="68" spans="1:16" ht="12.5" x14ac:dyDescent="0.25">
      <c r="A68" s="212" t="s">
        <v>775</v>
      </c>
      <c r="B68" s="409">
        <f>B57/(Iout/Number_of_Phases)</f>
        <v>0.17021096331441157</v>
      </c>
      <c r="C68"/>
      <c r="D68" s="409">
        <f>D57/Iout2</f>
        <v>0.78092397799861335</v>
      </c>
      <c r="F68" s="4"/>
      <c r="G68" s="410"/>
      <c r="I68" s="57"/>
    </row>
    <row r="69" spans="1:16" ht="12.5" x14ac:dyDescent="0.25">
      <c r="A69" s="212"/>
      <c r="B69" s="409">
        <f>B58/(Iout/Number_of_Phases)</f>
        <v>0.19312974653122694</v>
      </c>
      <c r="C69"/>
      <c r="D69" s="409">
        <f>D58/Iout2</f>
        <v>0.79250750009821669</v>
      </c>
      <c r="F69" s="4"/>
      <c r="G69" s="410"/>
      <c r="I69" s="57"/>
    </row>
    <row r="70" spans="1:16" ht="12.5" x14ac:dyDescent="0.25">
      <c r="A70" s="212"/>
      <c r="C70"/>
      <c r="I70" s="57"/>
    </row>
    <row r="71" spans="1:16" ht="12.5" x14ac:dyDescent="0.25">
      <c r="A71" s="114" t="s">
        <v>648</v>
      </c>
      <c r="B71" s="408">
        <v>100</v>
      </c>
      <c r="C71" s="114" t="s">
        <v>465</v>
      </c>
      <c r="D71" s="582">
        <v>100</v>
      </c>
      <c r="E71" s="114" t="s">
        <v>465</v>
      </c>
      <c r="I71" s="57"/>
    </row>
    <row r="72" spans="1:16" x14ac:dyDescent="0.3">
      <c r="A72" s="212" t="s">
        <v>216</v>
      </c>
      <c r="B72" s="390">
        <f>Rdcr*(1+0.0039*(B71-25))</f>
        <v>1.8094999999999999E-3</v>
      </c>
      <c r="C72" s="213" t="s">
        <v>116</v>
      </c>
      <c r="D72" s="307">
        <f>Rdcr2*(1+0.0039*(D71-25))</f>
        <v>6.4625000000000004E-3</v>
      </c>
      <c r="E72" s="213" t="s">
        <v>116</v>
      </c>
      <c r="I72" s="57"/>
    </row>
    <row r="73" spans="1:16" ht="13.5" thickBot="1" x14ac:dyDescent="0.35">
      <c r="A73" s="314"/>
      <c r="B73" s="315"/>
      <c r="C73" s="61"/>
      <c r="D73" s="61"/>
      <c r="E73" s="61"/>
      <c r="F73" s="61"/>
      <c r="G73" s="61"/>
      <c r="H73" s="61"/>
      <c r="I73" s="62"/>
    </row>
    <row r="74" spans="1:16" x14ac:dyDescent="0.3">
      <c r="A74" s="2"/>
      <c r="B74" s="1"/>
      <c r="C74" s="1"/>
    </row>
    <row r="75" spans="1:16" ht="16" thickBot="1" x14ac:dyDescent="0.4">
      <c r="A75" s="525" t="s">
        <v>390</v>
      </c>
      <c r="B75" s="1"/>
      <c r="C75" s="1"/>
    </row>
    <row r="76" spans="1:16" x14ac:dyDescent="0.3">
      <c r="A76" s="91"/>
      <c r="B76" s="63"/>
      <c r="C76" s="63"/>
      <c r="D76" s="63"/>
      <c r="E76" s="63"/>
      <c r="F76" s="63"/>
      <c r="G76" s="63"/>
      <c r="H76" s="63"/>
      <c r="I76" s="64"/>
    </row>
    <row r="77" spans="1:16" ht="12.5" x14ac:dyDescent="0.25">
      <c r="A77" s="212" t="s">
        <v>309</v>
      </c>
      <c r="B77" s="29">
        <f>'Design Regulator'!E17</f>
        <v>60</v>
      </c>
      <c r="C77" t="s">
        <v>1</v>
      </c>
      <c r="D77" s="317">
        <f>'Design Regulator'!J17</f>
        <v>16</v>
      </c>
      <c r="E77" s="114" t="s">
        <v>1</v>
      </c>
      <c r="F77" s="114" t="s">
        <v>516</v>
      </c>
      <c r="I77" s="57"/>
      <c r="K77" s="114"/>
      <c r="N77" s="114"/>
    </row>
    <row r="78" spans="1:16" ht="12.5" x14ac:dyDescent="0.25">
      <c r="A78" s="212"/>
      <c r="C78"/>
      <c r="I78" s="57"/>
      <c r="K78" s="114"/>
      <c r="L78" s="114"/>
    </row>
    <row r="79" spans="1:16" x14ac:dyDescent="0.3">
      <c r="A79" s="212" t="s">
        <v>314</v>
      </c>
      <c r="B79" s="305">
        <f>CHOOSE(MODE, Ilimit_DC+Iripple_Vinmin/2, Ilimit_DC/Number_of_Phases+Iripple_Vinmin/2)</f>
        <v>31.823021430407888</v>
      </c>
      <c r="C79" t="s">
        <v>1</v>
      </c>
      <c r="D79" s="305">
        <f>Ilimit2_DC+Iripple2_Vinmin/2</f>
        <v>20.537911801711584</v>
      </c>
      <c r="E79" s="114" t="s">
        <v>1</v>
      </c>
      <c r="F79" s="114" t="s">
        <v>654</v>
      </c>
      <c r="I79" s="57"/>
      <c r="K79" s="4"/>
      <c r="L79" s="4"/>
      <c r="N79" s="311"/>
      <c r="P79" s="311"/>
    </row>
    <row r="80" spans="1:16" ht="12.5" x14ac:dyDescent="0.25">
      <c r="A80" s="212" t="s">
        <v>316</v>
      </c>
      <c r="B80" s="305">
        <f>CHOOSE(MODE, Ilimit_DC+Iripple_Vinnom/2, Ilimit_DC/Number_of_Phases+Iripple_Vinnom/2)</f>
        <v>32.553164449716171</v>
      </c>
      <c r="C80" t="s">
        <v>1</v>
      </c>
      <c r="D80" s="305">
        <f>Ilimit2_DC+Iripple2_Vinnom/2</f>
        <v>20.685543867991679</v>
      </c>
      <c r="E80" s="114" t="s">
        <v>1</v>
      </c>
      <c r="I80" s="57"/>
      <c r="K80" s="4"/>
      <c r="L80" s="4"/>
      <c r="N80" s="311"/>
      <c r="P80" s="311"/>
    </row>
    <row r="81" spans="1:16" ht="12.5" x14ac:dyDescent="0.25">
      <c r="A81" s="212" t="s">
        <v>315</v>
      </c>
      <c r="B81" s="305">
        <f>CHOOSE(MODE, Ilimit_DC+Iripple_Vinmax/2, Ilimit_DC/Number_of_Phases+Iripple_Vinmax/2)</f>
        <v>32.896946197968404</v>
      </c>
      <c r="C81" t="s">
        <v>1</v>
      </c>
      <c r="D81" s="305">
        <f>Ilimit2_DC+Iripple2_Vinmax/2</f>
        <v>20.755045000589298</v>
      </c>
      <c r="E81" s="114" t="s">
        <v>1</v>
      </c>
      <c r="I81" s="57"/>
      <c r="K81" s="4"/>
      <c r="L81" s="4"/>
      <c r="N81" s="311"/>
      <c r="P81" s="311"/>
    </row>
    <row r="82" spans="1:16" ht="12.5" x14ac:dyDescent="0.25">
      <c r="A82" s="212"/>
      <c r="B82" s="4"/>
      <c r="C82" s="114"/>
      <c r="D82" s="114"/>
      <c r="I82" s="57"/>
    </row>
    <row r="83" spans="1:16" x14ac:dyDescent="0.3">
      <c r="I83" s="57"/>
    </row>
    <row r="84" spans="1:16" ht="12.5" x14ac:dyDescent="0.25">
      <c r="A84" s="212" t="s">
        <v>656</v>
      </c>
      <c r="B84" s="481">
        <v>6.6000000000000003E-2</v>
      </c>
      <c r="C84" s="114" t="s">
        <v>0</v>
      </c>
      <c r="E84" s="114"/>
      <c r="I84" s="57"/>
    </row>
    <row r="85" spans="1:16" x14ac:dyDescent="0.3">
      <c r="A85" s="212" t="s">
        <v>655</v>
      </c>
      <c r="B85" s="481">
        <v>7.2999999999999995E-2</v>
      </c>
      <c r="C85" s="114" t="s">
        <v>0</v>
      </c>
      <c r="E85" s="114"/>
      <c r="F85" s="2"/>
      <c r="I85" s="57"/>
    </row>
    <row r="86" spans="1:16" ht="12.5" x14ac:dyDescent="0.25">
      <c r="A86" s="212" t="s">
        <v>657</v>
      </c>
      <c r="B86" s="481">
        <v>0.08</v>
      </c>
      <c r="C86" s="114" t="s">
        <v>0</v>
      </c>
      <c r="E86" s="114"/>
      <c r="I86" s="57"/>
    </row>
    <row r="87" spans="1:16" ht="12.5" x14ac:dyDescent="0.25">
      <c r="A87" s="212"/>
      <c r="B87" s="360"/>
      <c r="C87" s="114"/>
      <c r="E87" s="114"/>
      <c r="F87">
        <f>SENSING_TYPE</f>
        <v>1</v>
      </c>
      <c r="I87" s="57"/>
    </row>
    <row r="88" spans="1:16" ht="12.5" x14ac:dyDescent="0.25">
      <c r="A88" s="212" t="s">
        <v>553</v>
      </c>
      <c r="B88" s="307">
        <f>Buck_CS_threshold/B79</f>
        <v>2.2939368016842744E-3</v>
      </c>
      <c r="C88" s="213" t="s">
        <v>116</v>
      </c>
      <c r="D88" s="307">
        <f>Buck_CS_threshold/D79</f>
        <v>3.5544022539777554E-3</v>
      </c>
      <c r="E88" s="213" t="s">
        <v>116</v>
      </c>
      <c r="I88" s="57"/>
    </row>
    <row r="89" spans="1:16" ht="12.5" x14ac:dyDescent="0.25">
      <c r="A89" s="212" t="s">
        <v>554</v>
      </c>
      <c r="B89" s="307">
        <f>Buck_CS_threshold/B80</f>
        <v>2.242485522805648E-3</v>
      </c>
      <c r="C89" s="213" t="s">
        <v>116</v>
      </c>
      <c r="D89" s="307">
        <f>Buck_CS_threshold/D80</f>
        <v>3.5290345985516227E-3</v>
      </c>
      <c r="E89" s="213" t="s">
        <v>116</v>
      </c>
      <c r="I89" s="57"/>
    </row>
    <row r="90" spans="1:16" ht="12.5" x14ac:dyDescent="0.25">
      <c r="A90" s="212" t="s">
        <v>555</v>
      </c>
      <c r="B90" s="307">
        <f>Buck_CS_threshold/B81</f>
        <v>2.219050958733313E-3</v>
      </c>
      <c r="C90" s="213" t="s">
        <v>116</v>
      </c>
      <c r="D90" s="307">
        <f>Buck_CS_threshold/D81</f>
        <v>3.5172171391547116E-3</v>
      </c>
      <c r="E90" s="213" t="s">
        <v>116</v>
      </c>
      <c r="I90" s="57"/>
    </row>
    <row r="91" spans="1:16" ht="12.5" x14ac:dyDescent="0.25">
      <c r="A91" s="212"/>
      <c r="B91" s="30"/>
      <c r="C91" s="213"/>
      <c r="E91" s="213"/>
      <c r="I91" s="57"/>
    </row>
    <row r="92" spans="1:16" ht="12.5" x14ac:dyDescent="0.25">
      <c r="A92" s="212" t="s">
        <v>313</v>
      </c>
      <c r="B92" s="308">
        <f>B89</f>
        <v>2.242485522805648E-3</v>
      </c>
      <c r="C92" s="213" t="s">
        <v>116</v>
      </c>
      <c r="D92" s="307">
        <f>D89</f>
        <v>3.5290345985516227E-3</v>
      </c>
      <c r="E92" s="213" t="s">
        <v>116</v>
      </c>
      <c r="F92" s="114" t="s">
        <v>658</v>
      </c>
      <c r="I92" s="57"/>
    </row>
    <row r="93" spans="1:16" x14ac:dyDescent="0.3">
      <c r="A93" s="212" t="s">
        <v>167</v>
      </c>
      <c r="B93" s="664">
        <f>CHOOSE(SENSING_TYPE, 'Design Regulator'!E19/1000, Rdcr)</f>
        <v>2.2000000000000001E-3</v>
      </c>
      <c r="C93" s="213" t="s">
        <v>116</v>
      </c>
      <c r="D93" s="584">
        <f>CHOOSE(SENSING_TYPE, 'Design Regulator'!J19/1000, Rdcr2)</f>
        <v>4.0000000000000001E-3</v>
      </c>
      <c r="E93" s="213" t="s">
        <v>116</v>
      </c>
      <c r="F93" s="114" t="s">
        <v>317</v>
      </c>
      <c r="I93" s="57"/>
      <c r="K93" s="114"/>
      <c r="L93" s="114"/>
    </row>
    <row r="94" spans="1:16" x14ac:dyDescent="0.3">
      <c r="A94" s="212"/>
      <c r="B94" s="411"/>
      <c r="C94" s="213"/>
      <c r="E94" s="213"/>
      <c r="I94" s="57"/>
      <c r="K94" s="114"/>
      <c r="L94" s="114"/>
    </row>
    <row r="95" spans="1:16" x14ac:dyDescent="0.3">
      <c r="A95" s="212" t="s">
        <v>659</v>
      </c>
      <c r="B95" s="305">
        <f>Buck_CS_threshold/Rs</f>
        <v>33.18181818181818</v>
      </c>
      <c r="C95" s="114" t="s">
        <v>1</v>
      </c>
      <c r="D95" s="305">
        <f>Buck_CS_threshold/Rs_Ch2</f>
        <v>18.25</v>
      </c>
      <c r="E95" s="114" t="s">
        <v>1</v>
      </c>
      <c r="F95" s="114" t="s">
        <v>660</v>
      </c>
      <c r="I95" s="57"/>
    </row>
    <row r="96" spans="1:16" x14ac:dyDescent="0.3">
      <c r="A96" s="212"/>
      <c r="E96" s="2"/>
      <c r="I96" s="57"/>
    </row>
    <row r="97" spans="1:12" ht="15.5" x14ac:dyDescent="0.4">
      <c r="A97" s="212" t="s">
        <v>429</v>
      </c>
      <c r="B97" s="312">
        <f>Number_of_Phases*(Buck_CS_threshold/Rs-Iripple_Vinmin/2)</f>
        <v>62.717593502820584</v>
      </c>
      <c r="C97" t="s">
        <v>1</v>
      </c>
      <c r="D97" s="312">
        <f>Buck_CS_threshold/Rs_Ch2-Iripple2_Vinmin/2</f>
        <v>13.712088198288416</v>
      </c>
      <c r="E97" t="s">
        <v>1</v>
      </c>
      <c r="F97" s="114" t="s">
        <v>431</v>
      </c>
      <c r="I97" s="57"/>
    </row>
    <row r="98" spans="1:12" ht="12.5" x14ac:dyDescent="0.25">
      <c r="A98" s="212" t="s">
        <v>459</v>
      </c>
      <c r="B98" s="312">
        <f>Number_of_Phases*(Buck_CS_threshold/Rs-Iripple_Vinnom/2)</f>
        <v>61.257307464204011</v>
      </c>
      <c r="C98" t="s">
        <v>1</v>
      </c>
      <c r="D98" s="312">
        <f>Buck_CS_threshold/Rs_Ch2-Iripple2_Vinnom/2</f>
        <v>13.564456132008321</v>
      </c>
      <c r="E98" t="s">
        <v>1</v>
      </c>
      <c r="I98" s="57"/>
    </row>
    <row r="99" spans="1:12" ht="12.5" x14ac:dyDescent="0.25">
      <c r="A99" s="212" t="s">
        <v>430</v>
      </c>
      <c r="B99" s="312">
        <f>Number_of_Phases*(Buck_CS_threshold/Rs-Iripple_Vinmax/2)</f>
        <v>60.569743967699551</v>
      </c>
      <c r="C99" t="s">
        <v>1</v>
      </c>
      <c r="D99" s="312">
        <f>Buck_CS_threshold/Rs_Ch2-Iripple2_Vinmax/2</f>
        <v>13.4949549994107</v>
      </c>
      <c r="E99" t="s">
        <v>1</v>
      </c>
      <c r="I99" s="57"/>
    </row>
    <row r="100" spans="1:12" ht="12.5" x14ac:dyDescent="0.25">
      <c r="A100" s="212"/>
      <c r="B100" s="48"/>
      <c r="C100"/>
      <c r="D100" s="48"/>
      <c r="I100" s="57"/>
    </row>
    <row r="101" spans="1:12" ht="12.5" x14ac:dyDescent="0.25">
      <c r="A101" s="212" t="s">
        <v>664</v>
      </c>
      <c r="B101" s="520">
        <f>SQRT((Iout_OCP_Vinmin/Number_of_Phases)^2+(Iripple_Vinmin^2)/12)</f>
        <v>31.376455122827949</v>
      </c>
      <c r="C101" t="s">
        <v>1</v>
      </c>
      <c r="D101" s="520">
        <f>SQRT(Iout2_OCP_Vinmin^2+(Iripple2_Vinmin^2)/12)</f>
        <v>13.960142451434544</v>
      </c>
      <c r="E101" t="s">
        <v>1</v>
      </c>
      <c r="I101" s="57"/>
    </row>
    <row r="102" spans="1:12" ht="12.5" x14ac:dyDescent="0.25">
      <c r="A102" s="212" t="s">
        <v>665</v>
      </c>
      <c r="B102" s="520">
        <f>SQRT((Iout_OCP_Vinnom/Number_of_Phases)^2+(Iripple_Vinnom^2)/12)</f>
        <v>30.664104623214381</v>
      </c>
      <c r="C102" t="s">
        <v>1</v>
      </c>
      <c r="D102" s="520">
        <f>SQRT(Iout2_OCP_Vinnom^2+(Iripple2_Vinnom^2)/12)</f>
        <v>13.831578986874067</v>
      </c>
      <c r="E102" t="s">
        <v>1</v>
      </c>
      <c r="I102" s="57"/>
    </row>
    <row r="103" spans="1:12" ht="12.5" x14ac:dyDescent="0.25">
      <c r="A103" s="212" t="s">
        <v>666</v>
      </c>
      <c r="B103" s="520">
        <f>SQRT((Iout_OCP_Vinmax/Number_of_Phases)^2+(Iripple_Vinmax^2)/12)</f>
        <v>30.331022130861502</v>
      </c>
      <c r="C103" t="s">
        <v>1</v>
      </c>
      <c r="D103" s="520">
        <f>SQRT(Iout2_OCP_Vinmax^2+(Iripple2_Vinmax^2)/12)</f>
        <v>13.771369869721129</v>
      </c>
      <c r="E103" t="s">
        <v>1</v>
      </c>
      <c r="I103" s="57"/>
    </row>
    <row r="104" spans="1:12" ht="12.5" x14ac:dyDescent="0.25">
      <c r="A104" s="212"/>
      <c r="B104" s="48"/>
      <c r="C104"/>
      <c r="D104" s="48"/>
      <c r="I104" s="57"/>
    </row>
    <row r="105" spans="1:12" ht="12.5" x14ac:dyDescent="0.25">
      <c r="A105" s="212" t="s">
        <v>661</v>
      </c>
      <c r="B105" s="520">
        <f>B101^2*Rs</f>
        <v>2.1658602593646399</v>
      </c>
      <c r="C105" s="114" t="s">
        <v>116</v>
      </c>
      <c r="D105" s="520">
        <f>D101^2*Rs_Ch2</f>
        <v>0.77954230905737953</v>
      </c>
      <c r="E105" s="114" t="s">
        <v>116</v>
      </c>
      <c r="F105" s="114" t="s">
        <v>667</v>
      </c>
      <c r="I105" s="57"/>
    </row>
    <row r="106" spans="1:12" ht="12.5" x14ac:dyDescent="0.25">
      <c r="A106" s="212" t="s">
        <v>662</v>
      </c>
      <c r="B106" s="520">
        <f>B102^2*Rs</f>
        <v>2.0686320871555628</v>
      </c>
      <c r="C106" t="s">
        <v>116</v>
      </c>
      <c r="D106" s="520">
        <f>D102^2*Rs_Ch2</f>
        <v>0.76525030908054503</v>
      </c>
      <c r="E106" t="s">
        <v>116</v>
      </c>
      <c r="I106" s="57"/>
    </row>
    <row r="107" spans="1:12" ht="12.5" x14ac:dyDescent="0.25">
      <c r="A107" s="212" t="s">
        <v>663</v>
      </c>
      <c r="B107" s="520">
        <f>B103^2*Rs</f>
        <v>2.0239359877061824</v>
      </c>
      <c r="C107" t="s">
        <v>116</v>
      </c>
      <c r="D107" s="520">
        <f>D103^2*Rs_Ch2</f>
        <v>0.75860251235465181</v>
      </c>
      <c r="E107" t="s">
        <v>116</v>
      </c>
      <c r="I107" s="57"/>
    </row>
    <row r="108" spans="1:12" thickBot="1" x14ac:dyDescent="0.3">
      <c r="A108" s="60"/>
      <c r="B108" s="61"/>
      <c r="C108" s="61"/>
      <c r="D108" s="61"/>
      <c r="E108" s="118"/>
      <c r="F108" s="61"/>
      <c r="G108" s="61"/>
      <c r="H108" s="61"/>
      <c r="I108" s="62"/>
    </row>
    <row r="110" spans="1:12" ht="16" thickBot="1" x14ac:dyDescent="0.4">
      <c r="A110" s="534" t="s">
        <v>139</v>
      </c>
      <c r="D110" s="2"/>
    </row>
    <row r="111" spans="1:12" ht="12.5" x14ac:dyDescent="0.25">
      <c r="A111" s="211" t="s">
        <v>320</v>
      </c>
      <c r="B111" s="589">
        <f>Iripple_Vinmin/SQRT(12)</f>
        <v>1.0525219135844512</v>
      </c>
      <c r="C111" s="313" t="s">
        <v>1</v>
      </c>
      <c r="D111" s="589">
        <f>Iripple2_Vinmin/SQRT(12)</f>
        <v>2.6199646002769619</v>
      </c>
      <c r="E111" s="313" t="s">
        <v>1</v>
      </c>
      <c r="F111" s="117" t="s">
        <v>319</v>
      </c>
      <c r="G111" s="63"/>
      <c r="H111" s="63"/>
      <c r="I111" s="64"/>
      <c r="L111" s="4"/>
    </row>
    <row r="112" spans="1:12" ht="12.5" x14ac:dyDescent="0.25">
      <c r="A112" s="212" t="s">
        <v>321</v>
      </c>
      <c r="B112" s="520">
        <f>Iripple_Vinnom/SQRT(12)</f>
        <v>1.4740701823290154</v>
      </c>
      <c r="C112" s="114" t="s">
        <v>1</v>
      </c>
      <c r="D112" s="520">
        <f>Iripple2_Vinnom/SQRT(12)</f>
        <v>2.7052000134847973</v>
      </c>
      <c r="E112" s="114" t="s">
        <v>1</v>
      </c>
      <c r="F112" s="114"/>
      <c r="I112" s="57"/>
      <c r="L112" s="4"/>
    </row>
    <row r="113" spans="1:12" ht="12.5" x14ac:dyDescent="0.25">
      <c r="A113" s="212" t="s">
        <v>322</v>
      </c>
      <c r="B113" s="520">
        <f>Iripple_Vinmax/SQRT(12)</f>
        <v>1.6725526672249211</v>
      </c>
      <c r="C113" s="114" t="s">
        <v>1</v>
      </c>
      <c r="D113" s="520">
        <f>Iripple2_Vinmax/SQRT(12)</f>
        <v>2.7453265110990168</v>
      </c>
      <c r="E113" s="114" t="s">
        <v>1</v>
      </c>
      <c r="F113" s="114"/>
      <c r="I113" s="57"/>
      <c r="L113" s="4"/>
    </row>
    <row r="114" spans="1:12" ht="12.5" x14ac:dyDescent="0.25">
      <c r="A114" s="212" t="s">
        <v>558</v>
      </c>
      <c r="B114" s="520">
        <f>MAX(B111:B113)</f>
        <v>1.6725526672249211</v>
      </c>
      <c r="C114" s="114" t="s">
        <v>1</v>
      </c>
      <c r="D114" s="520">
        <f>MAX(D111:D113)</f>
        <v>2.7453265110990168</v>
      </c>
      <c r="E114" s="114" t="s">
        <v>1</v>
      </c>
      <c r="F114" s="114"/>
      <c r="I114" s="57"/>
      <c r="L114" s="4"/>
    </row>
    <row r="115" spans="1:12" ht="12.5" x14ac:dyDescent="0.25">
      <c r="A115" s="212"/>
      <c r="B115" s="48"/>
      <c r="C115" s="114"/>
      <c r="F115" s="114"/>
      <c r="I115" s="57"/>
      <c r="L115" s="4"/>
    </row>
    <row r="116" spans="1:12" ht="12.5" x14ac:dyDescent="0.25">
      <c r="A116" s="212" t="s">
        <v>21</v>
      </c>
      <c r="B116" s="413">
        <f>'Design Regulator'!E33/1000</f>
        <v>0.02</v>
      </c>
      <c r="C116" t="s">
        <v>0</v>
      </c>
      <c r="D116" s="317">
        <f>'Design Regulator'!J33/1000</f>
        <v>0.05</v>
      </c>
      <c r="E116" t="s">
        <v>0</v>
      </c>
      <c r="F116" s="114" t="s">
        <v>432</v>
      </c>
      <c r="I116" s="57"/>
    </row>
    <row r="117" spans="1:12" ht="12.5" x14ac:dyDescent="0.25">
      <c r="A117" s="212"/>
      <c r="B117" s="114"/>
      <c r="C117"/>
      <c r="F117" s="114"/>
      <c r="I117" s="57"/>
    </row>
    <row r="118" spans="1:12" ht="12.5" x14ac:dyDescent="0.25">
      <c r="A118" s="212" t="s">
        <v>415</v>
      </c>
      <c r="B118" s="412">
        <f>Vo1_ripple*1000</f>
        <v>20</v>
      </c>
      <c r="C118" s="114" t="s">
        <v>292</v>
      </c>
      <c r="D118" s="310">
        <f>Vo2_ripple*1000</f>
        <v>50</v>
      </c>
      <c r="E118" s="114" t="s">
        <v>292</v>
      </c>
      <c r="F118" s="114" t="s">
        <v>433</v>
      </c>
      <c r="I118" s="57"/>
      <c r="L118" s="4"/>
    </row>
    <row r="119" spans="1:12" x14ac:dyDescent="0.3">
      <c r="A119" s="56"/>
      <c r="B119" s="114"/>
      <c r="F119" s="114"/>
      <c r="I119" s="57"/>
    </row>
    <row r="120" spans="1:12" x14ac:dyDescent="0.3">
      <c r="A120" s="66" t="s">
        <v>22</v>
      </c>
      <c r="B120" s="422">
        <f>Iripple_Vinnom/(Fsw*8*Vo1_ripple)</f>
        <v>1.4506616191569167E-4</v>
      </c>
      <c r="C120" t="s">
        <v>24</v>
      </c>
      <c r="D120" s="422">
        <f>Iripple2_Vinnom/(Fsw*8*Vo2_ripple)</f>
        <v>1.0648963336344728E-4</v>
      </c>
      <c r="E120" t="s">
        <v>24</v>
      </c>
      <c r="F120" s="114" t="s">
        <v>813</v>
      </c>
      <c r="H120">
        <f>Vo2_ripple</f>
        <v>0.05</v>
      </c>
      <c r="I120" s="57">
        <v>1</v>
      </c>
      <c r="K120" s="1"/>
    </row>
    <row r="121" spans="1:12" x14ac:dyDescent="0.3">
      <c r="A121" s="212" t="s">
        <v>564</v>
      </c>
      <c r="B121" s="478">
        <f>IF(Cout_min*1000000&lt;2, 2.2,Cout_min*1000000)</f>
        <v>145.06616191569168</v>
      </c>
      <c r="C121" s="42" t="s">
        <v>23</v>
      </c>
      <c r="D121" s="478">
        <f>IF(Cout2_min*1000000&lt;2, 2.2,Cout2_min*1000000)</f>
        <v>106.48963336344728</v>
      </c>
      <c r="E121" s="42" t="s">
        <v>23</v>
      </c>
      <c r="I121" s="57"/>
      <c r="K121" s="1"/>
    </row>
    <row r="122" spans="1:12" ht="12.5" x14ac:dyDescent="0.25">
      <c r="A122" s="212" t="s">
        <v>25</v>
      </c>
      <c r="B122" s="423">
        <f>'Design Regulator'!E35/1000000</f>
        <v>2.04E-4</v>
      </c>
      <c r="C122" t="s">
        <v>24</v>
      </c>
      <c r="D122" s="423">
        <f>'Design Regulator'!J35/1000000</f>
        <v>1.2E-4</v>
      </c>
      <c r="E122" t="s">
        <v>24</v>
      </c>
      <c r="F122" s="114" t="s">
        <v>812</v>
      </c>
      <c r="I122" s="57">
        <v>1</v>
      </c>
    </row>
    <row r="123" spans="1:12" x14ac:dyDescent="0.3">
      <c r="A123" s="66" t="s">
        <v>48</v>
      </c>
      <c r="B123" s="479">
        <f>SQRT((Vo1_ripple/Iripple_Vinnom)^2-(1/(Fsw*Cout*8))^2)</f>
        <v>2.7537675762197462E-3</v>
      </c>
      <c r="C123" s="213" t="s">
        <v>116</v>
      </c>
      <c r="D123" s="479">
        <f>SQRT((Vo2_ripple/Iripple2_Vinnom)^2-(1/(Fsw*Cout2*8))^2)</f>
        <v>2.4595547028599097E-3</v>
      </c>
      <c r="E123" s="213" t="s">
        <v>116</v>
      </c>
      <c r="F123" s="114" t="s">
        <v>239</v>
      </c>
      <c r="I123" s="57">
        <v>1</v>
      </c>
    </row>
    <row r="124" spans="1:12" x14ac:dyDescent="0.3">
      <c r="A124" s="2"/>
      <c r="B124" s="523"/>
      <c r="C124" s="213"/>
      <c r="D124" s="523"/>
      <c r="E124" s="213"/>
      <c r="F124" s="114"/>
      <c r="I124" s="57"/>
    </row>
    <row r="125" spans="1:12" x14ac:dyDescent="0.3">
      <c r="A125" s="476" t="s">
        <v>514</v>
      </c>
      <c r="B125" s="477">
        <f>IF(OR(CoutEsrMax&gt;0.3, CoutEsrMax&lt;0, (ISERROR(CoutEsrMax))), "N/A", CoutEsrMax*1000)</f>
        <v>2.7537675762197464</v>
      </c>
      <c r="C125" s="45" t="s">
        <v>318</v>
      </c>
      <c r="D125" s="477">
        <f>IF(OR(Cout2EsrMax&gt;0.3, Cout2EsrMax&lt;0, (ISERROR(Cout2EsrMax))), "N/A", Cout2EsrMax*1000)</f>
        <v>2.4595547028599096</v>
      </c>
      <c r="E125" s="45" t="s">
        <v>318</v>
      </c>
      <c r="F125" s="114"/>
      <c r="I125" s="57"/>
    </row>
    <row r="126" spans="1:12" ht="12.5" x14ac:dyDescent="0.25">
      <c r="A126" s="212" t="s">
        <v>137</v>
      </c>
      <c r="B126" s="413">
        <f>'Design Regulator'!E37/1000</f>
        <v>2E-3</v>
      </c>
      <c r="C126" s="213" t="s">
        <v>116</v>
      </c>
      <c r="D126" s="413">
        <f>'Design Regulator'!J37/1000</f>
        <v>2E-3</v>
      </c>
      <c r="E126" s="213" t="s">
        <v>116</v>
      </c>
      <c r="F126" s="114" t="s">
        <v>240</v>
      </c>
      <c r="I126" s="57">
        <v>1</v>
      </c>
      <c r="K126" t="b">
        <f>ISERROR(CoutEsrMax)</f>
        <v>0</v>
      </c>
      <c r="L126" t="b">
        <f>ISERROR(B125)</f>
        <v>0</v>
      </c>
    </row>
    <row r="127" spans="1:12" ht="13.5" thickBot="1" x14ac:dyDescent="0.35">
      <c r="A127" s="381" t="s">
        <v>194</v>
      </c>
      <c r="B127" s="414">
        <f>Iripple_Vinnom*SQRT(Cout_ESR^2+(1/(8*Fsw*Cout))^2)</f>
        <v>1.7509099824748672E-2</v>
      </c>
      <c r="C127" s="105" t="s">
        <v>39</v>
      </c>
      <c r="D127" s="414">
        <f>Iripple2_Vinnom*SQRT(Cout2_ESR^2+(1/(8*Fsw*Cout2))^2)</f>
        <v>4.8166652732971042E-2</v>
      </c>
      <c r="E127" s="105" t="s">
        <v>39</v>
      </c>
      <c r="F127" s="61"/>
      <c r="G127" s="61"/>
      <c r="H127" s="61"/>
      <c r="I127" s="62"/>
      <c r="L127" t="b">
        <f>OR(CoutEsrMax&gt;0.3,CoutEsrMax&lt;0)</f>
        <v>0</v>
      </c>
    </row>
    <row r="128" spans="1:12" x14ac:dyDescent="0.3">
      <c r="K128" t="b">
        <f>OR(TRUE, FALSE, TRUE)</f>
        <v>1</v>
      </c>
    </row>
    <row r="129" spans="1:16" ht="16" thickBot="1" x14ac:dyDescent="0.4">
      <c r="A129" s="534" t="s">
        <v>140</v>
      </c>
    </row>
    <row r="130" spans="1:16" ht="15.5" x14ac:dyDescent="0.35">
      <c r="A130" s="95"/>
      <c r="B130" s="96"/>
      <c r="C130" s="316"/>
      <c r="D130" s="96"/>
      <c r="E130" s="96"/>
      <c r="F130" s="96"/>
      <c r="G130" s="96"/>
      <c r="H130" s="96"/>
      <c r="I130" s="97"/>
      <c r="K130" s="2" t="s">
        <v>836</v>
      </c>
    </row>
    <row r="131" spans="1:16" x14ac:dyDescent="0.3">
      <c r="A131" s="212" t="s">
        <v>556</v>
      </c>
      <c r="B131" s="112">
        <f>SQRT(D1_Vinmin_2*(Iout^2*(1-D1_Vinmin_2)+Iripple_Vinmin^2/12))</f>
        <v>28.259506987707997</v>
      </c>
      <c r="C131" s="93" t="s">
        <v>1</v>
      </c>
      <c r="D131" s="112">
        <f>SQRT(D2_Vinmin_2*(Iout2^2*(1-D2_Vinmin_2)+Iripple2_Vinmin^2/12))</f>
        <v>4.2995458075006718</v>
      </c>
      <c r="E131" s="93" t="s">
        <v>1</v>
      </c>
      <c r="F131" s="2" t="s">
        <v>837</v>
      </c>
      <c r="G131" s="360"/>
      <c r="H131" s="116"/>
      <c r="I131" s="99"/>
      <c r="K131" s="656">
        <f>SQRT(Iout^2*D1_Vinmin*(1-D1_Vinmin)+Iout2^2*D2_Vinmin*(1-D2_Vinmin)-2*Iout*Iout2*D1_Vinmin*D2_Vinmin)</f>
        <v>26.15126935521274</v>
      </c>
      <c r="L131" s="93" t="s">
        <v>1</v>
      </c>
      <c r="M131" s="305">
        <f>SQRT(Iout^2*D1_Vinmin*(1-D1_Vinmin)+Iout2^2*D2_Vinmin*(1-D2_Vinmin)-2*Iout*Iout2*(0.5-D2_Vinmin*(1-D1_Vinmin)))</f>
        <v>12.801909579781015</v>
      </c>
      <c r="N131" t="s">
        <v>1</v>
      </c>
    </row>
    <row r="132" spans="1:16" ht="12.5" x14ac:dyDescent="0.25">
      <c r="A132" s="212" t="s">
        <v>557</v>
      </c>
      <c r="B132" s="112">
        <f>SQRT(D1_Vinnom_2*(Iout^2*(1-D1_Vinnom_2)+Iripple_Vinnom^2/12))</f>
        <v>29.94603961413236</v>
      </c>
      <c r="C132" s="93" t="s">
        <v>1</v>
      </c>
      <c r="D132" s="112">
        <f>SQRT(D2_Vinnom_2*(Iout2^2*(1-D2_Vinnom_2)+Iripple2_Vinnom^2/12))</f>
        <v>3.9123559755625483</v>
      </c>
      <c r="E132" s="93" t="s">
        <v>1</v>
      </c>
      <c r="G132" s="360"/>
      <c r="I132" s="99"/>
      <c r="K132" s="305">
        <f>SQRT(Iout^2*D1_Vinnom*(1-D1_Vinnom)+Iout2^2*D2_Vinnom*(1-D2_Vinnom)-2*Iout*Iout2*D1_Vinnom*D2_Vinnom)</f>
        <v>28.720878971384021</v>
      </c>
      <c r="L132" s="93" t="s">
        <v>1</v>
      </c>
    </row>
    <row r="133" spans="1:16" ht="12.5" x14ac:dyDescent="0.25">
      <c r="A133" s="212" t="s">
        <v>835</v>
      </c>
      <c r="B133" s="112">
        <f>SQRT(D1_Vinmax_2*(Iout^2*(1-D1_Vinmax_2)+Iripple_Vinmax^2/12))</f>
        <v>29.975279153424935</v>
      </c>
      <c r="C133" s="93" t="s">
        <v>1</v>
      </c>
      <c r="D133" s="112">
        <f>SQRT(D2_Vinmax_2*(Iout2^2*(1-D2_Vinmax_2)+Iripple2_Vinmax^2/12))</f>
        <v>3.7042374507779221</v>
      </c>
      <c r="E133" s="93" t="s">
        <v>1</v>
      </c>
      <c r="G133" s="360"/>
      <c r="I133" s="99"/>
      <c r="K133" s="305">
        <f>SQRT(Iout^2*D1_Vinmax*(1-D1_Vinmax)+Iout2^2*D2_Vinmax*(1-D2_Vinmax)-2*Iout*Iout2*D1_Vinmax*D2_Vinmax)</f>
        <v>29.037620271011537</v>
      </c>
      <c r="L133" s="93" t="s">
        <v>1</v>
      </c>
    </row>
    <row r="134" spans="1:16" ht="12.5" x14ac:dyDescent="0.25">
      <c r="A134" s="212" t="s">
        <v>562</v>
      </c>
      <c r="B134" s="655">
        <f>MAX(B131:B133, D131:D133)</f>
        <v>29.975279153424935</v>
      </c>
      <c r="C134" s="42" t="s">
        <v>1</v>
      </c>
      <c r="I134" s="99"/>
      <c r="K134" s="657">
        <f>MAX(K131:K133)</f>
        <v>29.037620271011537</v>
      </c>
      <c r="L134" s="42" t="s">
        <v>1</v>
      </c>
    </row>
    <row r="135" spans="1:16" x14ac:dyDescent="0.3">
      <c r="A135" s="114"/>
      <c r="B135" s="658"/>
      <c r="C135" s="42"/>
      <c r="D135" s="2"/>
      <c r="F135">
        <f>Number_of_Phases*D1_Vinnom</f>
        <v>1.0666666666666667</v>
      </c>
      <c r="G135" t="s">
        <v>838</v>
      </c>
      <c r="I135" s="99"/>
      <c r="K135" s="657"/>
      <c r="L135" s="42"/>
      <c r="P135" s="4"/>
    </row>
    <row r="136" spans="1:16" x14ac:dyDescent="0.3">
      <c r="A136" s="114" t="s">
        <v>840</v>
      </c>
      <c r="B136" s="305">
        <f>Iout*SQRT((D1_Vinnom-F136/Number_of_Phases)*((F136+1)/Number_of_Phases-D1_Vinnom))</f>
        <v>7.4833147735478818</v>
      </c>
      <c r="C136" t="s">
        <v>1</v>
      </c>
      <c r="D136" s="2"/>
      <c r="F136">
        <f>FLOOR(Number_of_Phases*D1_Vinnom,1)</f>
        <v>1</v>
      </c>
      <c r="G136" t="s">
        <v>839</v>
      </c>
      <c r="I136" s="99"/>
      <c r="K136" s="657"/>
      <c r="L136" s="42"/>
      <c r="P136" s="4"/>
    </row>
    <row r="137" spans="1:16" ht="12.5" x14ac:dyDescent="0.25">
      <c r="A137" s="114" t="s">
        <v>842</v>
      </c>
      <c r="B137">
        <f>Iout/2/Number_of_Phases</f>
        <v>15</v>
      </c>
      <c r="C137" s="114" t="s">
        <v>1</v>
      </c>
      <c r="I137" s="99"/>
      <c r="K137" s="657"/>
      <c r="L137" s="42"/>
      <c r="P137" s="4"/>
    </row>
    <row r="138" spans="1:16" x14ac:dyDescent="0.3">
      <c r="A138" s="114" t="s">
        <v>841</v>
      </c>
      <c r="B138" s="659">
        <f>CHOOSE(MODE, B134, B137)</f>
        <v>15</v>
      </c>
      <c r="C138" s="42" t="s">
        <v>1</v>
      </c>
      <c r="D138" s="2" t="s">
        <v>585</v>
      </c>
      <c r="I138" s="99"/>
      <c r="K138" s="657"/>
      <c r="L138" s="42"/>
      <c r="P138" s="4"/>
    </row>
    <row r="139" spans="1:16" x14ac:dyDescent="0.3">
      <c r="A139" s="114"/>
      <c r="B139" s="658"/>
      <c r="C139" s="42"/>
      <c r="D139" s="2"/>
      <c r="I139" s="99"/>
      <c r="K139" s="657"/>
      <c r="L139" s="42"/>
      <c r="P139" s="4"/>
    </row>
    <row r="140" spans="1:16" ht="12.5" x14ac:dyDescent="0.25">
      <c r="A140" s="98" t="s">
        <v>220</v>
      </c>
      <c r="B140" s="317">
        <f>'Design Regulator'!E42/1000</f>
        <v>0.1</v>
      </c>
      <c r="C140" t="s">
        <v>39</v>
      </c>
      <c r="F140" s="114" t="s">
        <v>563</v>
      </c>
      <c r="I140" s="99"/>
    </row>
    <row r="141" spans="1:16" ht="12.5" x14ac:dyDescent="0.25">
      <c r="A141" s="114"/>
      <c r="B141" s="524"/>
      <c r="C141" s="93"/>
      <c r="G141" s="360"/>
      <c r="I141" s="99"/>
    </row>
    <row r="142" spans="1:16" ht="12.5" x14ac:dyDescent="0.25">
      <c r="A142" s="476" t="s">
        <v>572</v>
      </c>
      <c r="B142" s="531">
        <f>Iout/Number_of_Phases*D1_Vinmax*(1-D1_Vinmax)/(Vinripple1*Fsw)</f>
        <v>3.3972947467757154E-4</v>
      </c>
      <c r="C142" s="93" t="s">
        <v>24</v>
      </c>
      <c r="F142" s="114" t="s">
        <v>580</v>
      </c>
      <c r="I142" s="99"/>
      <c r="K142" s="8"/>
    </row>
    <row r="143" spans="1:16" ht="12.5" x14ac:dyDescent="0.25">
      <c r="A143" s="476" t="s">
        <v>576</v>
      </c>
      <c r="B143" s="532">
        <f>MAX(Iout/Number_of_Phases*0.5*(1-0.5)/(Vinripple1*Fsw), Iout2*0.5*(1-0.5)/(Vinripple1*Fsw))</f>
        <v>3.4090909090909094E-4</v>
      </c>
      <c r="C143" s="42" t="s">
        <v>24</v>
      </c>
      <c r="F143" s="114" t="s">
        <v>573</v>
      </c>
      <c r="G143" s="30"/>
      <c r="I143" s="99"/>
      <c r="K143" s="8"/>
    </row>
    <row r="144" spans="1:16" ht="12.5" x14ac:dyDescent="0.25">
      <c r="A144" s="476" t="s">
        <v>219</v>
      </c>
      <c r="B144" s="30">
        <f>IF(VIN_max&lt;2*Vout, B142,B143)</f>
        <v>3.4090909090909094E-4</v>
      </c>
      <c r="C144" s="42" t="s">
        <v>24</v>
      </c>
      <c r="G144" s="30"/>
      <c r="I144" s="99"/>
      <c r="K144" s="8"/>
    </row>
    <row r="145" spans="1:11" ht="12.5" x14ac:dyDescent="0.25">
      <c r="A145" s="476" t="s">
        <v>513</v>
      </c>
      <c r="B145" s="654">
        <f>IF(Cinmin*1000000&lt;10, 10,Cinmin*1000000)</f>
        <v>340.90909090909093</v>
      </c>
      <c r="C145" s="42" t="s">
        <v>23</v>
      </c>
      <c r="F145" s="114" t="s">
        <v>585</v>
      </c>
      <c r="I145" s="99"/>
    </row>
    <row r="146" spans="1:11" ht="12.5" x14ac:dyDescent="0.25">
      <c r="A146" s="100" t="s">
        <v>57</v>
      </c>
      <c r="B146" s="424">
        <f>'Design Regulator'!E44/1000000</f>
        <v>1.328E-3</v>
      </c>
      <c r="C146" s="93" t="s">
        <v>24</v>
      </c>
      <c r="F146" t="s">
        <v>147</v>
      </c>
      <c r="I146" s="99"/>
    </row>
    <row r="147" spans="1:11" ht="12.5" x14ac:dyDescent="0.25">
      <c r="A147" s="476" t="s">
        <v>574</v>
      </c>
      <c r="B147" s="307">
        <f>-(Iout/Number_of_Phases*D1_Vinmax*(1-D1_Vinmax)/(Cin*Fsw)-Vinripple1)/(Iout/Number_of_Phases+Iripple_Vinmax/2)</f>
        <v>2.262154085559302E-3</v>
      </c>
      <c r="C147" s="213" t="s">
        <v>116</v>
      </c>
      <c r="I147" s="99"/>
    </row>
    <row r="148" spans="1:11" ht="12.5" x14ac:dyDescent="0.25">
      <c r="A148" s="476" t="s">
        <v>575</v>
      </c>
      <c r="B148" s="307">
        <f>-(Iout/Number_of_Phases*0.5*(1-0.5)/(Cin*Fsw)-Vinripple1)/(Iout/Number_of_Phases+Iripple_Vinmax/2)</f>
        <v>2.2594539405998509E-3</v>
      </c>
      <c r="C148" s="213" t="s">
        <v>116</v>
      </c>
      <c r="F148" s="114" t="s">
        <v>581</v>
      </c>
      <c r="I148" s="99"/>
    </row>
    <row r="149" spans="1:11" ht="12.5" x14ac:dyDescent="0.25">
      <c r="A149" s="476" t="s">
        <v>221</v>
      </c>
      <c r="B149" s="307">
        <f>IF(VIN_max&lt;2*Vout, B147,B148)</f>
        <v>2.2594539405998509E-3</v>
      </c>
      <c r="C149" s="213" t="s">
        <v>116</v>
      </c>
      <c r="I149" s="99"/>
    </row>
    <row r="150" spans="1:11" x14ac:dyDescent="0.3">
      <c r="A150" s="476" t="s">
        <v>515</v>
      </c>
      <c r="B150" s="522">
        <f>IF(OR(CinEsrMax&gt;0.3, CinEsrMax&lt;0), "N/A",CinEsrMax*1000)</f>
        <v>2.2594539405998511</v>
      </c>
      <c r="C150" s="45" t="s">
        <v>318</v>
      </c>
      <c r="F150" t="s">
        <v>585</v>
      </c>
      <c r="I150" s="99"/>
    </row>
    <row r="151" spans="1:11" ht="12.5" x14ac:dyDescent="0.25">
      <c r="A151" s="100" t="s">
        <v>86</v>
      </c>
      <c r="B151" s="94">
        <f>'Design Regulator'!E46/1000</f>
        <v>1.5E-3</v>
      </c>
      <c r="C151" s="213" t="s">
        <v>116</v>
      </c>
      <c r="F151" s="114" t="s">
        <v>241</v>
      </c>
      <c r="I151" s="99"/>
    </row>
    <row r="152" spans="1:11" x14ac:dyDescent="0.3">
      <c r="F152" s="114"/>
      <c r="I152" s="99"/>
      <c r="K152" s="311"/>
    </row>
    <row r="153" spans="1:11" ht="12.5" x14ac:dyDescent="0.25">
      <c r="A153" s="476" t="s">
        <v>577</v>
      </c>
      <c r="B153" s="393">
        <f>Iout/Number_of_Phases*D1_Vinmax_2*(1-D1_Vinmax_2)/(Cin*Fsw)+(Iout/Number_of_Phases +Iripple_Vinmax/2)*RCinEsr</f>
        <v>7.4936325725062036E-2</v>
      </c>
      <c r="C153" s="93" t="s">
        <v>39</v>
      </c>
      <c r="I153" s="99"/>
    </row>
    <row r="154" spans="1:11" ht="12.5" x14ac:dyDescent="0.25">
      <c r="A154" s="476" t="s">
        <v>578</v>
      </c>
      <c r="B154" s="393">
        <f>Iout/Number_of_Phases*0.5*(1-0.5)/(Cin*Fsw)+(Iout/Number_of_Phases +Iripple_Vinmax/2)*RCinEsr</f>
        <v>7.5016284576251618E-2</v>
      </c>
      <c r="C154" s="93" t="s">
        <v>39</v>
      </c>
      <c r="F154" s="114" t="s">
        <v>579</v>
      </c>
      <c r="I154" s="99"/>
    </row>
    <row r="155" spans="1:11" ht="12.5" x14ac:dyDescent="0.25">
      <c r="A155" s="476" t="s">
        <v>222</v>
      </c>
      <c r="B155" s="393">
        <f>IF(VIN_max&lt;2*Vout, B153,B154)</f>
        <v>7.5016284576251618E-2</v>
      </c>
      <c r="C155" s="93" t="s">
        <v>39</v>
      </c>
      <c r="F155" s="114" t="s">
        <v>584</v>
      </c>
      <c r="I155" s="99"/>
    </row>
    <row r="156" spans="1:11" ht="12.5" x14ac:dyDescent="0.25">
      <c r="A156" s="100"/>
      <c r="B156" s="533"/>
      <c r="C156" s="93"/>
      <c r="I156" s="99"/>
    </row>
    <row r="157" spans="1:11" thickBot="1" x14ac:dyDescent="0.3">
      <c r="A157" s="101"/>
      <c r="B157" s="394">
        <f>Iout*D1_Vinmax_2*(1-D1_Vinmax_2)/(Cin*Fsw)</f>
        <v>5.1181812856218839E-2</v>
      </c>
      <c r="C157" s="318" t="s">
        <v>39</v>
      </c>
      <c r="D157" s="102"/>
      <c r="E157" s="103"/>
      <c r="F157" s="103"/>
      <c r="G157" s="103"/>
      <c r="H157" s="103"/>
      <c r="I157" s="104"/>
    </row>
    <row r="159" spans="1:11" ht="16" thickBot="1" x14ac:dyDescent="0.4">
      <c r="A159" s="525" t="s">
        <v>583</v>
      </c>
    </row>
    <row r="160" spans="1:11" ht="12.5" x14ac:dyDescent="0.25">
      <c r="A160" s="90" t="s">
        <v>150</v>
      </c>
      <c r="B160" s="12">
        <f>'Design Regulator'!E51/1000</f>
        <v>3.0000000000000001E-3</v>
      </c>
      <c r="C160" s="63" t="s">
        <v>133</v>
      </c>
      <c r="D160" s="117" t="s">
        <v>435</v>
      </c>
      <c r="E160" s="63"/>
      <c r="F160" s="63"/>
      <c r="G160" s="63"/>
      <c r="H160" s="63"/>
      <c r="I160" s="64"/>
    </row>
    <row r="161" spans="1:9" ht="12.5" x14ac:dyDescent="0.25">
      <c r="A161" s="56" t="s">
        <v>151</v>
      </c>
      <c r="B161" s="68">
        <f>Cout*Vout/Tss</f>
        <v>1.6320000000000001</v>
      </c>
      <c r="C161" t="s">
        <v>1</v>
      </c>
      <c r="D161" s="114" t="s">
        <v>434</v>
      </c>
      <c r="I161" s="57"/>
    </row>
    <row r="162" spans="1:9" ht="12.5" x14ac:dyDescent="0.25">
      <c r="A162" s="56" t="s">
        <v>152</v>
      </c>
      <c r="B162" s="425">
        <f>0.00002*Tss/0.6</f>
        <v>1.0000000000000002E-7</v>
      </c>
      <c r="C162" t="s">
        <v>24</v>
      </c>
      <c r="I162" s="57"/>
    </row>
    <row r="163" spans="1:9" thickBot="1" x14ac:dyDescent="0.3">
      <c r="A163" s="60" t="s">
        <v>164</v>
      </c>
      <c r="B163" s="426">
        <f>'Standard Value Calculator'!B4</f>
        <v>9.9999999999999995E-8</v>
      </c>
      <c r="C163" s="61" t="s">
        <v>24</v>
      </c>
      <c r="D163" s="61"/>
      <c r="E163" s="61"/>
      <c r="F163" s="61"/>
      <c r="G163" s="61"/>
      <c r="H163" s="61"/>
      <c r="I163" s="62"/>
    </row>
    <row r="165" spans="1:9" ht="16" thickBot="1" x14ac:dyDescent="0.4">
      <c r="A165" s="525" t="s">
        <v>680</v>
      </c>
    </row>
    <row r="166" spans="1:9" ht="12.75" customHeight="1" x14ac:dyDescent="0.25">
      <c r="A166" s="211" t="s">
        <v>681</v>
      </c>
      <c r="B166" s="591">
        <f>'Design Regulator'!E53/1000</f>
        <v>0.03</v>
      </c>
      <c r="C166" s="63" t="s">
        <v>133</v>
      </c>
      <c r="D166" s="117" t="s">
        <v>686</v>
      </c>
      <c r="E166" s="63"/>
      <c r="F166" s="63"/>
      <c r="G166" s="63"/>
      <c r="H166" s="63"/>
      <c r="I166" s="64"/>
    </row>
    <row r="167" spans="1:9" ht="12.75" customHeight="1" x14ac:dyDescent="0.25">
      <c r="A167" s="212" t="s">
        <v>682</v>
      </c>
      <c r="B167" s="425">
        <f>0.00002*Tres/1.2</f>
        <v>5.0000000000000008E-7</v>
      </c>
      <c r="C167" t="s">
        <v>24</v>
      </c>
      <c r="I167" s="57"/>
    </row>
    <row r="168" spans="1:9" ht="12.75" customHeight="1" x14ac:dyDescent="0.3">
      <c r="A168" s="212" t="s">
        <v>683</v>
      </c>
      <c r="B168" s="592">
        <f>'Standard Value Calculator'!G4</f>
        <v>4.7E-7</v>
      </c>
      <c r="C168" t="s">
        <v>24</v>
      </c>
      <c r="F168" s="45"/>
      <c r="G168" s="44"/>
      <c r="H168" s="44"/>
      <c r="I168" s="57"/>
    </row>
    <row r="169" spans="1:9" ht="12.75" customHeight="1" x14ac:dyDescent="0.25">
      <c r="B169" s="44"/>
      <c r="C169"/>
      <c r="I169" s="57"/>
    </row>
    <row r="170" spans="1:9" ht="12.75" customHeight="1" x14ac:dyDescent="0.4">
      <c r="A170" s="212" t="s">
        <v>685</v>
      </c>
      <c r="B170" s="44">
        <v>100</v>
      </c>
      <c r="C170" s="45" t="s">
        <v>242</v>
      </c>
      <c r="I170" s="57"/>
    </row>
    <row r="171" spans="1:9" ht="12.75" customHeight="1" x14ac:dyDescent="0.4">
      <c r="A171" s="212" t="s">
        <v>690</v>
      </c>
      <c r="B171" s="44"/>
      <c r="C171" s="213" t="s">
        <v>116</v>
      </c>
      <c r="E171" s="114" t="s">
        <v>691</v>
      </c>
      <c r="I171" s="57"/>
    </row>
    <row r="172" spans="1:9" ht="12.75" customHeight="1" x14ac:dyDescent="0.25">
      <c r="A172" s="557" t="s">
        <v>688</v>
      </c>
      <c r="B172" s="44"/>
      <c r="C172" s="213" t="s">
        <v>116</v>
      </c>
      <c r="D172" s="379"/>
      <c r="E172" s="114" t="s">
        <v>689</v>
      </c>
      <c r="I172" s="57"/>
    </row>
    <row r="173" spans="1:9" ht="12.75" customHeight="1" x14ac:dyDescent="0.25">
      <c r="A173" s="557" t="s">
        <v>687</v>
      </c>
      <c r="B173" s="44"/>
      <c r="C173" s="213" t="s">
        <v>116</v>
      </c>
      <c r="D173" s="379"/>
      <c r="E173" s="114" t="s">
        <v>624</v>
      </c>
      <c r="I173" s="57"/>
    </row>
    <row r="174" spans="1:9" ht="12.75" customHeight="1" x14ac:dyDescent="0.25">
      <c r="A174" s="212"/>
      <c r="B174" s="44"/>
      <c r="C174" s="213"/>
      <c r="I174" s="57"/>
    </row>
    <row r="175" spans="1:9" ht="12.75" customHeight="1" x14ac:dyDescent="0.25">
      <c r="A175" s="212" t="s">
        <v>548</v>
      </c>
      <c r="B175" s="392">
        <f>'Design Regulator'!E55*1000</f>
        <v>9000</v>
      </c>
      <c r="C175" s="114" t="s">
        <v>9</v>
      </c>
      <c r="I175" s="57"/>
    </row>
    <row r="176" spans="1:9" ht="12.75" customHeight="1" x14ac:dyDescent="0.25">
      <c r="A176" s="212" t="s">
        <v>324</v>
      </c>
      <c r="B176" s="391">
        <f>10*10^-6/Fdither/0.12</f>
        <v>9.2592592592592591E-9</v>
      </c>
      <c r="C176" s="114" t="s">
        <v>24</v>
      </c>
      <c r="I176" s="57"/>
    </row>
    <row r="177" spans="1:14" ht="12.75" customHeight="1" x14ac:dyDescent="0.25">
      <c r="A177" s="212" t="s">
        <v>325</v>
      </c>
      <c r="B177" s="391">
        <f>'Standard Value Calculator'!O22</f>
        <v>1E-8</v>
      </c>
      <c r="C177" s="114" t="s">
        <v>24</v>
      </c>
      <c r="I177" s="57"/>
    </row>
    <row r="178" spans="1:14" ht="12.75" customHeight="1" thickBot="1" x14ac:dyDescent="0.35">
      <c r="A178" s="60"/>
      <c r="B178" s="70"/>
      <c r="C178" s="295"/>
      <c r="D178" s="61"/>
      <c r="E178" s="61"/>
      <c r="F178" s="61"/>
      <c r="G178" s="61"/>
      <c r="H178" s="61"/>
      <c r="I178" s="62"/>
    </row>
    <row r="179" spans="1:14" x14ac:dyDescent="0.3">
      <c r="B179" s="44"/>
      <c r="C179" s="296"/>
    </row>
    <row r="180" spans="1:14" ht="16" thickBot="1" x14ac:dyDescent="0.4">
      <c r="A180" s="525" t="s">
        <v>582</v>
      </c>
    </row>
    <row r="181" spans="1:14" x14ac:dyDescent="0.3">
      <c r="A181" s="374" t="s">
        <v>38</v>
      </c>
      <c r="B181" s="375">
        <v>3.1415926500000002</v>
      </c>
      <c r="C181" s="376"/>
      <c r="D181" s="377" t="s">
        <v>377</v>
      </c>
      <c r="E181" s="63"/>
      <c r="F181" s="63"/>
      <c r="G181" s="63"/>
      <c r="H181" s="63"/>
      <c r="I181" s="64"/>
    </row>
    <row r="182" spans="1:14" x14ac:dyDescent="0.3">
      <c r="A182" s="114" t="s">
        <v>387</v>
      </c>
      <c r="B182" s="114">
        <v>12</v>
      </c>
      <c r="C182" s="46"/>
      <c r="D182" s="213"/>
      <c r="I182" s="57"/>
    </row>
    <row r="183" spans="1:14" ht="12.5" x14ac:dyDescent="0.25">
      <c r="A183" s="114" t="s">
        <v>366</v>
      </c>
      <c r="B183">
        <f>Rs*CSAmp_gain</f>
        <v>2.64E-2</v>
      </c>
      <c r="C183" s="213" t="s">
        <v>116</v>
      </c>
      <c r="D183">
        <f>Rs_Ch2*CSAmp_gain</f>
        <v>4.8000000000000001E-2</v>
      </c>
      <c r="E183" s="213" t="s">
        <v>116</v>
      </c>
      <c r="F183" s="114" t="s">
        <v>382</v>
      </c>
      <c r="I183" s="57"/>
    </row>
    <row r="184" spans="1:14" ht="12.5" x14ac:dyDescent="0.25">
      <c r="A184" s="114" t="s">
        <v>347</v>
      </c>
      <c r="B184" s="373">
        <v>1.1999999999999999E-3</v>
      </c>
      <c r="C184" s="114" t="s">
        <v>66</v>
      </c>
      <c r="F184" s="114" t="s">
        <v>367</v>
      </c>
      <c r="I184" s="57"/>
    </row>
    <row r="185" spans="1:14" ht="12.5" x14ac:dyDescent="0.25">
      <c r="A185" s="114"/>
      <c r="B185" s="114"/>
      <c r="C185" s="114"/>
      <c r="F185" s="114"/>
      <c r="I185" s="57"/>
    </row>
    <row r="186" spans="1:14" x14ac:dyDescent="0.3">
      <c r="A186" s="114" t="s">
        <v>451</v>
      </c>
      <c r="B186" s="558">
        <f>B190/Ri*1000</f>
        <v>2424242.4242424243</v>
      </c>
      <c r="C186" s="493" t="s">
        <v>368</v>
      </c>
      <c r="D186" s="558">
        <f>B190/Ri_Ch2*1000</f>
        <v>1333333.3333333333</v>
      </c>
      <c r="E186" s="493" t="s">
        <v>368</v>
      </c>
      <c r="F186" s="493" t="s">
        <v>388</v>
      </c>
      <c r="H186" s="4"/>
      <c r="I186" s="57"/>
    </row>
    <row r="187" spans="1:14" x14ac:dyDescent="0.3">
      <c r="A187" s="114" t="s">
        <v>369</v>
      </c>
      <c r="B187" s="558">
        <f>(Vin-Vout)/Lf</f>
        <v>2100000</v>
      </c>
      <c r="C187" s="493" t="s">
        <v>368</v>
      </c>
      <c r="D187" s="558">
        <f>(Vin-Vout2)/Lo_2</f>
        <v>18181818.18181818</v>
      </c>
      <c r="E187" s="493" t="s">
        <v>368</v>
      </c>
      <c r="F187" s="493" t="s">
        <v>370</v>
      </c>
      <c r="H187" s="4"/>
      <c r="I187" s="57"/>
    </row>
    <row r="188" spans="1:14" x14ac:dyDescent="0.3">
      <c r="A188" s="114" t="s">
        <v>386</v>
      </c>
      <c r="B188" s="558">
        <f>Vout/Lf</f>
        <v>2400000</v>
      </c>
      <c r="C188" s="493" t="s">
        <v>368</v>
      </c>
      <c r="D188" s="558">
        <f>Vout2/Lo_2</f>
        <v>2272727.2727272725</v>
      </c>
      <c r="E188" s="493" t="s">
        <v>368</v>
      </c>
      <c r="F188" s="493" t="s">
        <v>385</v>
      </c>
      <c r="H188" s="4"/>
      <c r="I188" s="57"/>
    </row>
    <row r="189" spans="1:14" x14ac:dyDescent="0.3">
      <c r="A189" s="114"/>
      <c r="B189" s="378"/>
      <c r="C189" s="362"/>
      <c r="F189" s="362"/>
      <c r="I189" s="57"/>
      <c r="K189" s="114" t="s">
        <v>827</v>
      </c>
      <c r="L189" s="114" t="s">
        <v>846</v>
      </c>
      <c r="M189" s="114" t="s">
        <v>847</v>
      </c>
    </row>
    <row r="190" spans="1:14" x14ac:dyDescent="0.3">
      <c r="A190" s="114" t="s">
        <v>389</v>
      </c>
      <c r="B190" s="386">
        <f>(Fsw/1000)/220*64</f>
        <v>64</v>
      </c>
      <c r="C190" s="387" t="s">
        <v>425</v>
      </c>
      <c r="D190" s="386"/>
      <c r="E190" s="387"/>
      <c r="F190" s="387" t="s">
        <v>397</v>
      </c>
      <c r="I190" s="57"/>
      <c r="K190" s="114">
        <f>Ts</f>
        <v>4.5454545454545455E-6</v>
      </c>
      <c r="L190" s="360">
        <f>Ts*1000000</f>
        <v>4.5454545454545459</v>
      </c>
      <c r="M190">
        <f>B190*L190</f>
        <v>290.90909090909093</v>
      </c>
      <c r="N190" s="114" t="s">
        <v>292</v>
      </c>
    </row>
    <row r="191" spans="1:14" x14ac:dyDescent="0.3">
      <c r="A191" s="114" t="s">
        <v>395</v>
      </c>
      <c r="B191" s="386">
        <f>Sn*Ri/1000</f>
        <v>55.44</v>
      </c>
      <c r="C191" s="387" t="s">
        <v>425</v>
      </c>
      <c r="D191" s="386">
        <f>Sn_Ch2*Ri_Ch2/1000</f>
        <v>872.72727272727275</v>
      </c>
      <c r="E191" s="387" t="s">
        <v>425</v>
      </c>
      <c r="F191" s="387" t="s">
        <v>398</v>
      </c>
      <c r="I191" s="57"/>
    </row>
    <row r="192" spans="1:14" x14ac:dyDescent="0.3">
      <c r="A192" s="114" t="s">
        <v>396</v>
      </c>
      <c r="B192" s="386">
        <f>Sf*Ri/1000</f>
        <v>63.36</v>
      </c>
      <c r="C192" s="387" t="s">
        <v>425</v>
      </c>
      <c r="D192" s="386">
        <f>Sf_Ch2*Ri_Ch2/1000</f>
        <v>109.09090909090909</v>
      </c>
      <c r="E192" s="387" t="s">
        <v>425</v>
      </c>
      <c r="F192" s="387" t="s">
        <v>398</v>
      </c>
      <c r="I192" s="57"/>
    </row>
    <row r="193" spans="1:9" x14ac:dyDescent="0.3">
      <c r="A193" s="114"/>
      <c r="B193" s="386"/>
      <c r="C193" s="387"/>
      <c r="D193" s="387"/>
      <c r="I193" s="57"/>
    </row>
    <row r="194" spans="1:9" ht="12.5" x14ac:dyDescent="0.25">
      <c r="A194" s="114" t="s">
        <v>423</v>
      </c>
      <c r="B194" s="360">
        <f>1+Se_ext/Sn</f>
        <v>2.1544011544011545</v>
      </c>
      <c r="C194"/>
      <c r="D194" s="360">
        <f>1+Se_ext_Ch2/Sn_Ch2</f>
        <v>1.0733333333333333</v>
      </c>
      <c r="F194" s="114" t="s">
        <v>700</v>
      </c>
      <c r="I194" s="57"/>
    </row>
    <row r="195" spans="1:9" x14ac:dyDescent="0.3">
      <c r="A195" s="114" t="s">
        <v>424</v>
      </c>
      <c r="B195" s="380">
        <f>mc_buck*(1-D1_Vinnom_2)</f>
        <v>1.0019069674242089</v>
      </c>
      <c r="C195" s="362"/>
      <c r="D195" s="380">
        <f>mc_buck_Ch2*(1-D2_Vinnom_2)</f>
        <v>0.95162789321020524</v>
      </c>
      <c r="F195" s="362" t="s">
        <v>701</v>
      </c>
      <c r="I195" s="57"/>
    </row>
    <row r="196" spans="1:9" x14ac:dyDescent="0.3">
      <c r="A196" s="2"/>
      <c r="B196" s="395"/>
      <c r="C196" s="362"/>
      <c r="D196" s="362"/>
      <c r="I196" s="57"/>
    </row>
    <row r="197" spans="1:9" x14ac:dyDescent="0.3">
      <c r="A197" s="2" t="s">
        <v>371</v>
      </c>
      <c r="B197" s="380">
        <f>1+Se_ext/Sn</f>
        <v>2.1544011544011545</v>
      </c>
      <c r="C197" s="362"/>
      <c r="D197" s="380">
        <f>1+Se_ext_Ch2/Sn_Ch2</f>
        <v>1.0733333333333333</v>
      </c>
      <c r="I197" s="57"/>
    </row>
    <row r="198" spans="1:9" x14ac:dyDescent="0.3">
      <c r="A198" s="2" t="s">
        <v>346</v>
      </c>
      <c r="B198" s="421">
        <f>mc_buck*(1-D1_Vinnom_2)</f>
        <v>1.0019069674242089</v>
      </c>
      <c r="C198" s="362"/>
      <c r="D198" s="421">
        <f>mc_buck_Ch2*(1-D2_Vinnom_2)</f>
        <v>0.95162789321020524</v>
      </c>
      <c r="I198" s="57"/>
    </row>
    <row r="199" spans="1:9" ht="12.5" x14ac:dyDescent="0.25">
      <c r="A199" s="114" t="s">
        <v>27</v>
      </c>
      <c r="B199" s="360">
        <f>1/Pi/(k-0.5)</f>
        <v>0.63420097190736746</v>
      </c>
      <c r="C199"/>
      <c r="D199" s="360">
        <f>1/Pi/(k_Ch2-0.5)</f>
        <v>0.7048056405129054</v>
      </c>
      <c r="F199" s="114" t="s">
        <v>380</v>
      </c>
      <c r="H199" s="114" t="s">
        <v>391</v>
      </c>
      <c r="I199" s="57"/>
    </row>
    <row r="200" spans="1:9" ht="12.5" x14ac:dyDescent="0.25">
      <c r="A200" s="114"/>
      <c r="B200" s="360"/>
      <c r="C200"/>
      <c r="D200" s="114"/>
      <c r="F200" s="114"/>
      <c r="I200" s="57"/>
    </row>
    <row r="201" spans="1:9" x14ac:dyDescent="0.3">
      <c r="A201" s="362" t="s">
        <v>426</v>
      </c>
      <c r="B201" s="360"/>
      <c r="C201"/>
      <c r="D201" s="114"/>
      <c r="I201" s="57"/>
    </row>
    <row r="202" spans="1:9" ht="12.5" x14ac:dyDescent="0.25">
      <c r="A202" s="114" t="s">
        <v>372</v>
      </c>
      <c r="B202" s="373">
        <v>30</v>
      </c>
      <c r="C202" s="114" t="s">
        <v>181</v>
      </c>
      <c r="F202" s="114" t="s">
        <v>456</v>
      </c>
      <c r="I202" s="57"/>
    </row>
    <row r="203" spans="1:9" ht="12.5" x14ac:dyDescent="0.25">
      <c r="A203" s="114" t="s">
        <v>373</v>
      </c>
      <c r="B203" s="663">
        <f>gm/(2*Pi*GBW*1000000)</f>
        <v>6.3661977309502546E-12</v>
      </c>
      <c r="C203" s="114" t="s">
        <v>24</v>
      </c>
      <c r="F203" s="114" t="s">
        <v>455</v>
      </c>
      <c r="I203" s="57"/>
    </row>
    <row r="204" spans="1:9" ht="12.5" x14ac:dyDescent="0.25">
      <c r="A204" s="114" t="s">
        <v>374</v>
      </c>
      <c r="B204" s="596">
        <v>64000000</v>
      </c>
      <c r="C204" s="213" t="s">
        <v>116</v>
      </c>
      <c r="F204" s="114" t="s">
        <v>454</v>
      </c>
      <c r="I204" s="57"/>
    </row>
    <row r="205" spans="1:9" x14ac:dyDescent="0.3">
      <c r="A205" s="2" t="s">
        <v>375</v>
      </c>
      <c r="B205" s="309">
        <f>gm*RoEA</f>
        <v>76800</v>
      </c>
      <c r="C205" s="114" t="s">
        <v>28</v>
      </c>
      <c r="F205" s="114" t="s">
        <v>453</v>
      </c>
      <c r="I205" s="57"/>
    </row>
    <row r="206" spans="1:9" x14ac:dyDescent="0.3">
      <c r="A206" s="2" t="s">
        <v>376</v>
      </c>
      <c r="B206" s="4">
        <f>Vref/Vout</f>
        <v>2.4999999999999998E-2</v>
      </c>
      <c r="C206" s="114" t="s">
        <v>28</v>
      </c>
      <c r="D206" s="4">
        <f>Vref/Vout2</f>
        <v>0.12</v>
      </c>
      <c r="E206" s="114" t="s">
        <v>28</v>
      </c>
      <c r="F206" s="114" t="s">
        <v>452</v>
      </c>
      <c r="I206" s="57"/>
    </row>
    <row r="207" spans="1:9" x14ac:dyDescent="0.3">
      <c r="A207" s="2" t="s">
        <v>331</v>
      </c>
      <c r="B207" s="395">
        <f>1/Ri</f>
        <v>37.878787878787882</v>
      </c>
      <c r="C207" s="114"/>
      <c r="D207" s="395">
        <f>1/Ri_Ch2</f>
        <v>20.833333333333332</v>
      </c>
      <c r="E207" s="114"/>
      <c r="F207" s="114" t="s">
        <v>381</v>
      </c>
      <c r="I207" s="57"/>
    </row>
    <row r="208" spans="1:9" x14ac:dyDescent="0.3">
      <c r="A208" s="2" t="s">
        <v>417</v>
      </c>
      <c r="B208" s="4">
        <f>(Ro/Number_of_Phases)/Ri/((1+Ro/Number_of_Phases*(k-0.5)/(Fsw*Lf)))</f>
        <v>7.2451753930327083</v>
      </c>
      <c r="C208" s="4"/>
      <c r="D208" s="4">
        <f>Ro_Ch2/Ri_Ch2/((1+Ro_Ch2*(k_Ch2-0.5)/(Fsw*Lo_2)))</f>
        <v>6.2504084982489605</v>
      </c>
      <c r="I208" s="57"/>
    </row>
    <row r="209" spans="1:9" x14ac:dyDescent="0.3">
      <c r="A209" s="2" t="s">
        <v>336</v>
      </c>
      <c r="B209" s="4">
        <f>(Ro*Number_of_Phases)/Ri/((1+Ro*Number_of_Phases*(k-0.5)/(Fsw*Lf)))</f>
        <v>25.625989355821126</v>
      </c>
      <c r="C209" s="4"/>
      <c r="D209" s="4">
        <f>Ro_Ch2/Ri_Ch2/((1+Ro_Ch2*(k_Ch2-0.5)/(Fsw*Lo_2)))</f>
        <v>6.2504084982489605</v>
      </c>
      <c r="F209" s="362" t="s">
        <v>798</v>
      </c>
      <c r="I209" s="57"/>
    </row>
    <row r="210" spans="1:9" x14ac:dyDescent="0.3">
      <c r="A210" s="2"/>
      <c r="B210" s="4"/>
      <c r="C210"/>
      <c r="D210" s="362"/>
      <c r="I210" s="57"/>
    </row>
    <row r="211" spans="1:9" ht="12.5" x14ac:dyDescent="0.25">
      <c r="A211" s="114" t="s">
        <v>799</v>
      </c>
      <c r="B211" s="4">
        <f>2*Pi*Ri/gm</f>
        <v>138.23007660000002</v>
      </c>
      <c r="C211"/>
      <c r="F211" s="114" t="s">
        <v>457</v>
      </c>
      <c r="I211" s="57"/>
    </row>
    <row r="212" spans="1:9" x14ac:dyDescent="0.3">
      <c r="A212" s="362" t="s">
        <v>418</v>
      </c>
      <c r="B212" s="4"/>
      <c r="C212"/>
      <c r="F212" s="114"/>
      <c r="I212" s="57"/>
    </row>
    <row r="213" spans="1:9" x14ac:dyDescent="0.3">
      <c r="A213" s="362"/>
      <c r="B213" s="4"/>
      <c r="C213"/>
      <c r="F213" s="114"/>
      <c r="I213" s="57"/>
    </row>
    <row r="214" spans="1:9" ht="12.5" x14ac:dyDescent="0.25">
      <c r="A214" s="212" t="s">
        <v>42</v>
      </c>
      <c r="B214" s="395">
        <f>Rout</f>
        <v>0.4</v>
      </c>
      <c r="C214" s="213" t="s">
        <v>116</v>
      </c>
      <c r="D214" s="360">
        <f>Rout2</f>
        <v>0.41666666666666669</v>
      </c>
      <c r="E214" s="213" t="s">
        <v>116</v>
      </c>
      <c r="F214" s="114" t="s">
        <v>271</v>
      </c>
      <c r="I214" s="57"/>
    </row>
    <row r="215" spans="1:9" ht="12.5" x14ac:dyDescent="0.25">
      <c r="A215" s="114"/>
      <c r="B215" s="114"/>
      <c r="C215" s="213"/>
      <c r="D215" s="114"/>
      <c r="I215" s="57"/>
    </row>
    <row r="216" spans="1:9" ht="12.5" x14ac:dyDescent="0.25">
      <c r="A216" s="114" t="s">
        <v>412</v>
      </c>
      <c r="B216" s="385">
        <f>1/(2*Pi*Ro*Cout)+(k-0.5)/(2*Pi*Fsw*Lf*Cout/Number_of_Phases)</f>
        <v>2306.4040504988106</v>
      </c>
      <c r="C216" t="s">
        <v>9</v>
      </c>
      <c r="D216" s="385">
        <f>1/(2*Pi*Ro_Ch2*Cout2)+(k_Ch2-0.5)/(2*Pi*Fsw*Lo_2*Cout2)</f>
        <v>4420.681711975064</v>
      </c>
      <c r="E216" t="s">
        <v>9</v>
      </c>
      <c r="F216" s="114" t="s">
        <v>411</v>
      </c>
      <c r="I216" s="57"/>
    </row>
    <row r="217" spans="1:9" x14ac:dyDescent="0.3">
      <c r="A217" s="114" t="s">
        <v>444</v>
      </c>
      <c r="B217" s="371">
        <f>Fload_u</f>
        <v>2306.4040504988106</v>
      </c>
      <c r="C217" s="114" t="s">
        <v>9</v>
      </c>
      <c r="D217" s="371">
        <f>Fload_u_Ch2</f>
        <v>4420.681711975064</v>
      </c>
      <c r="E217" s="114" t="s">
        <v>9</v>
      </c>
      <c r="F217" s="378"/>
      <c r="I217" s="57"/>
    </row>
    <row r="218" spans="1:9" x14ac:dyDescent="0.3">
      <c r="A218" s="114"/>
      <c r="B218" s="370">
        <f>Cbw</f>
        <v>6.3661977309502546E-12</v>
      </c>
      <c r="C218"/>
      <c r="D218" s="114"/>
      <c r="E218" s="46"/>
      <c r="I218" s="57"/>
    </row>
    <row r="219" spans="1:9" ht="12.5" x14ac:dyDescent="0.25">
      <c r="A219" s="114" t="s">
        <v>383</v>
      </c>
      <c r="B219" s="581">
        <f>1/(2*Pi*(RoEA+Rcea1_u)*Cc1ea_u)</f>
        <v>0.44398746460975064</v>
      </c>
      <c r="C219" t="s">
        <v>9</v>
      </c>
      <c r="D219" s="435">
        <f>1/(2*Pi*(RoEA+Rcea2_u)*Cc3ea_u)</f>
        <v>1.657436684539729</v>
      </c>
      <c r="E219" t="s">
        <v>9</v>
      </c>
      <c r="F219" s="114" t="s">
        <v>410</v>
      </c>
      <c r="I219" s="57"/>
    </row>
    <row r="220" spans="1:9" ht="12.5" x14ac:dyDescent="0.25">
      <c r="A220" s="114" t="s">
        <v>384</v>
      </c>
      <c r="B220" s="385">
        <f>1/(2*Pi*Rcea1_u*(Cc2ea_u+Cbw))</f>
        <v>104956.16848200282</v>
      </c>
      <c r="C220" t="s">
        <v>9</v>
      </c>
      <c r="D220" s="385">
        <f>1/(2*Pi*Rcea2_u*(Cc4ea_u+Cbw))</f>
        <v>109156.60496304223</v>
      </c>
      <c r="E220" t="s">
        <v>9</v>
      </c>
      <c r="F220" s="114" t="s">
        <v>392</v>
      </c>
      <c r="I220" s="57"/>
    </row>
    <row r="221" spans="1:9" ht="12.5" x14ac:dyDescent="0.25">
      <c r="A221" s="212" t="s">
        <v>26</v>
      </c>
      <c r="B221" s="385">
        <f>1/(2*Pi*Cout*Cout_ESR)</f>
        <v>390085.64527881466</v>
      </c>
      <c r="C221" t="s">
        <v>9</v>
      </c>
      <c r="D221" s="385">
        <f>1/(2*Pi*Cout2*Cout2_ESR)</f>
        <v>663145.59697398485</v>
      </c>
      <c r="E221" t="s">
        <v>9</v>
      </c>
      <c r="F221" s="114" t="s">
        <v>409</v>
      </c>
      <c r="I221" s="57"/>
    </row>
    <row r="222" spans="1:9" ht="12.5" x14ac:dyDescent="0.25">
      <c r="A222" s="114" t="s">
        <v>416</v>
      </c>
      <c r="B222" s="385">
        <f>Fsw/2</f>
        <v>110000</v>
      </c>
      <c r="C222" t="s">
        <v>9</v>
      </c>
      <c r="D222" s="371"/>
      <c r="F222" s="114" t="s">
        <v>776</v>
      </c>
      <c r="I222" s="57"/>
    </row>
    <row r="223" spans="1:9" x14ac:dyDescent="0.3">
      <c r="A223" s="114"/>
      <c r="B223" s="371"/>
      <c r="C223"/>
      <c r="D223" s="114"/>
      <c r="E223" s="46"/>
      <c r="I223" s="57"/>
    </row>
    <row r="224" spans="1:9" ht="12.5" x14ac:dyDescent="0.25">
      <c r="A224" s="212" t="s">
        <v>408</v>
      </c>
      <c r="B224" s="317">
        <f>'Design Regulator'!E63*1000</f>
        <v>22000</v>
      </c>
      <c r="C224" s="370" t="s">
        <v>9</v>
      </c>
      <c r="D224" s="317">
        <f>'Design Regulator'!J63*1000</f>
        <v>66000</v>
      </c>
      <c r="E224" s="370" t="s">
        <v>9</v>
      </c>
      <c r="I224" s="57"/>
    </row>
    <row r="225" spans="1:12" x14ac:dyDescent="0.3">
      <c r="A225" s="66" t="s">
        <v>33</v>
      </c>
      <c r="B225" s="371">
        <f>Fcross*Cout/Number_of_Phases*2*Pi*Ri/(gm*Afb)</f>
        <v>12407.531675616003</v>
      </c>
      <c r="C225" s="213" t="s">
        <v>116</v>
      </c>
      <c r="D225" s="371">
        <f>Fcross_Ch2*Cout2*2*Pi*Ri_Ch2/(gm*Afb_Ch2)</f>
        <v>16587.609192000004</v>
      </c>
      <c r="E225" s="213" t="s">
        <v>116</v>
      </c>
      <c r="F225" s="114" t="s">
        <v>378</v>
      </c>
      <c r="I225" s="57"/>
      <c r="K225" s="309"/>
      <c r="L225" s="213"/>
    </row>
    <row r="226" spans="1:12" x14ac:dyDescent="0.3">
      <c r="A226" s="66" t="s">
        <v>729</v>
      </c>
      <c r="B226" s="370">
        <f>10/(Rcea1*Fcross*2*Pi)</f>
        <v>5.8305840295131847E-9</v>
      </c>
      <c r="C226" t="s">
        <v>24</v>
      </c>
      <c r="D226" s="370">
        <f>10/(Rcea2*Fcross_Ch2*2*Pi)</f>
        <v>1.4537589513586208E-9</v>
      </c>
      <c r="E226" t="s">
        <v>24</v>
      </c>
      <c r="F226" s="114" t="s">
        <v>703</v>
      </c>
      <c r="I226" s="57"/>
    </row>
    <row r="227" spans="1:12" x14ac:dyDescent="0.3">
      <c r="A227" s="66" t="s">
        <v>730</v>
      </c>
      <c r="B227" s="370">
        <f>MAX(1/(Rcea1*2*Pi*Fesr)-Cbw, 1/(Rcea1*2*Pi*(Fsw/2))-Cbw)</f>
        <v>1.1024548285931344E-10</v>
      </c>
      <c r="C227" t="s">
        <v>24</v>
      </c>
      <c r="D227" s="370">
        <f>MAX(1/(Rcea2*2*Pi*Fesr_Ch2)-Cbw, 1/(Rcea2*2*Pi*(Fsw/2))-Cbw)</f>
        <v>8.0859339350566981E-11</v>
      </c>
      <c r="E227" t="s">
        <v>24</v>
      </c>
      <c r="F227" s="114" t="s">
        <v>379</v>
      </c>
      <c r="I227" s="57"/>
    </row>
    <row r="228" spans="1:12" x14ac:dyDescent="0.3">
      <c r="A228" s="65"/>
      <c r="B228" s="1"/>
      <c r="C228" s="213"/>
      <c r="I228" s="57"/>
    </row>
    <row r="229" spans="1:12" x14ac:dyDescent="0.3">
      <c r="A229" s="66" t="s">
        <v>327</v>
      </c>
      <c r="I229" s="57"/>
    </row>
    <row r="230" spans="1:12" ht="12.5" x14ac:dyDescent="0.25">
      <c r="A230" s="56" t="s">
        <v>34</v>
      </c>
      <c r="B230" s="69">
        <f>'Design Regulator'!D70*1000</f>
        <v>12000</v>
      </c>
      <c r="C230" s="213" t="s">
        <v>116</v>
      </c>
      <c r="D230" s="69">
        <f>'Design Regulator'!D73*1000</f>
        <v>16500</v>
      </c>
      <c r="E230" s="213" t="s">
        <v>116</v>
      </c>
      <c r="F230">
        <f>1/(Rcea1*2*Pi*(Fsw/2))-Cbw</f>
        <v>1.1024548285931344E-10</v>
      </c>
      <c r="I230" s="57"/>
    </row>
    <row r="231" spans="1:12" ht="12.5" x14ac:dyDescent="0.25">
      <c r="A231" s="56" t="s">
        <v>35</v>
      </c>
      <c r="B231" s="69">
        <f>'Design Regulator'!D71*0.000000001</f>
        <v>5.5999999999999997E-9</v>
      </c>
      <c r="C231" t="s">
        <v>24</v>
      </c>
      <c r="D231" s="69">
        <f>'Design Regulator'!D74*0.000000001</f>
        <v>1.5000000000000002E-9</v>
      </c>
      <c r="E231" t="s">
        <v>24</v>
      </c>
      <c r="I231" s="57"/>
    </row>
    <row r="232" spans="1:12" ht="12.5" x14ac:dyDescent="0.25">
      <c r="A232" s="56" t="s">
        <v>36</v>
      </c>
      <c r="B232" s="69">
        <f>'Design Regulator'!D72*0.000000000001</f>
        <v>1.2E-10</v>
      </c>
      <c r="C232" t="s">
        <v>24</v>
      </c>
      <c r="D232" s="69">
        <f>'Design Regulator'!D75*0.000000000001</f>
        <v>8.2000000000000001E-11</v>
      </c>
      <c r="E232" t="s">
        <v>24</v>
      </c>
      <c r="I232" s="57"/>
    </row>
    <row r="233" spans="1:12" ht="12.5" x14ac:dyDescent="0.25">
      <c r="A233" s="56"/>
      <c r="B233" s="48"/>
      <c r="C233"/>
      <c r="I233" s="57"/>
    </row>
    <row r="234" spans="1:12" x14ac:dyDescent="0.3">
      <c r="A234" s="66" t="s">
        <v>394</v>
      </c>
      <c r="C234"/>
      <c r="F234">
        <f>Cout</f>
        <v>2.04E-4</v>
      </c>
      <c r="G234">
        <f>Cout_ESR</f>
        <v>2E-3</v>
      </c>
      <c r="I234" s="57"/>
    </row>
    <row r="235" spans="1:12" x14ac:dyDescent="0.3">
      <c r="A235" s="66" t="s">
        <v>37</v>
      </c>
      <c r="B235" s="372">
        <f>1/(2*Pi*Rcea1_u*Cc1ea_u)</f>
        <v>2368.3771320499459</v>
      </c>
      <c r="C235" t="s">
        <v>9</v>
      </c>
      <c r="D235" s="372">
        <f>1/(2*Pi*Rcea2_u*Cc3ea_u)</f>
        <v>6430.5027585356102</v>
      </c>
      <c r="E235" t="s">
        <v>9</v>
      </c>
      <c r="F235" s="114" t="s">
        <v>449</v>
      </c>
      <c r="I235" s="57"/>
    </row>
    <row r="236" spans="1:12" x14ac:dyDescent="0.3">
      <c r="A236" s="66" t="s">
        <v>811</v>
      </c>
      <c r="B236" s="372">
        <f>1/(2*Pi*Rcea1_u*(Cc1ea_u*(Cc2ea_u+Cbw)/(Cc1ea_u+Cc2ea_u+Cbw)))</f>
        <v>107324.54561405274</v>
      </c>
      <c r="C236" t="s">
        <v>9</v>
      </c>
      <c r="D236" s="372">
        <f>1/(2*Pi*Rcea2_u*(Cc3ea_u*(Cc4ea_u+Cbw)/(Cc3ea_u+Cc4ea_u+Cbw)))</f>
        <v>115587.10772157785</v>
      </c>
      <c r="E236" t="s">
        <v>9</v>
      </c>
      <c r="F236" t="s">
        <v>132</v>
      </c>
      <c r="I236" s="57"/>
    </row>
    <row r="237" spans="1:12" ht="12.5" x14ac:dyDescent="0.25">
      <c r="C237"/>
      <c r="I237" s="57"/>
    </row>
    <row r="238" spans="1:12" ht="12.5" x14ac:dyDescent="0.25">
      <c r="A238" s="56" t="s">
        <v>29</v>
      </c>
      <c r="B238" s="317">
        <f>'Design Regulator'!E65*1000</f>
        <v>390000</v>
      </c>
      <c r="C238" s="213" t="s">
        <v>116</v>
      </c>
      <c r="D238" s="317">
        <f>'Design Regulator'!J65*1000</f>
        <v>115000</v>
      </c>
      <c r="E238" s="213" t="s">
        <v>116</v>
      </c>
      <c r="F238" s="114" t="s">
        <v>402</v>
      </c>
      <c r="I238" s="57"/>
    </row>
    <row r="239" spans="1:12" x14ac:dyDescent="0.3">
      <c r="A239" s="66" t="s">
        <v>40</v>
      </c>
      <c r="B239" s="361">
        <f>IF(Vout=Vref,100000000,Vref*B238/((Vout-Vref)))</f>
        <v>10000</v>
      </c>
      <c r="C239" s="213" t="s">
        <v>116</v>
      </c>
      <c r="D239" s="361">
        <f>IF(Vout2=Vref,100000000,Vref*D238/((Vout2-Vref)))</f>
        <v>15681.81818181818</v>
      </c>
      <c r="E239" s="213" t="s">
        <v>116</v>
      </c>
      <c r="F239" s="114" t="s">
        <v>401</v>
      </c>
      <c r="I239" s="57"/>
    </row>
    <row r="240" spans="1:12" ht="12.5" x14ac:dyDescent="0.25">
      <c r="A240" s="56" t="s">
        <v>136</v>
      </c>
      <c r="B240" s="68">
        <f>IF(Vout=Vref,"N/A",'Standard Value Calculator'!O11)</f>
        <v>10000</v>
      </c>
      <c r="C240" s="213" t="s">
        <v>116</v>
      </c>
      <c r="D240" s="68">
        <f>IF(Vout2=Vref,"N/A",'Standard Value Calculator'!O13)</f>
        <v>15800</v>
      </c>
      <c r="E240" s="213" t="s">
        <v>116</v>
      </c>
      <c r="F240" s="114" t="s">
        <v>400</v>
      </c>
      <c r="I240" s="57"/>
    </row>
    <row r="241" spans="1:9" ht="13.5" thickBot="1" x14ac:dyDescent="0.35">
      <c r="A241" s="384"/>
      <c r="B241" s="384"/>
      <c r="C241" s="71"/>
      <c r="D241" s="61"/>
      <c r="E241" s="71"/>
      <c r="F241" s="61"/>
      <c r="G241" s="61"/>
      <c r="H241" s="61"/>
      <c r="I241" s="62"/>
    </row>
    <row r="242" spans="1:9" x14ac:dyDescent="0.3">
      <c r="A242" s="1"/>
      <c r="B242" s="46"/>
      <c r="C242" s="46"/>
      <c r="E242" s="46"/>
    </row>
    <row r="243" spans="1:9" x14ac:dyDescent="0.3">
      <c r="A243" s="66" t="s">
        <v>172</v>
      </c>
      <c r="B243" s="1"/>
      <c r="C243"/>
    </row>
    <row r="244" spans="1:9" x14ac:dyDescent="0.3">
      <c r="A244" s="66" t="s">
        <v>173</v>
      </c>
      <c r="B244" s="2">
        <v>0</v>
      </c>
      <c r="C244" s="213" t="s">
        <v>116</v>
      </c>
      <c r="D244" s="114" t="s">
        <v>270</v>
      </c>
    </row>
    <row r="245" spans="1:9" x14ac:dyDescent="0.3">
      <c r="A245" s="66" t="s">
        <v>176</v>
      </c>
      <c r="B245" s="382" t="e">
        <f>0.00000002*Fsw*0.6*4/Iripple1</f>
        <v>#NAME?</v>
      </c>
      <c r="C245" s="46"/>
      <c r="E245" s="46"/>
    </row>
    <row r="246" spans="1:9" x14ac:dyDescent="0.3">
      <c r="A246" s="66" t="s">
        <v>175</v>
      </c>
      <c r="B246" s="382" t="e">
        <f>_Don2*RdsonTop+Doff2*RdsonBot</f>
        <v>#NAME?</v>
      </c>
      <c r="C246" s="46"/>
      <c r="E246" s="46"/>
    </row>
    <row r="247" spans="1:9" x14ac:dyDescent="0.3">
      <c r="A247" s="66" t="s">
        <v>174</v>
      </c>
      <c r="B247" s="382" t="e">
        <f>B248*Vin^2*Fsw/2/(((Iripple1/SQRT(3))^2))</f>
        <v>#NAME?</v>
      </c>
      <c r="C247" s="46"/>
      <c r="E247" s="46"/>
    </row>
    <row r="248" spans="1:9" x14ac:dyDescent="0.3">
      <c r="A248" s="66" t="s">
        <v>177</v>
      </c>
      <c r="B248" s="383">
        <v>5.0000000000000001E-9</v>
      </c>
      <c r="C248" s="46"/>
      <c r="E248" s="46"/>
    </row>
    <row r="249" spans="1:9" x14ac:dyDescent="0.3">
      <c r="A249" s="1"/>
      <c r="B249" s="46"/>
      <c r="C249" s="46"/>
      <c r="E249" s="46"/>
    </row>
    <row r="250" spans="1:9" ht="16" thickBot="1" x14ac:dyDescent="0.4">
      <c r="A250" s="92" t="s">
        <v>193</v>
      </c>
    </row>
    <row r="251" spans="1:9" x14ac:dyDescent="0.3">
      <c r="A251" s="211" t="s">
        <v>615</v>
      </c>
      <c r="B251" s="63">
        <v>0</v>
      </c>
      <c r="C251" s="297"/>
      <c r="D251" s="63"/>
      <c r="E251" s="63"/>
      <c r="F251" s="63"/>
      <c r="G251" s="63"/>
      <c r="H251" s="63"/>
      <c r="I251" s="64"/>
    </row>
    <row r="252" spans="1:9" x14ac:dyDescent="0.3">
      <c r="A252" s="66" t="s">
        <v>55</v>
      </c>
      <c r="I252" s="57"/>
    </row>
    <row r="253" spans="1:9" ht="12.5" x14ac:dyDescent="0.25">
      <c r="A253" s="56" t="s">
        <v>83</v>
      </c>
      <c r="B253" s="29">
        <f>'Design Regulator'!E14</f>
        <v>25</v>
      </c>
      <c r="C253" s="114" t="s">
        <v>226</v>
      </c>
      <c r="D253" t="s">
        <v>96</v>
      </c>
      <c r="I253" s="57"/>
    </row>
    <row r="254" spans="1:9" x14ac:dyDescent="0.3">
      <c r="A254" s="66" t="s">
        <v>58</v>
      </c>
      <c r="C254"/>
      <c r="I254" s="57"/>
    </row>
    <row r="255" spans="1:9" ht="12.5" x14ac:dyDescent="0.25">
      <c r="A255" s="56" t="s">
        <v>82</v>
      </c>
      <c r="B255" s="59">
        <f>4000/1000000</f>
        <v>4.0000000000000001E-3</v>
      </c>
      <c r="C255" s="114" t="s">
        <v>279</v>
      </c>
      <c r="D255" s="114" t="s">
        <v>481</v>
      </c>
      <c r="I255" s="57"/>
    </row>
    <row r="256" spans="1:9" ht="15.5" x14ac:dyDescent="0.4">
      <c r="A256" s="212" t="s">
        <v>478</v>
      </c>
      <c r="B256" s="59">
        <v>20</v>
      </c>
      <c r="C256" s="114" t="s">
        <v>205</v>
      </c>
      <c r="D256" s="114" t="s">
        <v>479</v>
      </c>
      <c r="I256" s="57"/>
    </row>
    <row r="257" spans="1:9" ht="12.5" x14ac:dyDescent="0.25">
      <c r="A257" s="56" t="s">
        <v>86</v>
      </c>
      <c r="B257" s="29">
        <f>RCinEsr</f>
        <v>1.5E-3</v>
      </c>
      <c r="C257" s="213" t="s">
        <v>116</v>
      </c>
      <c r="D257" s="114" t="s">
        <v>480</v>
      </c>
      <c r="I257" s="57"/>
    </row>
    <row r="258" spans="1:9" ht="12.5" x14ac:dyDescent="0.25">
      <c r="A258" s="56"/>
      <c r="B258" s="29"/>
      <c r="C258" s="213"/>
      <c r="D258" s="114"/>
      <c r="I258" s="57"/>
    </row>
    <row r="259" spans="1:9" x14ac:dyDescent="0.3">
      <c r="A259" s="65" t="s">
        <v>742</v>
      </c>
      <c r="C259"/>
      <c r="I259" s="57"/>
    </row>
    <row r="260" spans="1:9" x14ac:dyDescent="0.3">
      <c r="A260" s="212" t="s">
        <v>699</v>
      </c>
      <c r="B260" s="59">
        <v>5</v>
      </c>
      <c r="C260" t="s">
        <v>0</v>
      </c>
      <c r="D260" s="362" t="s">
        <v>740</v>
      </c>
      <c r="I260" s="57"/>
    </row>
    <row r="261" spans="1:9" x14ac:dyDescent="0.3">
      <c r="A261" s="66" t="s">
        <v>112</v>
      </c>
      <c r="C261"/>
      <c r="I261" s="57"/>
    </row>
    <row r="262" spans="1:9" ht="12.5" x14ac:dyDescent="0.25">
      <c r="A262" s="56" t="s">
        <v>61</v>
      </c>
      <c r="B262" s="59">
        <v>1</v>
      </c>
      <c r="C262" s="213" t="s">
        <v>116</v>
      </c>
      <c r="D262" s="114" t="s">
        <v>403</v>
      </c>
      <c r="I262" s="57"/>
    </row>
    <row r="263" spans="1:9" ht="12.5" x14ac:dyDescent="0.25">
      <c r="A263" s="56" t="s">
        <v>126</v>
      </c>
      <c r="B263" s="59">
        <v>0.5</v>
      </c>
      <c r="C263" s="213" t="s">
        <v>116</v>
      </c>
      <c r="D263" s="114" t="s">
        <v>404</v>
      </c>
      <c r="I263" s="57"/>
    </row>
    <row r="264" spans="1:9" x14ac:dyDescent="0.3">
      <c r="A264" s="66" t="s">
        <v>113</v>
      </c>
      <c r="C264"/>
      <c r="I264" s="57"/>
    </row>
    <row r="265" spans="1:9" ht="12.5" x14ac:dyDescent="0.25">
      <c r="A265" s="56" t="s">
        <v>60</v>
      </c>
      <c r="B265" s="106">
        <v>1</v>
      </c>
      <c r="C265" s="213" t="s">
        <v>116</v>
      </c>
      <c r="D265" s="114" t="s">
        <v>405</v>
      </c>
      <c r="I265" s="57"/>
    </row>
    <row r="266" spans="1:9" ht="12.5" x14ac:dyDescent="0.25">
      <c r="A266" s="56" t="s">
        <v>125</v>
      </c>
      <c r="B266" s="59">
        <v>0.5</v>
      </c>
      <c r="C266" s="213" t="s">
        <v>116</v>
      </c>
      <c r="D266" s="114" t="s">
        <v>406</v>
      </c>
      <c r="I266" s="57"/>
    </row>
    <row r="267" spans="1:9" x14ac:dyDescent="0.3">
      <c r="A267" s="66" t="s">
        <v>62</v>
      </c>
      <c r="C267"/>
      <c r="I267" s="57"/>
    </row>
    <row r="268" spans="1:9" x14ac:dyDescent="0.3">
      <c r="A268" s="56" t="s">
        <v>62</v>
      </c>
      <c r="B268" s="67">
        <v>1.4E-8</v>
      </c>
      <c r="C268" t="s">
        <v>133</v>
      </c>
      <c r="D268" t="s">
        <v>98</v>
      </c>
      <c r="G268" s="362" t="s">
        <v>845</v>
      </c>
      <c r="I268" s="57"/>
    </row>
    <row r="269" spans="1:9" x14ac:dyDescent="0.3">
      <c r="A269" s="66" t="s">
        <v>52</v>
      </c>
      <c r="C269"/>
      <c r="I269" s="57"/>
    </row>
    <row r="270" spans="1:9" ht="12.5" x14ac:dyDescent="0.25">
      <c r="A270" s="56" t="s">
        <v>128</v>
      </c>
      <c r="B270" s="59">
        <v>3.4999999999999997E-5</v>
      </c>
      <c r="C270" t="s">
        <v>1</v>
      </c>
      <c r="D270" s="114" t="s">
        <v>741</v>
      </c>
      <c r="I270" s="57"/>
    </row>
    <row r="271" spans="1:9" ht="12.5" x14ac:dyDescent="0.25">
      <c r="A271" s="56"/>
      <c r="C271"/>
      <c r="I271" s="57"/>
    </row>
    <row r="272" spans="1:9" x14ac:dyDescent="0.3">
      <c r="A272" s="66" t="s">
        <v>738</v>
      </c>
      <c r="B272" s="2" t="s">
        <v>531</v>
      </c>
      <c r="C272"/>
      <c r="D272" s="2" t="s">
        <v>532</v>
      </c>
      <c r="I272" s="57"/>
    </row>
    <row r="273" spans="1:9" ht="12.5" x14ac:dyDescent="0.25">
      <c r="A273" s="212" t="s">
        <v>533</v>
      </c>
      <c r="B273" s="29">
        <f>'Design Regulator'!E83/1000</f>
        <v>1.8E-3</v>
      </c>
      <c r="C273" s="213" t="s">
        <v>116</v>
      </c>
      <c r="D273" s="29">
        <f>'Design Regulator'!F83/1000</f>
        <v>1.8E-3</v>
      </c>
      <c r="E273" s="213" t="s">
        <v>116</v>
      </c>
      <c r="F273" s="114" t="s">
        <v>744</v>
      </c>
      <c r="I273" s="57"/>
    </row>
    <row r="274" spans="1:9" ht="12.5" x14ac:dyDescent="0.25">
      <c r="A274" s="56" t="s">
        <v>79</v>
      </c>
      <c r="B274" s="59">
        <f>4000/1000000</f>
        <v>4.0000000000000001E-3</v>
      </c>
      <c r="C274" s="114" t="s">
        <v>279</v>
      </c>
      <c r="E274" s="114"/>
      <c r="F274" s="114" t="s">
        <v>407</v>
      </c>
      <c r="I274" s="57"/>
    </row>
    <row r="275" spans="1:9" ht="12.5" x14ac:dyDescent="0.25">
      <c r="A275" s="212" t="s">
        <v>122</v>
      </c>
      <c r="B275" s="72">
        <f>'Design Regulator'!E84/1000000000</f>
        <v>1.2E-8</v>
      </c>
      <c r="C275" t="s">
        <v>134</v>
      </c>
      <c r="D275" s="72">
        <f>'Design Regulator'!F84/1000000000</f>
        <v>1.2E-8</v>
      </c>
      <c r="E275" t="s">
        <v>134</v>
      </c>
      <c r="F275" s="114" t="s">
        <v>743</v>
      </c>
      <c r="I275" s="57"/>
    </row>
    <row r="276" spans="1:9" ht="12.5" x14ac:dyDescent="0.25">
      <c r="A276" s="212" t="s">
        <v>534</v>
      </c>
      <c r="B276" s="72">
        <f>'Design Regulator'!E85/1000000000</f>
        <v>3.1E-9</v>
      </c>
      <c r="C276" t="s">
        <v>134</v>
      </c>
      <c r="D276" s="72">
        <f>'Design Regulator'!F85/1000000000</f>
        <v>3.1E-9</v>
      </c>
      <c r="E276" t="s">
        <v>134</v>
      </c>
      <c r="F276" t="s">
        <v>121</v>
      </c>
      <c r="I276" s="57"/>
    </row>
    <row r="277" spans="1:9" ht="12.5" x14ac:dyDescent="0.25">
      <c r="A277" s="212" t="s">
        <v>535</v>
      </c>
      <c r="B277" s="72">
        <f>'Design Regulator'!E86/1000000000</f>
        <v>3.6E-9</v>
      </c>
      <c r="C277" t="s">
        <v>134</v>
      </c>
      <c r="D277" s="72">
        <f>'Design Regulator'!F86/1000000000</f>
        <v>3.6E-9</v>
      </c>
      <c r="E277" t="s">
        <v>134</v>
      </c>
      <c r="F277" t="s">
        <v>826</v>
      </c>
      <c r="I277" s="57"/>
    </row>
    <row r="278" spans="1:9" ht="12.5" x14ac:dyDescent="0.25">
      <c r="A278" s="643" t="s">
        <v>822</v>
      </c>
      <c r="B278" s="72">
        <f>'Design Regulator'!E87/1000000000</f>
        <v>0</v>
      </c>
      <c r="C278" t="s">
        <v>134</v>
      </c>
      <c r="D278" s="72">
        <f>'Design Regulator'!F87/1000000000</f>
        <v>4.0000000000000001E-8</v>
      </c>
      <c r="E278" t="s">
        <v>134</v>
      </c>
      <c r="F278" s="114" t="s">
        <v>824</v>
      </c>
      <c r="I278" s="57"/>
    </row>
    <row r="279" spans="1:9" ht="12.5" x14ac:dyDescent="0.25">
      <c r="A279" s="643" t="s">
        <v>823</v>
      </c>
      <c r="B279" s="72">
        <f>'Design Regulator'!E88/1000000000000</f>
        <v>5.7E-10</v>
      </c>
      <c r="C279" t="s">
        <v>24</v>
      </c>
      <c r="D279" s="72">
        <f>'Design Regulator'!F88/1000000000000</f>
        <v>5.7E-10</v>
      </c>
      <c r="E279" t="s">
        <v>24</v>
      </c>
      <c r="F279" s="114" t="s">
        <v>825</v>
      </c>
      <c r="I279" s="57"/>
    </row>
    <row r="280" spans="1:9" ht="12.5" x14ac:dyDescent="0.25">
      <c r="A280" s="212" t="s">
        <v>536</v>
      </c>
      <c r="B280" s="29">
        <f>'Design Regulator'!E89</f>
        <v>0.5</v>
      </c>
      <c r="C280" s="213" t="s">
        <v>116</v>
      </c>
      <c r="D280" s="29">
        <f>'Design Regulator'!F89</f>
        <v>0.5</v>
      </c>
      <c r="E280" s="213" t="s">
        <v>116</v>
      </c>
      <c r="F280" t="s">
        <v>100</v>
      </c>
      <c r="I280" s="57"/>
    </row>
    <row r="281" spans="1:9" ht="12.5" x14ac:dyDescent="0.25">
      <c r="A281" s="212" t="s">
        <v>537</v>
      </c>
      <c r="B281" s="29">
        <f>'Design Regulator'!E90</f>
        <v>300</v>
      </c>
      <c r="C281" t="s">
        <v>66</v>
      </c>
      <c r="D281" s="29">
        <f>'Design Regulator'!F90</f>
        <v>300</v>
      </c>
      <c r="E281" t="s">
        <v>66</v>
      </c>
      <c r="F281" s="114" t="s">
        <v>747</v>
      </c>
      <c r="I281" s="57"/>
    </row>
    <row r="282" spans="1:9" ht="12.5" x14ac:dyDescent="0.25">
      <c r="A282" s="212" t="s">
        <v>538</v>
      </c>
      <c r="B282" s="29">
        <f>'Design Regulator'!E91</f>
        <v>2.8</v>
      </c>
      <c r="C282" t="s">
        <v>0</v>
      </c>
      <c r="D282" s="29">
        <f>'Design Regulator'!F91</f>
        <v>2.8</v>
      </c>
      <c r="E282" t="s">
        <v>0</v>
      </c>
      <c r="F282" s="114" t="s">
        <v>748</v>
      </c>
      <c r="I282" s="57"/>
    </row>
    <row r="283" spans="1:9" ht="12.5" x14ac:dyDescent="0.25">
      <c r="A283" s="212" t="s">
        <v>539</v>
      </c>
      <c r="B283" s="389">
        <f>Vth_Q1+(Iout/Number_of_Phases)/Gfs_Q1</f>
        <v>2.9</v>
      </c>
      <c r="C283" t="s">
        <v>0</v>
      </c>
      <c r="D283" s="389">
        <f>Vth_Q2+(Iout/Number_of_Phases)/Gfs_Q2</f>
        <v>2.9</v>
      </c>
      <c r="E283" t="s">
        <v>0</v>
      </c>
      <c r="F283" s="114" t="s">
        <v>749</v>
      </c>
      <c r="I283" s="57"/>
    </row>
    <row r="284" spans="1:9" ht="12.5" x14ac:dyDescent="0.25">
      <c r="A284" s="56"/>
      <c r="C284"/>
      <c r="F284" s="114"/>
      <c r="I284" s="57"/>
    </row>
    <row r="285" spans="1:9" ht="12.5" x14ac:dyDescent="0.25">
      <c r="A285" s="212" t="s">
        <v>541</v>
      </c>
      <c r="B285" s="29">
        <f>'Design Regulator'!E92</f>
        <v>0</v>
      </c>
      <c r="C285" t="s">
        <v>0</v>
      </c>
      <c r="D285" s="29">
        <f>'Design Regulator'!F92</f>
        <v>0</v>
      </c>
      <c r="E285" t="s">
        <v>0</v>
      </c>
      <c r="F285" s="114" t="s">
        <v>540</v>
      </c>
      <c r="I285" s="57"/>
    </row>
    <row r="286" spans="1:9" ht="12.5" x14ac:dyDescent="0.25">
      <c r="A286" s="212" t="s">
        <v>498</v>
      </c>
      <c r="B286" s="72"/>
      <c r="C286" t="s">
        <v>134</v>
      </c>
      <c r="D286" s="72">
        <f>'Design Regulator'!F93/1000000000</f>
        <v>0</v>
      </c>
      <c r="E286" t="s">
        <v>134</v>
      </c>
      <c r="F286" t="s">
        <v>110</v>
      </c>
      <c r="I286" s="57"/>
    </row>
    <row r="287" spans="1:9" ht="12.5" x14ac:dyDescent="0.25">
      <c r="A287" s="212" t="s">
        <v>499</v>
      </c>
      <c r="B287" s="72">
        <v>4.0000000000000001E-8</v>
      </c>
      <c r="C287" t="s">
        <v>133</v>
      </c>
      <c r="D287" s="72">
        <v>4.0000000000000001E-8</v>
      </c>
      <c r="E287" t="s">
        <v>133</v>
      </c>
      <c r="F287" t="s">
        <v>106</v>
      </c>
      <c r="I287" s="57"/>
    </row>
    <row r="288" spans="1:9" ht="12.5" x14ac:dyDescent="0.25">
      <c r="A288" s="212" t="s">
        <v>600</v>
      </c>
      <c r="B288" s="29">
        <f>'Design Regulator'!E94</f>
        <v>38</v>
      </c>
      <c r="C288" s="114" t="s">
        <v>205</v>
      </c>
      <c r="D288" s="29">
        <f>'Design Regulator'!F94</f>
        <v>38</v>
      </c>
      <c r="E288" s="114" t="s">
        <v>205</v>
      </c>
      <c r="F288" s="114" t="s">
        <v>746</v>
      </c>
      <c r="I288" s="57"/>
    </row>
    <row r="289" spans="1:9" ht="12.5" x14ac:dyDescent="0.25">
      <c r="A289" s="212"/>
      <c r="B289" s="29"/>
      <c r="C289" s="114"/>
      <c r="D289" s="29"/>
      <c r="E289" s="114"/>
      <c r="I289" s="57"/>
    </row>
    <row r="290" spans="1:9" ht="12.5" x14ac:dyDescent="0.25">
      <c r="A290" s="212"/>
      <c r="B290" s="114"/>
      <c r="C290" s="114"/>
      <c r="D290" s="114"/>
      <c r="E290" s="114"/>
      <c r="I290" s="57"/>
    </row>
    <row r="291" spans="1:9" x14ac:dyDescent="0.3">
      <c r="A291" s="66" t="s">
        <v>739</v>
      </c>
      <c r="B291" s="2" t="s">
        <v>529</v>
      </c>
      <c r="C291"/>
      <c r="D291" s="2" t="s">
        <v>530</v>
      </c>
      <c r="I291" s="57"/>
    </row>
    <row r="292" spans="1:9" ht="12.5" x14ac:dyDescent="0.25">
      <c r="A292" s="212" t="s">
        <v>533</v>
      </c>
      <c r="B292" s="29">
        <f>'Design Regulator'!H83/1000</f>
        <v>6.0000000000000001E-3</v>
      </c>
      <c r="C292" s="213" t="s">
        <v>116</v>
      </c>
      <c r="D292" s="29">
        <f>'Design Regulator'!I83/1000</f>
        <v>2.5000000000000001E-3</v>
      </c>
      <c r="E292" s="213" t="s">
        <v>116</v>
      </c>
      <c r="F292" s="114" t="s">
        <v>745</v>
      </c>
      <c r="I292" s="57"/>
    </row>
    <row r="293" spans="1:9" ht="12.5" x14ac:dyDescent="0.25">
      <c r="A293" s="56" t="s">
        <v>80</v>
      </c>
      <c r="B293" s="408">
        <f>4000/1000000</f>
        <v>4.0000000000000001E-3</v>
      </c>
      <c r="C293" s="114" t="s">
        <v>279</v>
      </c>
      <c r="E293" s="114"/>
      <c r="F293" s="114" t="s">
        <v>407</v>
      </c>
      <c r="I293" s="57"/>
    </row>
    <row r="294" spans="1:9" ht="12.5" x14ac:dyDescent="0.25">
      <c r="A294" s="212" t="s">
        <v>122</v>
      </c>
      <c r="B294" s="72">
        <f>'Design Regulator'!H84/1000000000</f>
        <v>8.0000000000000005E-9</v>
      </c>
      <c r="C294" t="s">
        <v>134</v>
      </c>
      <c r="D294" s="72">
        <f>'Design Regulator'!I84/1000000000</f>
        <v>2.4999999999999999E-8</v>
      </c>
      <c r="E294" t="s">
        <v>134</v>
      </c>
      <c r="F294" s="114" t="s">
        <v>743</v>
      </c>
      <c r="I294" s="57"/>
    </row>
    <row r="295" spans="1:9" ht="12.5" x14ac:dyDescent="0.25">
      <c r="A295" s="212" t="s">
        <v>534</v>
      </c>
      <c r="B295" s="72">
        <f>'Design Regulator'!H85/1000000000</f>
        <v>1.3999999999999999E-9</v>
      </c>
      <c r="C295" t="s">
        <v>134</v>
      </c>
      <c r="D295" s="72">
        <f>'Design Regulator'!I85/1000000000</f>
        <v>4.4999999999999998E-9</v>
      </c>
      <c r="E295" t="s">
        <v>134</v>
      </c>
      <c r="F295" t="s">
        <v>121</v>
      </c>
      <c r="I295" s="57"/>
    </row>
    <row r="296" spans="1:9" ht="12.5" x14ac:dyDescent="0.25">
      <c r="A296" s="212" t="s">
        <v>535</v>
      </c>
      <c r="B296" s="72">
        <f>'Design Regulator'!H86/1000000000</f>
        <v>3.8000000000000001E-9</v>
      </c>
      <c r="C296" t="s">
        <v>134</v>
      </c>
      <c r="D296" s="72">
        <f>'Design Regulator'!I86/1000000000</f>
        <v>1.2E-8</v>
      </c>
      <c r="E296" t="s">
        <v>134</v>
      </c>
      <c r="F296" t="s">
        <v>826</v>
      </c>
      <c r="I296" s="57"/>
    </row>
    <row r="297" spans="1:9" ht="12.5" x14ac:dyDescent="0.25">
      <c r="A297" s="643" t="s">
        <v>822</v>
      </c>
      <c r="B297" s="72">
        <f>'Design Regulator'!H87/1000000000</f>
        <v>0</v>
      </c>
      <c r="C297" t="s">
        <v>134</v>
      </c>
      <c r="D297" s="72">
        <f>'Design Regulator'!I87/1000000000</f>
        <v>2.9999999999999997E-8</v>
      </c>
      <c r="E297" t="s">
        <v>134</v>
      </c>
      <c r="F297" s="114" t="s">
        <v>824</v>
      </c>
      <c r="I297" s="57"/>
    </row>
    <row r="298" spans="1:9" ht="12.5" x14ac:dyDescent="0.25">
      <c r="A298" s="643" t="s">
        <v>823</v>
      </c>
      <c r="B298" s="72">
        <f>'Design Regulator'!H88/1000000000000</f>
        <v>2.1299999999999999E-10</v>
      </c>
      <c r="C298" t="s">
        <v>24</v>
      </c>
      <c r="D298" s="72">
        <f>'Design Regulator'!I88/1000000000000</f>
        <v>1.6999999999999999E-9</v>
      </c>
      <c r="E298" t="s">
        <v>24</v>
      </c>
      <c r="F298" s="114" t="s">
        <v>825</v>
      </c>
      <c r="I298" s="57"/>
    </row>
    <row r="299" spans="1:9" ht="12.5" x14ac:dyDescent="0.25">
      <c r="A299" s="212" t="s">
        <v>536</v>
      </c>
      <c r="B299" s="29">
        <f>'Design Regulator'!H89</f>
        <v>0.5</v>
      </c>
      <c r="C299" s="213" t="s">
        <v>116</v>
      </c>
      <c r="D299" s="29">
        <f>'Design Regulator'!I89</f>
        <v>0.5</v>
      </c>
      <c r="E299" s="213" t="s">
        <v>116</v>
      </c>
      <c r="F299" t="s">
        <v>100</v>
      </c>
      <c r="I299" s="57"/>
    </row>
    <row r="300" spans="1:9" ht="12.5" x14ac:dyDescent="0.25">
      <c r="A300" s="212" t="s">
        <v>537</v>
      </c>
      <c r="B300" s="29">
        <f>'Design Regulator'!H90</f>
        <v>64</v>
      </c>
      <c r="C300" t="s">
        <v>66</v>
      </c>
      <c r="D300" s="29">
        <f>'Design Regulator'!I90</f>
        <v>280</v>
      </c>
      <c r="E300" t="s">
        <v>66</v>
      </c>
      <c r="F300" s="114" t="s">
        <v>747</v>
      </c>
      <c r="I300" s="57"/>
    </row>
    <row r="301" spans="1:9" ht="12.5" x14ac:dyDescent="0.25">
      <c r="A301" s="212" t="s">
        <v>538</v>
      </c>
      <c r="B301" s="29">
        <f>'Design Regulator'!H91</f>
        <v>2.9</v>
      </c>
      <c r="C301" t="s">
        <v>0</v>
      </c>
      <c r="D301" s="29">
        <f>'Design Regulator'!I91</f>
        <v>3</v>
      </c>
      <c r="E301" t="s">
        <v>0</v>
      </c>
      <c r="F301" s="114" t="s">
        <v>748</v>
      </c>
      <c r="I301" s="57"/>
    </row>
    <row r="302" spans="1:9" ht="12.5" x14ac:dyDescent="0.25">
      <c r="A302" s="212" t="s">
        <v>539</v>
      </c>
      <c r="B302" s="389">
        <f>Vth_Q3+Iout2/Gfs_Q3</f>
        <v>3.0874999999999999</v>
      </c>
      <c r="C302" t="s">
        <v>0</v>
      </c>
      <c r="D302" s="389">
        <f>Vth_Q4+Iout2/Gfs_Q4</f>
        <v>3.0428571428571427</v>
      </c>
      <c r="E302" t="s">
        <v>0</v>
      </c>
      <c r="F302" s="114" t="s">
        <v>749</v>
      </c>
      <c r="I302" s="57"/>
    </row>
    <row r="303" spans="1:9" x14ac:dyDescent="0.3">
      <c r="E303" s="2"/>
      <c r="I303" s="57"/>
    </row>
    <row r="304" spans="1:9" ht="12.5" x14ac:dyDescent="0.25">
      <c r="A304" s="212" t="s">
        <v>72</v>
      </c>
      <c r="B304" s="29">
        <f>'Design Regulator'!H92</f>
        <v>0.7</v>
      </c>
      <c r="C304" t="s">
        <v>0</v>
      </c>
      <c r="D304" s="29">
        <f>'Design Regulator'!I92</f>
        <v>0.7</v>
      </c>
      <c r="E304" t="s">
        <v>0</v>
      </c>
      <c r="F304" s="114" t="s">
        <v>540</v>
      </c>
      <c r="I304" s="57"/>
    </row>
    <row r="305" spans="1:9" ht="12.5" x14ac:dyDescent="0.25">
      <c r="A305" s="56" t="s">
        <v>73</v>
      </c>
      <c r="B305" s="72"/>
      <c r="C305" t="s">
        <v>134</v>
      </c>
      <c r="D305" s="72">
        <f>'Design Regulator'!I93/1000000000</f>
        <v>5.9999999999999995E-8</v>
      </c>
      <c r="E305" t="s">
        <v>134</v>
      </c>
      <c r="F305" t="s">
        <v>110</v>
      </c>
      <c r="I305" s="57"/>
    </row>
    <row r="306" spans="1:9" ht="12.5" x14ac:dyDescent="0.25">
      <c r="A306" s="56" t="s">
        <v>74</v>
      </c>
      <c r="B306" s="72">
        <v>4.0000000000000001E-8</v>
      </c>
      <c r="C306" t="s">
        <v>133</v>
      </c>
      <c r="D306" s="72">
        <v>4.0000000000000001E-8</v>
      </c>
      <c r="E306" t="s">
        <v>133</v>
      </c>
      <c r="F306" t="s">
        <v>106</v>
      </c>
      <c r="I306" s="57"/>
    </row>
    <row r="307" spans="1:9" ht="12.5" x14ac:dyDescent="0.25">
      <c r="A307" s="212" t="s">
        <v>601</v>
      </c>
      <c r="B307" s="29">
        <f>'Design Regulator'!H94</f>
        <v>50</v>
      </c>
      <c r="C307" s="114" t="s">
        <v>205</v>
      </c>
      <c r="D307" s="29">
        <f>'Design Regulator'!I94</f>
        <v>38</v>
      </c>
      <c r="E307" s="114" t="s">
        <v>205</v>
      </c>
      <c r="F307" s="114" t="s">
        <v>746</v>
      </c>
      <c r="I307" s="57"/>
    </row>
    <row r="308" spans="1:9" ht="12.5" x14ac:dyDescent="0.25">
      <c r="A308" s="212"/>
      <c r="B308" s="29"/>
      <c r="C308" s="114"/>
      <c r="D308" s="29"/>
      <c r="E308" s="114"/>
      <c r="I308" s="57"/>
    </row>
    <row r="309" spans="1:9" x14ac:dyDescent="0.3">
      <c r="A309" s="66" t="s">
        <v>522</v>
      </c>
      <c r="B309" s="486"/>
      <c r="D309" s="486"/>
      <c r="I309" s="57"/>
    </row>
    <row r="310" spans="1:9" ht="12.5" x14ac:dyDescent="0.25">
      <c r="A310" s="56" t="s">
        <v>195</v>
      </c>
      <c r="B310" s="29">
        <f>'Design Regulator'!E97</f>
        <v>0.72</v>
      </c>
      <c r="C310" t="s">
        <v>0</v>
      </c>
      <c r="D310" s="29">
        <f>'Design Regulator'!F97</f>
        <v>0</v>
      </c>
      <c r="E310" t="s">
        <v>0</v>
      </c>
      <c r="F310" t="s">
        <v>198</v>
      </c>
      <c r="I310" s="57"/>
    </row>
    <row r="311" spans="1:9" ht="12.5" x14ac:dyDescent="0.25">
      <c r="A311" s="56" t="s">
        <v>196</v>
      </c>
      <c r="B311" s="72">
        <f>'Design Regulator'!E98/1000000000</f>
        <v>4.4999999999999998E-9</v>
      </c>
      <c r="C311" t="s">
        <v>134</v>
      </c>
      <c r="D311" s="72">
        <f>'Design Regulator'!F98/1000000000</f>
        <v>0</v>
      </c>
      <c r="E311" t="s">
        <v>134</v>
      </c>
      <c r="F311" t="s">
        <v>199</v>
      </c>
      <c r="I311" s="57"/>
    </row>
    <row r="312" spans="1:9" ht="12.5" x14ac:dyDescent="0.25">
      <c r="A312" s="56" t="s">
        <v>197</v>
      </c>
      <c r="B312" s="29">
        <v>0</v>
      </c>
      <c r="C312" t="s">
        <v>1</v>
      </c>
      <c r="D312" s="29">
        <v>0</v>
      </c>
      <c r="E312" t="s">
        <v>1</v>
      </c>
      <c r="F312" t="s">
        <v>200</v>
      </c>
      <c r="I312" s="57"/>
    </row>
    <row r="313" spans="1:9" ht="12.5" x14ac:dyDescent="0.25">
      <c r="A313" s="56"/>
      <c r="C313"/>
      <c r="I313" s="57"/>
    </row>
    <row r="314" spans="1:9" x14ac:dyDescent="0.3">
      <c r="A314" s="66" t="s">
        <v>117</v>
      </c>
      <c r="C314"/>
      <c r="I314" s="57"/>
    </row>
    <row r="315" spans="1:9" ht="12.5" x14ac:dyDescent="0.25">
      <c r="A315" s="212" t="s">
        <v>473</v>
      </c>
      <c r="B315" s="408">
        <v>34.799999999999997</v>
      </c>
      <c r="C315" s="114" t="s">
        <v>205</v>
      </c>
      <c r="D315" s="114"/>
      <c r="E315" s="114"/>
      <c r="F315" t="s">
        <v>477</v>
      </c>
      <c r="I315" s="57"/>
    </row>
    <row r="316" spans="1:9" x14ac:dyDescent="0.3">
      <c r="A316" s="66" t="s">
        <v>77</v>
      </c>
      <c r="C316"/>
      <c r="I316" s="57"/>
    </row>
    <row r="317" spans="1:9" ht="12.5" x14ac:dyDescent="0.25">
      <c r="A317" s="212" t="s">
        <v>59</v>
      </c>
      <c r="C317"/>
      <c r="I317" s="57"/>
    </row>
    <row r="318" spans="1:9" ht="12.5" x14ac:dyDescent="0.25">
      <c r="A318" s="56" t="s">
        <v>88</v>
      </c>
      <c r="B318" s="69">
        <f>(Qgd_Q1+Qgs_Q1/2)*(RdsonDRT+Rgate1)/(VCC-Vsp_Q1)</f>
        <v>3.4999999999999995E-9</v>
      </c>
      <c r="C318" t="s">
        <v>133</v>
      </c>
      <c r="D318" s="69">
        <f>(Qgd_Q3+Qgs_Q3/2)*(RdsonDRT+Rgate3)/(VCC-Vsp_Q3)</f>
        <v>2.5882352941176468E-9</v>
      </c>
      <c r="E318" t="s">
        <v>133</v>
      </c>
      <c r="I318" s="57"/>
    </row>
    <row r="319" spans="1:9" ht="12.5" x14ac:dyDescent="0.25">
      <c r="A319" s="56" t="s">
        <v>89</v>
      </c>
      <c r="B319" s="69">
        <f>(Qgd_Q1+Qgs_Q1/2)*(RdsonDRT2+Rgate1)/(Vsp_Q1)</f>
        <v>1.6896551724137932E-9</v>
      </c>
      <c r="C319" t="s">
        <v>133</v>
      </c>
      <c r="D319" s="69">
        <f>(Qgd_Q3+Qgs_Q3/2)*(RdsonDRT2+Rgate3)/(Vsp_Q3)</f>
        <v>1.0688259109311741E-9</v>
      </c>
      <c r="E319" t="s">
        <v>133</v>
      </c>
      <c r="I319" s="57"/>
    </row>
    <row r="320" spans="1:9" ht="12.5" x14ac:dyDescent="0.25">
      <c r="A320" s="56"/>
      <c r="C320"/>
      <c r="I320" s="57"/>
    </row>
    <row r="321" spans="1:9" x14ac:dyDescent="0.3">
      <c r="A321" s="66" t="s">
        <v>413</v>
      </c>
      <c r="B321" s="2" t="s">
        <v>7</v>
      </c>
      <c r="C321" s="2" t="s">
        <v>76</v>
      </c>
      <c r="I321" s="57"/>
    </row>
    <row r="322" spans="1:9" ht="12.5" x14ac:dyDescent="0.25">
      <c r="A322" s="58" t="s">
        <v>115</v>
      </c>
      <c r="B322" s="3">
        <f>CHOOSE(Ext_VCC, IF(MODE=1, (Qg_Q1+Qg_Q2+Qg_Q3+Qg_Q4)*Fsw*VCC, (Qg_Q1+Qg_Q2)*2*Fsw*VCC), IF(MODE=1, (Qg_Q1+Qg_Q2+Qg_Q3+Qg_Q4)*Fsw*Vin, (Qg_Q1+Qg_Q2)*2*Fsw*Vin))</f>
        <v>0.47520000000000001</v>
      </c>
      <c r="C322" s="3" t="s">
        <v>116</v>
      </c>
      <c r="I322" s="57"/>
    </row>
    <row r="323" spans="1:9" ht="12.5" x14ac:dyDescent="0.25">
      <c r="A323" s="58" t="s">
        <v>119</v>
      </c>
      <c r="B323" s="642">
        <f>B322*ThetaJaCtrl</f>
        <v>16.536960000000001</v>
      </c>
      <c r="C323" s="114" t="s">
        <v>226</v>
      </c>
      <c r="I323" s="57"/>
    </row>
    <row r="324" spans="1:9" ht="12.5" x14ac:dyDescent="0.25">
      <c r="A324" s="212" t="s">
        <v>807</v>
      </c>
      <c r="B324" s="642">
        <f>B323 + Ta</f>
        <v>41.536960000000001</v>
      </c>
      <c r="C324" s="114" t="s">
        <v>226</v>
      </c>
      <c r="I324" s="57"/>
    </row>
    <row r="325" spans="1:9" ht="12.5" x14ac:dyDescent="0.25">
      <c r="A325" s="643"/>
      <c r="B325" s="642"/>
      <c r="C325" s="114"/>
      <c r="I325" s="57"/>
    </row>
    <row r="326" spans="1:9" ht="12.5" x14ac:dyDescent="0.25">
      <c r="A326" s="58" t="s">
        <v>210</v>
      </c>
      <c r="B326" s="42">
        <f>(Qg_Q1+Qg_Q2)*Fsw+Iq</f>
        <v>5.3150000000000003E-3</v>
      </c>
      <c r="C326" t="s">
        <v>1</v>
      </c>
      <c r="I326" s="57"/>
    </row>
    <row r="327" spans="1:9" ht="12.5" x14ac:dyDescent="0.25">
      <c r="A327" s="58" t="s">
        <v>211</v>
      </c>
      <c r="B327">
        <f>Qrr_Q2*Fsw</f>
        <v>0</v>
      </c>
      <c r="C327" t="s">
        <v>1</v>
      </c>
      <c r="I327" s="57"/>
    </row>
    <row r="328" spans="1:9" ht="12.5" x14ac:dyDescent="0.25">
      <c r="A328" s="58" t="s">
        <v>212</v>
      </c>
      <c r="B328" t="e">
        <f>C328/Vin</f>
        <v>#NAME?</v>
      </c>
      <c r="C328" t="e">
        <f>Deadtime*Fsw*(Ipp/2)*(Vsd_Q1+Vsd_Q2)</f>
        <v>#NAME?</v>
      </c>
      <c r="I328" s="57"/>
    </row>
    <row r="329" spans="1:9" ht="12.5" x14ac:dyDescent="0.25">
      <c r="A329" s="58" t="s">
        <v>214</v>
      </c>
      <c r="B329" t="e">
        <f>SUM(B326:B328)</f>
        <v>#NAME?</v>
      </c>
      <c r="C329" t="s">
        <v>1</v>
      </c>
      <c r="I329" s="57"/>
    </row>
    <row r="330" spans="1:9" x14ac:dyDescent="0.3">
      <c r="A330" s="56"/>
      <c r="I330" s="57"/>
    </row>
    <row r="331" spans="1:9" x14ac:dyDescent="0.3">
      <c r="A331" s="66" t="s">
        <v>440</v>
      </c>
      <c r="I331" s="57"/>
    </row>
    <row r="332" spans="1:9" x14ac:dyDescent="0.3">
      <c r="A332" s="56" t="s">
        <v>114</v>
      </c>
      <c r="I332" s="57"/>
    </row>
    <row r="333" spans="1:9" ht="13.5" thickBot="1" x14ac:dyDescent="0.35">
      <c r="A333" s="60" t="s">
        <v>115</v>
      </c>
      <c r="B333" s="61"/>
      <c r="C333" s="298"/>
      <c r="D333" s="61"/>
      <c r="E333" s="61"/>
      <c r="F333" s="61"/>
      <c r="G333" s="61"/>
      <c r="H333" s="61"/>
      <c r="I333" s="62"/>
    </row>
    <row r="334" spans="1:9" x14ac:dyDescent="0.3">
      <c r="A334" s="1"/>
      <c r="B334" s="1"/>
      <c r="C334" s="1"/>
    </row>
    <row r="335" spans="1:9" ht="21.75" customHeight="1" thickBot="1" x14ac:dyDescent="0.4">
      <c r="A335" s="89" t="s">
        <v>206</v>
      </c>
      <c r="D335" s="2"/>
    </row>
    <row r="336" spans="1:9" x14ac:dyDescent="0.3">
      <c r="A336" s="90" t="str">
        <f>"RC1 = "&amp;'Design Regulator'!D70&amp;"kΩ"</f>
        <v>RC1 = 12kΩ</v>
      </c>
      <c r="B336" s="63" t="str">
        <f>'Design Regulator'!D70&amp;"kΩ"</f>
        <v>12kΩ</v>
      </c>
      <c r="C336" s="297"/>
      <c r="D336" s="292" t="str">
        <f>'Design Regulator'!D73&amp;"kΩ"</f>
        <v>16.5kΩ</v>
      </c>
      <c r="E336" s="63"/>
      <c r="F336" s="63"/>
      <c r="G336" s="63"/>
      <c r="H336" s="63"/>
      <c r="I336" s="64"/>
    </row>
    <row r="337" spans="1:9" x14ac:dyDescent="0.3">
      <c r="A337" s="56" t="str">
        <f>"RC2 = "&amp;'Design Regulator'!D73&amp;"kΩ"</f>
        <v>RC2 = 16.5kΩ</v>
      </c>
      <c r="B337" t="str">
        <f>'Design Regulator'!D73&amp;"kΩ"</f>
        <v>16.5kΩ</v>
      </c>
      <c r="I337" s="57"/>
    </row>
    <row r="338" spans="1:9" x14ac:dyDescent="0.3">
      <c r="A338" s="56"/>
      <c r="I338" s="57"/>
    </row>
    <row r="339" spans="1:9" x14ac:dyDescent="0.3">
      <c r="A339" s="56" t="str">
        <f>"LF = "&amp;'Design Regulator'!E28&amp;"µH"</f>
        <v>LF = 10µH</v>
      </c>
      <c r="B339" t="str">
        <f>'Design Regulator'!E28&amp;"µH"</f>
        <v>10µH</v>
      </c>
      <c r="D339" t="str">
        <f>IF(MODE = 1, 'Design Regulator'!J28&amp;"µH", 'Design Regulator'!E28&amp;"µH")</f>
        <v>10µH</v>
      </c>
      <c r="I339" s="57"/>
    </row>
    <row r="340" spans="1:9" x14ac:dyDescent="0.3">
      <c r="A340" s="56" t="str">
        <f>"Rdcr = "&amp;Rdcr*1000&amp;"mΩ"</f>
        <v>Rdcr = 1.4mΩ</v>
      </c>
      <c r="B340" t="str">
        <f>Rdcr*1000&amp;"mΩ"</f>
        <v>1.4mΩ</v>
      </c>
      <c r="D340" t="str">
        <f>IF(MODE=1, Rdcr2*1000&amp;"mΩ", Rdcr*1000&amp;"mΩ")</f>
        <v>1.4mΩ</v>
      </c>
      <c r="I340" s="57"/>
    </row>
    <row r="341" spans="1:9" x14ac:dyDescent="0.3">
      <c r="A341" s="56" t="str">
        <f>"Rs = "&amp;'Design Regulator'!E19&amp;"mΩ"</f>
        <v>Rs = 2.2mΩ</v>
      </c>
      <c r="B341" t="str">
        <f>CHOOSE(SENSING_TYPE, 'Design Regulator'!E19&amp;"mΩ", Rdcr*1000&amp;"mΩ")</f>
        <v>2.2mΩ</v>
      </c>
      <c r="D341" t="str">
        <f>IF(MODE = 1, 'Design Regulator'!J19&amp;"mΩ", CHOOSE(SENSING_TYPE, 'Design Regulator'!E19&amp;"mΩ", Rdcr*1000&amp;"mΩ"))</f>
        <v>2.2mΩ</v>
      </c>
      <c r="I341" s="57"/>
    </row>
    <row r="342" spans="1:9" x14ac:dyDescent="0.3">
      <c r="A342" s="56"/>
      <c r="I342" s="57"/>
    </row>
    <row r="343" spans="1:9" x14ac:dyDescent="0.3">
      <c r="A343" s="56" t="str">
        <f>"VOUT = "&amp;'Design Regulator'!E10&amp;"V"</f>
        <v>VOUT = 24V</v>
      </c>
      <c r="B343" t="str">
        <f>'Design Regulator'!E10&amp;"V"</f>
        <v>24V</v>
      </c>
      <c r="D343" t="str">
        <f>IF(MODE=1, 'Design Regulator'!J10&amp;"V", "")</f>
        <v/>
      </c>
      <c r="I343" s="57"/>
    </row>
    <row r="344" spans="1:9" x14ac:dyDescent="0.3">
      <c r="A344" s="56"/>
      <c r="I344" s="57"/>
    </row>
    <row r="345" spans="1:9" x14ac:dyDescent="0.3">
      <c r="A345" s="56" t="str">
        <f>"COUT = "&amp;'Design Regulator'!$E$35&amp;"µF"</f>
        <v>COUT = 204µF</v>
      </c>
      <c r="B345" t="str">
        <f>ROUND('Design Regulator'!$E$35/Number_of_Phases, 0)&amp;"µF"</f>
        <v>102µF</v>
      </c>
      <c r="D345" t="str">
        <f>IF(MODE=1, 'Design Regulator'!$J$35&amp;"µF", ROUND('Design Regulator'!$E$35/Number_of_Phases, 0)&amp;"µF")</f>
        <v>102µF</v>
      </c>
      <c r="I345" s="57"/>
    </row>
    <row r="346" spans="1:9" x14ac:dyDescent="0.3">
      <c r="A346" s="212" t="s">
        <v>266</v>
      </c>
      <c r="B346" t="str">
        <f>"22µF"</f>
        <v>22µF</v>
      </c>
      <c r="I346" s="57"/>
    </row>
    <row r="347" spans="1:9" x14ac:dyDescent="0.3">
      <c r="A347" s="212" t="s">
        <v>267</v>
      </c>
      <c r="B347" s="116" t="str">
        <f>ROUNDUP(Cout*1000000/22,0)&amp;" x"</f>
        <v>10 x</v>
      </c>
      <c r="C347" s="299"/>
      <c r="I347" s="57"/>
    </row>
    <row r="348" spans="1:9" x14ac:dyDescent="0.3">
      <c r="A348" s="56"/>
      <c r="I348" s="57"/>
    </row>
    <row r="349" spans="1:9" x14ac:dyDescent="0.3">
      <c r="A349" s="56" t="s">
        <v>215</v>
      </c>
      <c r="B349" t="str">
        <f>Cin*1000000&amp;"µF"</f>
        <v>1328µF</v>
      </c>
      <c r="I349" s="57"/>
    </row>
    <row r="350" spans="1:9" x14ac:dyDescent="0.3">
      <c r="A350" s="212" t="s">
        <v>265</v>
      </c>
      <c r="B350" t="str">
        <f>"10µF"</f>
        <v>10µF</v>
      </c>
      <c r="I350" s="57"/>
    </row>
    <row r="351" spans="1:9" x14ac:dyDescent="0.3">
      <c r="A351" s="212" t="s">
        <v>264</v>
      </c>
      <c r="B351" s="116" t="str">
        <f>ROUNDUP(Cin*1000000/10,0)&amp;" x"</f>
        <v>133 x</v>
      </c>
      <c r="C351" s="299"/>
      <c r="I351" s="57"/>
    </row>
    <row r="352" spans="1:9" x14ac:dyDescent="0.3">
      <c r="A352" s="212"/>
      <c r="B352" s="116"/>
      <c r="C352" s="299"/>
      <c r="I352" s="57"/>
    </row>
    <row r="353" spans="1:9" ht="12.5" x14ac:dyDescent="0.25">
      <c r="A353" s="56" t="str">
        <f>"RC1 = "&amp;Rcea1_u/1000&amp;"kΩ"</f>
        <v>RC1 = 12kΩ</v>
      </c>
      <c r="B353" t="str">
        <f>ROUND(Rcea1_u/1000,2)&amp;"kΩ"</f>
        <v>12kΩ</v>
      </c>
      <c r="C353" s="114" t="str">
        <f>IF(MODE=1, "Rc2", "")</f>
        <v/>
      </c>
      <c r="D353" t="str">
        <f>IF(MODE=1, ROUND(Rcea2_u/1000,2)&amp;"kΩ", "")</f>
        <v/>
      </c>
      <c r="E353" t="str">
        <f>IF(MODE=1, ROUND(Rcea2_u/1000,2), "")</f>
        <v/>
      </c>
      <c r="I353" s="57"/>
    </row>
    <row r="354" spans="1:9" ht="12.5" x14ac:dyDescent="0.25">
      <c r="A354" s="56" t="str">
        <f>"CC1 = "&amp;Cc1ea_u*10^9&amp;"nF"</f>
        <v>CC1 = 5.6nF</v>
      </c>
      <c r="B354" t="str">
        <f>Cc1ea_u*10^9&amp;"nF"</f>
        <v>5.6nF</v>
      </c>
      <c r="C354" s="114" t="str">
        <f>IF(MODE=1, "Cc3", "")</f>
        <v/>
      </c>
      <c r="D354" t="str">
        <f>IF(MODE=1, Cc3ea_u*10^9&amp;"nF", "")</f>
        <v/>
      </c>
      <c r="E354" t="str">
        <f>IF(MODE=1, Cc3ea_u*10^9, "")</f>
        <v/>
      </c>
      <c r="I354" s="57"/>
    </row>
    <row r="355" spans="1:9" ht="12.5" x14ac:dyDescent="0.25">
      <c r="A355" s="56" t="str">
        <f>"CC2 = "&amp;IF(Cc2ea_u&gt;0, Cc2ea_u*10^12&amp;"pF", "OPEN")</f>
        <v>CC2 = 120pF</v>
      </c>
      <c r="B355" t="str">
        <f>IF(Cc2ea_u&gt;0, ROUND(Cc2ea_u*10^12,1)&amp;"pF", "N/A")</f>
        <v>120pF</v>
      </c>
      <c r="C355" s="114" t="str">
        <f>IF(MODE=1, "Cc4", "")</f>
        <v/>
      </c>
      <c r="D355" t="str">
        <f>IF(MODE=1, IF(Cc4ea_u&gt;0, ROUND(Cc4ea_u*10^12,1)&amp;"pF", "N/A"), "")</f>
        <v/>
      </c>
      <c r="E355" t="str">
        <f>IF(MODE=1, IF(Cc4ea_u&gt;0, ROUND(Cc4ea_u*10^12,1), "N/A"), "")</f>
        <v/>
      </c>
      <c r="I355" s="57"/>
    </row>
    <row r="356" spans="1:9" x14ac:dyDescent="0.3">
      <c r="A356" s="56"/>
      <c r="I356" s="57"/>
    </row>
    <row r="357" spans="1:9" x14ac:dyDescent="0.3">
      <c r="A357" s="56" t="str">
        <f>"gm = "&amp;$B$184*1000&amp;"mS"</f>
        <v>gm = 1.2mS</v>
      </c>
      <c r="B357" t="str">
        <f>$B$184*1000&amp;"mS"</f>
        <v>1.2mS</v>
      </c>
      <c r="I357" s="57"/>
    </row>
    <row r="358" spans="1:9" x14ac:dyDescent="0.3">
      <c r="A358" s="56" t="str">
        <f>"RoEA = "&amp;RoEA/1000000&amp;"MΩ"</f>
        <v>RoEA = 64MΩ</v>
      </c>
      <c r="B358" t="str">
        <f>RoEA/1000000&amp;"MΩ"</f>
        <v>64MΩ</v>
      </c>
      <c r="I358" s="57"/>
    </row>
    <row r="359" spans="1:9" x14ac:dyDescent="0.3">
      <c r="A359" s="56" t="str">
        <f>"GBW = "&amp;GBW&amp;"MHz"</f>
        <v>GBW = 30MHz</v>
      </c>
      <c r="B359" t="str">
        <f>GBW&amp;"MHz"</f>
        <v>30MHz</v>
      </c>
      <c r="I359" s="57"/>
    </row>
    <row r="360" spans="1:9" x14ac:dyDescent="0.3">
      <c r="A360" s="56"/>
      <c r="I360" s="57"/>
    </row>
    <row r="361" spans="1:9" x14ac:dyDescent="0.3">
      <c r="A361" s="56" t="e">
        <f>"Cslope = "&amp;Cslope&amp;"pF"</f>
        <v>#NAME?</v>
      </c>
      <c r="B361" t="e">
        <f>ROUND(Cslope*1,0)&amp;"pF"</f>
        <v>#NAME?</v>
      </c>
      <c r="I361" s="57"/>
    </row>
    <row r="362" spans="1:9" x14ac:dyDescent="0.3">
      <c r="A362" s="56" t="str">
        <f>IF(DITHER=1, "Cdither = "&amp;Cdither*1000000000&amp;"nF", "")</f>
        <v>Cdither = 10nF</v>
      </c>
      <c r="B362" t="str">
        <f>IF(DITHER=1, ROUND(Cdither*1000000000,1)&amp;"nF", "")</f>
        <v>10nF</v>
      </c>
      <c r="C362" s="2" t="str">
        <f>IF(DITHER=1, "Cd", "")</f>
        <v>Cd</v>
      </c>
      <c r="I362" s="57"/>
    </row>
    <row r="363" spans="1:9" x14ac:dyDescent="0.3">
      <c r="A363" s="56" t="str">
        <f>"RFB1 = "&amp;'Design Regulator'!E65&amp;"kΩ"</f>
        <v>RFB1 = 390kΩ</v>
      </c>
      <c r="B363" t="str">
        <f>'Design Regulator'!E65&amp;"kΩ"</f>
        <v>390kΩ</v>
      </c>
      <c r="D363" t="str">
        <f>'Design Regulator'!J65&amp;"kΩ"</f>
        <v>115kΩ</v>
      </c>
      <c r="I363" s="57"/>
    </row>
    <row r="364" spans="1:9" x14ac:dyDescent="0.3">
      <c r="A364" s="56" t="str">
        <f>"RFB2 = "&amp;IF(Vout=Vref,"OPEN",'Design Regulator'!E66&amp;"kΩ")</f>
        <v>RFB2 = 10kΩ</v>
      </c>
      <c r="B364" t="str">
        <f>IF(Vout=Vref,"OPEN",Rfb2_u/1000&amp;"kΩ")</f>
        <v>10kΩ</v>
      </c>
      <c r="D364" t="str">
        <f>IF(Vout2=Vref,"OPEN",Rfb4_u/1000&amp;"kΩ")</f>
        <v>15.8kΩ</v>
      </c>
      <c r="I364" s="57"/>
    </row>
    <row r="365" spans="1:9" x14ac:dyDescent="0.3">
      <c r="A365" s="56" t="str">
        <f>CHOOSE(BODE_PLOT_TYPE, "Crossover Frequency = "&amp;ROUND('Stability Calculations'!Q4,1)&amp;" kHz",  "Crossover Frequency = "&amp;ROUND('Ch2 Stability Calculations'!Q4,1)&amp;" kHz")</f>
        <v>Crossover Frequency = 20.7 kHz</v>
      </c>
      <c r="B365" t="str">
        <f>CHOOSE(BODE_PLOT_TYPE, ROUND('Stability Calculations'!Q4,1)&amp;" kHz", ROUND('Ch2 Stability Calculations'!Q4,1)&amp;" kHz")</f>
        <v>20.7 kHz</v>
      </c>
      <c r="D365" s="115">
        <f>'Stability Calculations'!Q4</f>
        <v>20.655000000000001</v>
      </c>
      <c r="I365" s="57"/>
    </row>
    <row r="366" spans="1:9" x14ac:dyDescent="0.3">
      <c r="A366" s="56" t="str">
        <f>CHOOSE(BODE_PLOT_TYPE, "Phase Margin = "&amp;ROUND('Stability Calculations'!Q5,0)&amp;"°", "Phase Margin = "&amp;ROUND('Ch2 Stability Calculations'!Q5,0)&amp;"°")</f>
        <v>Phase Margin = 65°</v>
      </c>
      <c r="B366" s="116" t="str">
        <f>CHOOSE(BODE_PLOT_TYPE, ROUND('Stability Calculations'!Q5,0)&amp;"°", ROUND('Ch2 Stability Calculations'!Q5,0)&amp;"°")</f>
        <v>65°</v>
      </c>
      <c r="C366" s="299"/>
      <c r="E366" s="213"/>
      <c r="I366" s="57"/>
    </row>
    <row r="367" spans="1:9" x14ac:dyDescent="0.3">
      <c r="A367" s="56"/>
      <c r="B367" s="116"/>
      <c r="C367" s="299"/>
      <c r="E367" s="213"/>
      <c r="I367" s="57"/>
    </row>
    <row r="368" spans="1:9" x14ac:dyDescent="0.3">
      <c r="A368" s="66" t="s">
        <v>598</v>
      </c>
      <c r="B368" s="492" t="str">
        <f>IF(PLOT_TYPE=1, ROUND('Efficiency Calculations'!AZ109,1)&amp;"%", ROUND('Ch2 Efficiency Calculations'!AZ109,1)&amp;"%")</f>
        <v>98.9%</v>
      </c>
      <c r="C368" s="299"/>
      <c r="D368" s="492"/>
      <c r="E368" s="213"/>
      <c r="I368" s="57"/>
    </row>
    <row r="369" spans="1:9" x14ac:dyDescent="0.3">
      <c r="A369" s="66" t="s">
        <v>599</v>
      </c>
      <c r="B369" s="492" t="str">
        <f>IF(PLOT_TYPE=1, ROUND('Efficiency Calculations'!AZ59,1)&amp;"%", ROUND('Ch2 Efficiency Calculations'!AZ59,1)&amp;"%")</f>
        <v>99.2%</v>
      </c>
      <c r="C369" s="299"/>
      <c r="D369" s="492"/>
      <c r="E369" s="213"/>
      <c r="I369" s="57"/>
    </row>
    <row r="370" spans="1:9" x14ac:dyDescent="0.3">
      <c r="A370" s="56"/>
      <c r="B370" s="116"/>
      <c r="C370" s="299"/>
      <c r="E370" s="213"/>
      <c r="I370" s="57"/>
    </row>
    <row r="371" spans="1:9" x14ac:dyDescent="0.3">
      <c r="A371" s="56" t="str">
        <f>"CDITH = "&amp;Cdither*1000000000&amp;"nF"</f>
        <v>CDITH = 10nF</v>
      </c>
      <c r="B371" t="str">
        <f>Cdither*1000000000&amp;"nF"</f>
        <v>10nF</v>
      </c>
      <c r="I371" s="57"/>
    </row>
    <row r="372" spans="1:9" x14ac:dyDescent="0.3">
      <c r="A372" s="56" t="str">
        <f>"Rs = "&amp;Rs&amp;"Ω"</f>
        <v>Rs = 0.0022Ω</v>
      </c>
      <c r="B372" t="str">
        <f>'Standard Value Calculator'!O6&amp;"Ω"</f>
        <v>Ω</v>
      </c>
      <c r="I372" s="57"/>
    </row>
    <row r="373" spans="1:9" x14ac:dyDescent="0.3">
      <c r="A373" s="56" t="s">
        <v>189</v>
      </c>
      <c r="B373" t="str">
        <f>'Standard Value Calculator'!O16&amp;"mΩ"</f>
        <v>2.26mΩ</v>
      </c>
      <c r="I373" s="57"/>
    </row>
    <row r="374" spans="1:9" x14ac:dyDescent="0.3">
      <c r="A374" s="56" t="s">
        <v>167</v>
      </c>
      <c r="B374" t="str">
        <f>'Standard Value Calculator'!O6&amp;"mΩ"</f>
        <v>mΩ</v>
      </c>
      <c r="I374" s="57"/>
    </row>
    <row r="375" spans="1:9" x14ac:dyDescent="0.3">
      <c r="A375" s="56" t="e">
        <f>"Rshunt = "&amp;ROUND(Rshunt,1)&amp;"mΩ"</f>
        <v>#NAME?</v>
      </c>
      <c r="B375" t="e">
        <f>IF(Rshunt="0", "N/A",ROUND(Rshunt,1)&amp;"mΩ")</f>
        <v>#NAME?</v>
      </c>
      <c r="I375" s="57"/>
    </row>
    <row r="376" spans="1:9" x14ac:dyDescent="0.3">
      <c r="A376" s="56"/>
      <c r="I376" s="57"/>
    </row>
    <row r="377" spans="1:9" x14ac:dyDescent="0.3">
      <c r="A377" s="212" t="s">
        <v>262</v>
      </c>
      <c r="B377" s="114" t="s">
        <v>263</v>
      </c>
      <c r="I377" s="57"/>
    </row>
    <row r="378" spans="1:9" x14ac:dyDescent="0.3">
      <c r="A378" s="212"/>
      <c r="B378" s="114"/>
      <c r="I378" s="57"/>
    </row>
    <row r="379" spans="1:9" x14ac:dyDescent="0.3">
      <c r="A379" s="212"/>
      <c r="B379" s="114"/>
      <c r="I379" s="57"/>
    </row>
    <row r="380" spans="1:9" x14ac:dyDescent="0.3">
      <c r="A380" s="212" t="s">
        <v>280</v>
      </c>
      <c r="B380" t="str">
        <f>'Standard Value Calculator'!O4/1000&amp;"kΩ"</f>
        <v>100kΩ</v>
      </c>
      <c r="I380" s="57"/>
    </row>
    <row r="381" spans="1:9" ht="12.5" x14ac:dyDescent="0.25">
      <c r="A381" s="56" t="s">
        <v>152</v>
      </c>
      <c r="B381" t="str">
        <f>IF(MODE=1, 'Standard Value Calculator'!B4*1000000000&amp;"nF", "")</f>
        <v/>
      </c>
      <c r="C381" s="114" t="str">
        <f>IF(MODE=1,"Css1","")</f>
        <v/>
      </c>
      <c r="I381" s="57"/>
    </row>
    <row r="382" spans="1:9" ht="12.5" x14ac:dyDescent="0.25">
      <c r="A382" s="643" t="s">
        <v>814</v>
      </c>
      <c r="B382" t="str">
        <f xml:space="preserve"> 'Standard Value Calculator'!B4*1000000000&amp;"nF"</f>
        <v>100nF</v>
      </c>
      <c r="C382" s="114" t="str">
        <f>IF(MODE=1,"Css2","Css")</f>
        <v>Css</v>
      </c>
      <c r="I382" s="57"/>
    </row>
    <row r="383" spans="1:9" x14ac:dyDescent="0.3">
      <c r="A383" s="212" t="s">
        <v>682</v>
      </c>
      <c r="B383" t="str">
        <f>IF(Cres_u = 0, "N/A", Cres_u*1000000000 &amp;"nF")</f>
        <v>470nF</v>
      </c>
      <c r="D383">
        <f>Cres_u</f>
        <v>4.7E-7</v>
      </c>
      <c r="I383" s="57"/>
    </row>
    <row r="384" spans="1:9" x14ac:dyDescent="0.3">
      <c r="A384" s="643"/>
      <c r="I384" s="57"/>
    </row>
    <row r="385" spans="1:9" x14ac:dyDescent="0.3">
      <c r="A385" s="56" t="s">
        <v>190</v>
      </c>
      <c r="B385" t="str">
        <f>IF(B76="y","","|")</f>
        <v>|</v>
      </c>
      <c r="I385" s="57"/>
    </row>
    <row r="386" spans="1:9" x14ac:dyDescent="0.3">
      <c r="A386" s="56" t="s">
        <v>207</v>
      </c>
      <c r="B386" t="str">
        <f>'Design Regulator'!$E$11&amp;"A"</f>
        <v>60A</v>
      </c>
      <c r="D386" t="str">
        <f>IF(MODE=1,'Design Regulator'!$J$11&amp;"A","")</f>
        <v/>
      </c>
      <c r="I386" s="57"/>
    </row>
    <row r="387" spans="1:9" x14ac:dyDescent="0.3">
      <c r="A387" s="56" t="s">
        <v>144</v>
      </c>
      <c r="B387" t="str">
        <f>VIN_nom&amp;"V"</f>
        <v>45V</v>
      </c>
      <c r="I387" s="57"/>
    </row>
    <row r="388" spans="1:9" x14ac:dyDescent="0.3">
      <c r="A388" s="212" t="s">
        <v>608</v>
      </c>
      <c r="B388" t="str">
        <f>VIN_min&amp;"V"&amp;"..."&amp;VIN_max&amp;"V"</f>
        <v>36V...51V</v>
      </c>
      <c r="I388" s="57"/>
    </row>
    <row r="389" spans="1:9" x14ac:dyDescent="0.3">
      <c r="A389" s="56"/>
      <c r="I389" s="57"/>
    </row>
    <row r="390" spans="1:9" ht="13.5" thickBot="1" x14ac:dyDescent="0.35">
      <c r="A390" s="60"/>
      <c r="B390" s="61"/>
      <c r="C390" s="298"/>
      <c r="D390" s="61"/>
      <c r="E390" s="61"/>
      <c r="F390" s="61"/>
      <c r="G390" s="61"/>
      <c r="H390" s="61"/>
      <c r="I390" s="62"/>
    </row>
  </sheetData>
  <sheetProtection selectLockedCells="1"/>
  <mergeCells count="2">
    <mergeCell ref="E5:H5"/>
    <mergeCell ref="A1:I1"/>
  </mergeCells>
  <phoneticPr fontId="5" type="noConversion"/>
  <pageMargins left="0.75" right="0.75" top="1" bottom="1" header="0.5" footer="0.5"/>
  <pageSetup orientation="portrait" r:id="rId1"/>
  <headerFooter alignWithMargins="0"/>
  <ignoredErrors>
    <ignoredError sqref="K132"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687"/>
  <sheetViews>
    <sheetView zoomScaleNormal="100" workbookViewId="0">
      <pane ySplit="11" topLeftCell="A12" activePane="bottomLeft" state="frozen"/>
      <selection activeCell="A93" sqref="A93"/>
      <selection pane="bottomLeft" activeCell="C5" sqref="C5"/>
    </sheetView>
  </sheetViews>
  <sheetFormatPr defaultColWidth="9.08984375" defaultRowHeight="12.5" x14ac:dyDescent="0.25"/>
  <cols>
    <col min="1" max="1" width="16.08984375" style="319" customWidth="1"/>
    <col min="2" max="2" width="15.6328125" style="319" customWidth="1"/>
    <col min="3" max="3" width="10" style="319" customWidth="1"/>
    <col min="4" max="4" width="10.90625" style="319" customWidth="1"/>
    <col min="5" max="5" width="10.08984375" style="319" customWidth="1"/>
    <col min="6" max="8" width="11.90625" style="319" customWidth="1"/>
    <col min="9" max="9" width="14.36328125" style="319" customWidth="1"/>
    <col min="10" max="10" width="11" style="319" customWidth="1"/>
    <col min="11" max="11" width="12" style="319" customWidth="1"/>
    <col min="12" max="12" width="11.453125" style="319" customWidth="1"/>
    <col min="13" max="13" width="10.90625" style="319" customWidth="1"/>
    <col min="14" max="14" width="11.453125" style="319" customWidth="1"/>
    <col min="15" max="15" width="12.36328125" style="319" customWidth="1"/>
    <col min="16" max="16" width="12.08984375" style="319" customWidth="1"/>
    <col min="17" max="17" width="9.453125" style="319" customWidth="1"/>
    <col min="18" max="18" width="16.08984375" style="319" bestFit="1" customWidth="1"/>
    <col min="19" max="19" width="16.08984375" style="359" customWidth="1"/>
    <col min="20" max="20" width="9.08984375" style="319"/>
    <col min="21" max="21" width="13.453125" style="319" bestFit="1" customWidth="1"/>
    <col min="22" max="22" width="9.36328125" style="319" bestFit="1" customWidth="1"/>
    <col min="23" max="23" width="9.08984375" style="319"/>
    <col min="24" max="24" width="13.54296875" style="319" customWidth="1"/>
    <col min="25" max="25" width="10.54296875" style="319" customWidth="1"/>
    <col min="26" max="26" width="9.08984375" style="319"/>
    <col min="27" max="27" width="9.36328125" style="319" bestFit="1" customWidth="1"/>
    <col min="28" max="28" width="11.36328125" style="319" bestFit="1" customWidth="1"/>
    <col min="29" max="29" width="9.08984375" style="319"/>
    <col min="30" max="30" width="12.36328125" customWidth="1"/>
    <col min="31" max="31" width="8.90625" customWidth="1"/>
    <col min="32" max="16384" width="9.08984375" style="319"/>
  </cols>
  <sheetData>
    <row r="1" spans="1:31" ht="13" thickBot="1" x14ac:dyDescent="0.3"/>
    <row r="2" spans="1:31" ht="13" x14ac:dyDescent="0.3">
      <c r="A2" s="740" t="s">
        <v>422</v>
      </c>
      <c r="B2" s="741"/>
      <c r="C2" s="742"/>
      <c r="D2" s="743"/>
      <c r="E2" s="740" t="s">
        <v>328</v>
      </c>
      <c r="F2" s="741"/>
      <c r="G2" s="741"/>
      <c r="H2" s="401"/>
      <c r="I2" s="417"/>
      <c r="J2" s="740" t="s">
        <v>420</v>
      </c>
      <c r="K2" s="742"/>
      <c r="L2" s="743"/>
      <c r="M2" s="740" t="s">
        <v>421</v>
      </c>
      <c r="N2" s="742"/>
      <c r="O2" s="743"/>
      <c r="P2" s="740" t="s">
        <v>329</v>
      </c>
      <c r="Q2" s="741"/>
      <c r="R2" s="749"/>
      <c r="AD2" s="114"/>
      <c r="AE2" s="114"/>
    </row>
    <row r="3" spans="1:31" x14ac:dyDescent="0.25">
      <c r="B3" s="320" t="s">
        <v>330</v>
      </c>
      <c r="C3" s="404">
        <f>Afb</f>
        <v>2.4999999999999998E-2</v>
      </c>
      <c r="D3" s="322" t="s">
        <v>28</v>
      </c>
      <c r="E3" s="323" t="s">
        <v>331</v>
      </c>
      <c r="F3" s="404">
        <f>Acs</f>
        <v>37.878787878787882</v>
      </c>
      <c r="G3" s="322" t="s">
        <v>419</v>
      </c>
      <c r="H3" s="415" t="s">
        <v>347</v>
      </c>
      <c r="I3" s="427">
        <f>gm</f>
        <v>1.1999999999999999E-3</v>
      </c>
      <c r="J3" s="323" t="s">
        <v>438</v>
      </c>
      <c r="K3" s="324">
        <f>Fesr</f>
        <v>390085.64527881466</v>
      </c>
      <c r="L3" s="322" t="s">
        <v>9</v>
      </c>
      <c r="M3" s="323" t="s">
        <v>333</v>
      </c>
      <c r="N3" s="324">
        <f>Fsw/2</f>
        <v>110000</v>
      </c>
      <c r="O3" s="322" t="s">
        <v>9</v>
      </c>
      <c r="P3" s="325" t="s">
        <v>334</v>
      </c>
      <c r="Q3" s="324">
        <f>Am*Afb*AEA</f>
        <v>49201.899563176565</v>
      </c>
      <c r="R3" s="322" t="s">
        <v>28</v>
      </c>
    </row>
    <row r="4" spans="1:31" x14ac:dyDescent="0.25">
      <c r="B4" s="320" t="s">
        <v>443</v>
      </c>
      <c r="C4" s="324">
        <f>Fz1_u</f>
        <v>2368.3771320499459</v>
      </c>
      <c r="D4" s="322" t="s">
        <v>9</v>
      </c>
      <c r="E4" s="323" t="s">
        <v>336</v>
      </c>
      <c r="F4" s="329">
        <f>Am</f>
        <v>25.625989355821126</v>
      </c>
      <c r="G4" s="322" t="s">
        <v>28</v>
      </c>
      <c r="H4" s="416"/>
      <c r="I4" s="416"/>
      <c r="J4" s="323" t="s">
        <v>437</v>
      </c>
      <c r="K4" s="324">
        <f>Fp_dominant</f>
        <v>2306.4040504988106</v>
      </c>
      <c r="L4" s="322" t="s">
        <v>9</v>
      </c>
      <c r="M4" s="323" t="s">
        <v>338</v>
      </c>
      <c r="N4" s="402">
        <f>Q*pole3</f>
        <v>69762.10690981042</v>
      </c>
      <c r="O4" s="322"/>
      <c r="P4" s="325" t="s">
        <v>339</v>
      </c>
      <c r="Q4" s="365">
        <f>AE7</f>
        <v>20.655000000000001</v>
      </c>
      <c r="R4" s="322" t="s">
        <v>2</v>
      </c>
    </row>
    <row r="5" spans="1:31" x14ac:dyDescent="0.25">
      <c r="B5" s="320" t="s">
        <v>442</v>
      </c>
      <c r="C5" s="404">
        <f>Fp1_u</f>
        <v>0.44398746460975064</v>
      </c>
      <c r="D5" s="322" t="s">
        <v>9</v>
      </c>
      <c r="E5" s="323" t="s">
        <v>27</v>
      </c>
      <c r="F5" s="404">
        <f>Q</f>
        <v>0.63420097190736746</v>
      </c>
      <c r="G5" s="322"/>
      <c r="H5" s="416"/>
      <c r="I5" s="416"/>
      <c r="J5" s="323"/>
      <c r="K5" s="324"/>
      <c r="L5" s="322"/>
      <c r="M5" s="323" t="s">
        <v>341</v>
      </c>
      <c r="N5" s="321">
        <f>pole3^2</f>
        <v>12100000000</v>
      </c>
      <c r="O5" s="322"/>
      <c r="P5" s="325" t="s">
        <v>342</v>
      </c>
      <c r="Q5" s="329">
        <f>AE9</f>
        <v>64.667969320434153</v>
      </c>
      <c r="R5" s="388" t="s">
        <v>399</v>
      </c>
    </row>
    <row r="6" spans="1:31" x14ac:dyDescent="0.25">
      <c r="B6" s="320" t="s">
        <v>343</v>
      </c>
      <c r="C6" s="321">
        <f>AEA</f>
        <v>76800</v>
      </c>
      <c r="D6" s="322" t="s">
        <v>28</v>
      </c>
      <c r="E6" s="323" t="s">
        <v>371</v>
      </c>
      <c r="F6" s="404">
        <f>mc</f>
        <v>2.1544011544011545</v>
      </c>
      <c r="G6" s="415"/>
      <c r="H6" s="418"/>
      <c r="I6" s="328"/>
      <c r="J6" s="326"/>
      <c r="K6" s="327"/>
      <c r="L6" s="328"/>
      <c r="M6" s="326"/>
      <c r="N6" s="430"/>
      <c r="O6" s="328"/>
      <c r="P6" s="400" t="s">
        <v>344</v>
      </c>
      <c r="Q6" s="327">
        <f>180/Pi</f>
        <v>57.295779578552292</v>
      </c>
      <c r="R6" s="328"/>
      <c r="AD6" s="5" t="s">
        <v>46</v>
      </c>
      <c r="AE6" s="5"/>
    </row>
    <row r="7" spans="1:31" ht="13" thickBot="1" x14ac:dyDescent="0.3">
      <c r="B7" s="396" t="s">
        <v>441</v>
      </c>
      <c r="C7" s="403">
        <f>Fp2_u</f>
        <v>104956.16848200282</v>
      </c>
      <c r="D7" s="398" t="s">
        <v>9</v>
      </c>
      <c r="E7" s="397" t="s">
        <v>346</v>
      </c>
      <c r="F7" s="399">
        <f>k</f>
        <v>1.0019069674242089</v>
      </c>
      <c r="G7" s="399"/>
      <c r="H7" s="419"/>
      <c r="I7" s="398"/>
      <c r="J7" s="397"/>
      <c r="K7" s="397"/>
      <c r="L7" s="398"/>
      <c r="M7" s="397"/>
      <c r="N7" s="397"/>
      <c r="O7" s="398"/>
      <c r="P7" s="397"/>
      <c r="Q7" s="397"/>
      <c r="R7" s="398"/>
      <c r="AD7" t="s">
        <v>43</v>
      </c>
      <c r="AE7">
        <f>SUM(AD12:AD613)/1000</f>
        <v>20.655000000000001</v>
      </c>
    </row>
    <row r="8" spans="1:31" x14ac:dyDescent="0.25">
      <c r="B8" s="405"/>
      <c r="C8" s="406"/>
      <c r="F8" s="407"/>
      <c r="G8" s="407"/>
      <c r="H8" s="407"/>
    </row>
    <row r="9" spans="1:31" ht="13" thickBot="1" x14ac:dyDescent="0.3">
      <c r="AD9" t="s">
        <v>44</v>
      </c>
      <c r="AE9" s="4">
        <f>SUM(AE13:AE613)</f>
        <v>64.667969320434153</v>
      </c>
    </row>
    <row r="10" spans="1:31" ht="14" x14ac:dyDescent="0.3">
      <c r="A10" s="744" t="s">
        <v>450</v>
      </c>
      <c r="B10" s="738"/>
      <c r="C10" s="750" t="s">
        <v>348</v>
      </c>
      <c r="D10" s="751"/>
      <c r="E10" s="751"/>
      <c r="F10" s="751"/>
      <c r="G10" s="751"/>
      <c r="H10" s="752"/>
      <c r="I10" s="750" t="s">
        <v>349</v>
      </c>
      <c r="J10" s="751"/>
      <c r="K10" s="751"/>
      <c r="L10" s="751"/>
      <c r="M10" s="751"/>
      <c r="N10" s="752"/>
      <c r="O10" s="747" t="s">
        <v>350</v>
      </c>
      <c r="P10" s="748"/>
      <c r="Q10" s="747" t="s">
        <v>351</v>
      </c>
      <c r="R10" s="753"/>
      <c r="S10" s="754"/>
      <c r="X10" s="731" t="s">
        <v>352</v>
      </c>
      <c r="Y10" s="732"/>
      <c r="AA10" s="731" t="s">
        <v>353</v>
      </c>
      <c r="AB10" s="732"/>
    </row>
    <row r="11" spans="1:31" ht="13" x14ac:dyDescent="0.3">
      <c r="A11" s="745"/>
      <c r="B11" s="739"/>
      <c r="C11" s="733" t="s">
        <v>437</v>
      </c>
      <c r="D11" s="734"/>
      <c r="E11" s="734" t="s">
        <v>438</v>
      </c>
      <c r="F11" s="735"/>
      <c r="G11" s="736" t="s">
        <v>439</v>
      </c>
      <c r="H11" s="737"/>
      <c r="I11" s="733" t="s">
        <v>337</v>
      </c>
      <c r="J11" s="734"/>
      <c r="K11" s="734" t="s">
        <v>332</v>
      </c>
      <c r="L11" s="735"/>
      <c r="M11" s="736" t="s">
        <v>340</v>
      </c>
      <c r="N11" s="737"/>
      <c r="O11" s="733" t="s">
        <v>333</v>
      </c>
      <c r="P11" s="735"/>
      <c r="Q11" s="323"/>
      <c r="R11" s="321"/>
      <c r="S11" s="366"/>
      <c r="X11" s="323"/>
      <c r="Y11" s="322"/>
      <c r="AA11" s="323"/>
      <c r="AB11" s="322"/>
    </row>
    <row r="12" spans="1:31" ht="13.5" thickBot="1" x14ac:dyDescent="0.35">
      <c r="A12" s="746"/>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5">
      <c r="A13" s="336">
        <v>1</v>
      </c>
      <c r="B13" s="364">
        <f>A13/1000</f>
        <v>1E-3</v>
      </c>
      <c r="C13" s="337">
        <f t="shared" ref="C13:C76" si="0">SQRT(1+(A13/pole1)^2)</f>
        <v>1.0000000939937983</v>
      </c>
      <c r="D13" s="338">
        <f t="shared" ref="D13:D76" si="1">ATAN(A13/pole1)</f>
        <v>4.3357534735563786E-4</v>
      </c>
      <c r="E13" s="338">
        <f t="shared" ref="E13:E76" si="2">SQRT(1+(A13/Zero1)^2)</f>
        <v>1.0000000000032858</v>
      </c>
      <c r="F13" s="339">
        <f t="shared" ref="F13:F76" si="3">ATAN(A13/Zero1)</f>
        <v>2.5635396023943844E-6</v>
      </c>
      <c r="G13" s="338">
        <f t="shared" ref="G13:G76" si="4">IF(VIN_nom&gt;Vout, 1, SQRT(1+(A13/z_RHP)^2))</f>
        <v>1</v>
      </c>
      <c r="H13" s="339">
        <f t="shared" ref="H13:H76" si="5">IF(VIN_nom&gt;Vout, 0, -ATAN(A13/z_RHP))</f>
        <v>0</v>
      </c>
      <c r="I13" s="337">
        <f t="shared" ref="I13:I76" si="6">SQRT(1+(A13/Pole2)^2)</f>
        <v>2.4643308727110704</v>
      </c>
      <c r="J13" s="340">
        <f t="shared" ref="J13:J76" si="7">ATAN(A13/Pole2)</f>
        <v>1.1529536636456872</v>
      </c>
      <c r="K13" s="338">
        <f t="shared" ref="K13:K76" si="8">SQRT(1+(A13/Zero2)^2)</f>
        <v>1.0000000891391045</v>
      </c>
      <c r="L13" s="339">
        <f t="shared" ref="L13:L76" si="9">ATAN(A13/Zero2)</f>
        <v>4.2223002706852911E-4</v>
      </c>
      <c r="M13" s="337">
        <f t="shared" ref="M13:M76" si="10">SQRT(1+(A13/pole4)^2)</f>
        <v>1.0000000000453895</v>
      </c>
      <c r="N13" s="340">
        <f t="shared" ref="N13:N76" si="11">ATAN(A13/pole4)</f>
        <v>9.5277868317116956E-6</v>
      </c>
      <c r="O13" s="341">
        <f t="shared" ref="O13:O76" si="12">SQRT((1-(V13/pterm2))^2+(A13/pterm1)^2)</f>
        <v>1.0000000000200933</v>
      </c>
      <c r="P13" s="342">
        <f t="shared" ref="P13:P76" si="13">IF((ATAN((A13/pterm1)/(1-A13^2/pterm2))&gt;0),ATAN((A13/pterm1)/(1-A13^2/pterm2)),PI()+ATAN((A13/pterm1)/(1-A13^2/pterm2)))</f>
        <v>1.4334429453327275E-5</v>
      </c>
      <c r="Q13" s="343">
        <f t="shared" ref="Q13:Q76" si="14">20*LOG10(((E13*K13*G13)/(C13*I13*O13*M13))*Adc)</f>
        <v>86.00565700300217</v>
      </c>
      <c r="R13" s="344">
        <f t="shared" ref="R13:R76" si="15">((F13+L13+H13)-(D13+J13+P13+N13))*radconv</f>
        <v>-66.061249339782549</v>
      </c>
      <c r="S13" s="600">
        <f t="shared" ref="S13:S76" si="16">IF(R13&gt;0,R13,R13+180)</f>
        <v>113.93875066021745</v>
      </c>
      <c r="U13" s="319">
        <f>IF(Q13&lt;0,A13,1000000000)</f>
        <v>1000000000</v>
      </c>
      <c r="V13" s="319">
        <f>A13^2</f>
        <v>1</v>
      </c>
      <c r="X13" s="345">
        <f t="shared" ref="X13:X76" si="17">20*LOG10((K13/(I13*M13))*AEA)</f>
        <v>89.873244817745061</v>
      </c>
      <c r="Y13" s="346">
        <f t="shared" ref="Y13:Y76" si="18">(L13-(J13+N13))*radconv</f>
        <v>-66.035732879939431</v>
      </c>
      <c r="AA13" s="345">
        <f t="shared" ref="AA13:AA76" si="19">20*LOG10((E13*G13/(C13*O13))*Acs*Am)</f>
        <v>59.741533474419732</v>
      </c>
      <c r="AB13" s="346">
        <f t="shared" ref="AB13:AB76" si="20">(F13+H13-(D13+P13))*radconv</f>
        <v>-2.5516459843125342E-2</v>
      </c>
      <c r="AD13">
        <f>SUM((Q14&lt;0)*(Q13&gt;0))*A13</f>
        <v>0</v>
      </c>
      <c r="AE13">
        <f t="shared" ref="AE13:AE44" si="21">IF(AD13&gt;0,S11,0)</f>
        <v>0</v>
      </c>
    </row>
    <row r="14" spans="1:31" x14ac:dyDescent="0.25">
      <c r="A14" s="347">
        <v>1.0965</v>
      </c>
      <c r="B14" s="364">
        <f t="shared" ref="B14:B77" si="22">A14/1000</f>
        <v>1.0965E-3</v>
      </c>
      <c r="C14" s="337">
        <f t="shared" si="0"/>
        <v>1.0000001130098941</v>
      </c>
      <c r="D14" s="338">
        <f t="shared" si="1"/>
        <v>4.7541536234842798E-4</v>
      </c>
      <c r="E14" s="338">
        <f t="shared" si="2"/>
        <v>1.0000000000039506</v>
      </c>
      <c r="F14" s="339">
        <f t="shared" si="3"/>
        <v>2.8109211740241968E-6</v>
      </c>
      <c r="G14" s="338">
        <f t="shared" si="4"/>
        <v>1</v>
      </c>
      <c r="H14" s="339">
        <f t="shared" si="5"/>
        <v>0</v>
      </c>
      <c r="I14" s="337">
        <f t="shared" si="6"/>
        <v>2.6644402517007593</v>
      </c>
      <c r="J14" s="340">
        <f t="shared" si="7"/>
        <v>1.1860615110175721</v>
      </c>
      <c r="K14" s="348">
        <f t="shared" si="8"/>
        <v>1.0000001071730364</v>
      </c>
      <c r="L14" s="349">
        <f t="shared" si="9"/>
        <v>4.6297521911446688E-4</v>
      </c>
      <c r="M14" s="337">
        <f t="shared" si="10"/>
        <v>1.0000000000545723</v>
      </c>
      <c r="N14" s="340">
        <f t="shared" si="11"/>
        <v>1.0447218260907916E-5</v>
      </c>
      <c r="O14" s="341">
        <f t="shared" si="12"/>
        <v>1.0000000000241585</v>
      </c>
      <c r="P14" s="342">
        <f t="shared" si="13"/>
        <v>1.5717701895618357E-5</v>
      </c>
      <c r="Q14" s="343">
        <f t="shared" si="14"/>
        <v>85.327517632676759</v>
      </c>
      <c r="R14" s="344">
        <f t="shared" si="15"/>
        <v>-67.958369755150116</v>
      </c>
      <c r="S14" s="346">
        <f t="shared" si="16"/>
        <v>112.04163024484988</v>
      </c>
      <c r="U14" s="319">
        <f t="shared" ref="U14:U77" si="23">IF(Q14&lt;0,A14,1000000000)</f>
        <v>1000000000</v>
      </c>
      <c r="V14" s="319">
        <f t="shared" ref="V14:V77" si="24">A14^2</f>
        <v>1.2023122500000001</v>
      </c>
      <c r="X14" s="345">
        <f t="shared" si="17"/>
        <v>89.195105612620878</v>
      </c>
      <c r="Y14" s="346">
        <f t="shared" si="18"/>
        <v>-67.930390957277453</v>
      </c>
      <c r="AA14" s="345">
        <f t="shared" si="19"/>
        <v>59.741533309218504</v>
      </c>
      <c r="AB14" s="346">
        <f t="shared" si="20"/>
        <v>-2.7978797872666262E-2</v>
      </c>
      <c r="AD14">
        <f t="shared" ref="AD14:AD77" si="25">SUM((Q15&lt;0)*(Q14&gt;0))*A14</f>
        <v>0</v>
      </c>
      <c r="AE14">
        <f t="shared" si="21"/>
        <v>0</v>
      </c>
    </row>
    <row r="15" spans="1:31" x14ac:dyDescent="0.25">
      <c r="A15" s="347">
        <v>1.2022999999999999</v>
      </c>
      <c r="B15" s="364">
        <f t="shared" si="22"/>
        <v>1.2022999999999999E-3</v>
      </c>
      <c r="C15" s="337">
        <f t="shared" si="0"/>
        <v>1.0000001358704096</v>
      </c>
      <c r="D15" s="338">
        <f t="shared" si="1"/>
        <v>5.2128762557251149E-4</v>
      </c>
      <c r="E15" s="338">
        <f t="shared" si="2"/>
        <v>1.0000000000047498</v>
      </c>
      <c r="F15" s="339">
        <f t="shared" si="3"/>
        <v>3.0821436639557604E-6</v>
      </c>
      <c r="G15" s="338">
        <f t="shared" si="4"/>
        <v>1</v>
      </c>
      <c r="H15" s="339">
        <f t="shared" si="5"/>
        <v>0</v>
      </c>
      <c r="I15" s="337">
        <f t="shared" si="6"/>
        <v>2.8867011911825253</v>
      </c>
      <c r="J15" s="340">
        <f t="shared" si="7"/>
        <v>1.2170483049669802</v>
      </c>
      <c r="K15" s="348">
        <f t="shared" si="8"/>
        <v>1.0000001288528273</v>
      </c>
      <c r="L15" s="349">
        <f t="shared" si="9"/>
        <v>5.0764714810412137E-4</v>
      </c>
      <c r="M15" s="337">
        <f t="shared" si="10"/>
        <v>1.0000000000656115</v>
      </c>
      <c r="N15" s="340">
        <f t="shared" si="11"/>
        <v>1.1455258107612536E-5</v>
      </c>
      <c r="O15" s="341">
        <f t="shared" si="12"/>
        <v>1.0000000000290454</v>
      </c>
      <c r="P15" s="342">
        <f t="shared" si="13"/>
        <v>1.7234284531844051E-5</v>
      </c>
      <c r="Q15" s="343">
        <f t="shared" si="14"/>
        <v>84.631600712198235</v>
      </c>
      <c r="R15" s="344">
        <f t="shared" si="15"/>
        <v>-69.733980155516448</v>
      </c>
      <c r="S15" s="346">
        <f t="shared" si="16"/>
        <v>110.26601984448355</v>
      </c>
      <c r="U15" s="319">
        <f t="shared" si="23"/>
        <v>1000000000</v>
      </c>
      <c r="V15" s="319">
        <f t="shared" si="24"/>
        <v>1.4455252899999997</v>
      </c>
      <c r="X15" s="345">
        <f t="shared" si="17"/>
        <v>88.499188890741749</v>
      </c>
      <c r="Y15" s="346">
        <f t="shared" si="18"/>
        <v>-69.703301716680883</v>
      </c>
      <c r="AA15" s="345">
        <f t="shared" si="19"/>
        <v>59.741533110619109</v>
      </c>
      <c r="AB15" s="346">
        <f t="shared" si="20"/>
        <v>-3.0678438835560665E-2</v>
      </c>
      <c r="AD15">
        <f t="shared" si="25"/>
        <v>0</v>
      </c>
      <c r="AE15">
        <f t="shared" si="21"/>
        <v>0</v>
      </c>
    </row>
    <row r="16" spans="1:31" x14ac:dyDescent="0.25">
      <c r="A16" s="347">
        <v>1.3183</v>
      </c>
      <c r="B16" s="364">
        <f t="shared" si="22"/>
        <v>1.3183000000000001E-3</v>
      </c>
      <c r="C16" s="337">
        <f t="shared" si="0"/>
        <v>1.0000001633532158</v>
      </c>
      <c r="D16" s="338">
        <f t="shared" si="1"/>
        <v>5.7158235398919316E-4</v>
      </c>
      <c r="E16" s="338">
        <f t="shared" si="2"/>
        <v>1.0000000000057105</v>
      </c>
      <c r="F16" s="339">
        <f t="shared" si="3"/>
        <v>3.379514257831054E-6</v>
      </c>
      <c r="G16" s="338">
        <f t="shared" si="4"/>
        <v>1</v>
      </c>
      <c r="H16" s="339">
        <f t="shared" si="5"/>
        <v>0</v>
      </c>
      <c r="I16" s="337">
        <f t="shared" si="6"/>
        <v>3.1330998645518826</v>
      </c>
      <c r="J16" s="340">
        <f t="shared" si="7"/>
        <v>1.2459399075612507</v>
      </c>
      <c r="K16" s="348">
        <f t="shared" si="8"/>
        <v>1.0000001549161719</v>
      </c>
      <c r="L16" s="349">
        <f t="shared" si="9"/>
        <v>5.5662582027563425E-4</v>
      </c>
      <c r="M16" s="337">
        <f t="shared" si="10"/>
        <v>1.0000000000788829</v>
      </c>
      <c r="N16" s="340">
        <f t="shared" si="11"/>
        <v>1.2560481379965064E-5</v>
      </c>
      <c r="O16" s="341">
        <f t="shared" si="12"/>
        <v>1.0000000000349205</v>
      </c>
      <c r="P16" s="342">
        <f t="shared" si="13"/>
        <v>1.8897078348518698E-5</v>
      </c>
      <c r="Q16" s="343">
        <f t="shared" si="14"/>
        <v>83.920152571786673</v>
      </c>
      <c r="R16" s="344">
        <f t="shared" si="15"/>
        <v>-71.389564011514437</v>
      </c>
      <c r="S16" s="346">
        <f t="shared" si="16"/>
        <v>108.61043598848556</v>
      </c>
      <c r="U16" s="319">
        <f t="shared" si="23"/>
        <v>1000000000</v>
      </c>
      <c r="V16" s="319">
        <f t="shared" si="24"/>
        <v>1.7379148900000001</v>
      </c>
      <c r="X16" s="345">
        <f t="shared" si="17"/>
        <v>87.787740989085449</v>
      </c>
      <c r="Y16" s="346">
        <f t="shared" si="18"/>
        <v>-71.355925664017533</v>
      </c>
      <c r="AA16" s="345">
        <f t="shared" si="19"/>
        <v>59.741532871863832</v>
      </c>
      <c r="AB16" s="346">
        <f t="shared" si="20"/>
        <v>-3.3638347496890958E-2</v>
      </c>
      <c r="AD16">
        <f t="shared" si="25"/>
        <v>0</v>
      </c>
      <c r="AE16">
        <f t="shared" si="21"/>
        <v>0</v>
      </c>
    </row>
    <row r="17" spans="1:31" x14ac:dyDescent="0.25">
      <c r="A17" s="347">
        <v>1.4454</v>
      </c>
      <c r="B17" s="364">
        <f t="shared" si="22"/>
        <v>1.4454000000000001E-3</v>
      </c>
      <c r="C17" s="337">
        <f t="shared" si="0"/>
        <v>1.0000001963700624</v>
      </c>
      <c r="D17" s="338">
        <f t="shared" si="1"/>
        <v>6.2668976429573742E-4</v>
      </c>
      <c r="E17" s="338">
        <f t="shared" si="2"/>
        <v>1.0000000000068647</v>
      </c>
      <c r="F17" s="339">
        <f t="shared" si="3"/>
        <v>3.7053401412920025E-6</v>
      </c>
      <c r="G17" s="338">
        <f t="shared" si="4"/>
        <v>1</v>
      </c>
      <c r="H17" s="339">
        <f t="shared" si="5"/>
        <v>0</v>
      </c>
      <c r="I17" s="337">
        <f t="shared" si="6"/>
        <v>3.4056222314950446</v>
      </c>
      <c r="J17" s="340">
        <f t="shared" si="7"/>
        <v>1.2727721053225249</v>
      </c>
      <c r="K17" s="348">
        <f t="shared" si="8"/>
        <v>1.0000001862277286</v>
      </c>
      <c r="L17" s="349">
        <f t="shared" si="9"/>
        <v>6.1029124162329678E-4</v>
      </c>
      <c r="M17" s="337">
        <f t="shared" si="10"/>
        <v>1.0000000000948266</v>
      </c>
      <c r="N17" s="340">
        <f t="shared" si="11"/>
        <v>1.3771463086102201E-5</v>
      </c>
      <c r="O17" s="341">
        <f t="shared" si="12"/>
        <v>1.0000000000419786</v>
      </c>
      <c r="P17" s="342">
        <f t="shared" si="13"/>
        <v>2.0718984332158623E-5</v>
      </c>
      <c r="Q17" s="343">
        <f t="shared" si="14"/>
        <v>83.19570786921274</v>
      </c>
      <c r="R17" s="344">
        <f t="shared" si="15"/>
        <v>-72.92717342315062</v>
      </c>
      <c r="S17" s="346">
        <f t="shared" si="16"/>
        <v>107.07282657684938</v>
      </c>
      <c r="U17" s="319">
        <f t="shared" si="23"/>
        <v>1000000000</v>
      </c>
      <c r="V17" s="319">
        <f t="shared" si="24"/>
        <v>2.0891811599999999</v>
      </c>
      <c r="X17" s="345">
        <f t="shared" si="17"/>
        <v>87.06329657334345</v>
      </c>
      <c r="Y17" s="346">
        <f t="shared" si="18"/>
        <v>-72.890291934544024</v>
      </c>
      <c r="AA17" s="345">
        <f t="shared" si="19"/>
        <v>59.741532585031926</v>
      </c>
      <c r="AB17" s="346">
        <f t="shared" si="20"/>
        <v>-3.6881488606611272E-2</v>
      </c>
      <c r="AD17">
        <f t="shared" si="25"/>
        <v>0</v>
      </c>
      <c r="AE17">
        <f t="shared" si="21"/>
        <v>0</v>
      </c>
    </row>
    <row r="18" spans="1:31" x14ac:dyDescent="0.25">
      <c r="A18" s="347">
        <v>1.5849</v>
      </c>
      <c r="B18" s="364">
        <f t="shared" si="22"/>
        <v>1.5849E-3</v>
      </c>
      <c r="C18" s="337">
        <f t="shared" si="0"/>
        <v>1.0000002361037579</v>
      </c>
      <c r="D18" s="338">
        <f t="shared" si="1"/>
        <v>6.8717350292115602E-4</v>
      </c>
      <c r="E18" s="338">
        <f t="shared" si="2"/>
        <v>1.0000000000082538</v>
      </c>
      <c r="F18" s="339">
        <f t="shared" si="3"/>
        <v>4.0629539158214031E-6</v>
      </c>
      <c r="G18" s="338">
        <f t="shared" si="4"/>
        <v>1</v>
      </c>
      <c r="H18" s="339">
        <f t="shared" si="5"/>
        <v>0</v>
      </c>
      <c r="I18" s="337">
        <f t="shared" si="6"/>
        <v>3.707118164662691</v>
      </c>
      <c r="J18" s="340">
        <f t="shared" si="7"/>
        <v>1.2976615632530837</v>
      </c>
      <c r="K18" s="348">
        <f t="shared" si="8"/>
        <v>1.0000002239092156</v>
      </c>
      <c r="L18" s="349">
        <f t="shared" si="9"/>
        <v>6.6919230977616803E-4</v>
      </c>
      <c r="M18" s="337">
        <f t="shared" si="10"/>
        <v>1.0000000001140139</v>
      </c>
      <c r="N18" s="340">
        <f t="shared" si="11"/>
        <v>1.5100589348889016E-5</v>
      </c>
      <c r="O18" s="341">
        <f t="shared" si="12"/>
        <v>1.0000000000504725</v>
      </c>
      <c r="P18" s="342">
        <f t="shared" si="13"/>
        <v>2.2718637241064521E-5</v>
      </c>
      <c r="Q18" s="343">
        <f t="shared" si="14"/>
        <v>82.45890870680411</v>
      </c>
      <c r="R18" s="344">
        <f t="shared" si="15"/>
        <v>-74.353495234145811</v>
      </c>
      <c r="S18" s="346">
        <f t="shared" si="16"/>
        <v>105.64650476585419</v>
      </c>
      <c r="U18" s="319">
        <f t="shared" si="23"/>
        <v>1000000000</v>
      </c>
      <c r="V18" s="319">
        <f t="shared" si="24"/>
        <v>2.51190801</v>
      </c>
      <c r="X18" s="345">
        <f t="shared" si="17"/>
        <v>86.32649775611894</v>
      </c>
      <c r="Y18" s="346">
        <f t="shared" si="18"/>
        <v>-74.313054200670521</v>
      </c>
      <c r="AA18" s="345">
        <f t="shared" si="19"/>
        <v>59.741532239847793</v>
      </c>
      <c r="AB18" s="346">
        <f t="shared" si="20"/>
        <v>-4.0441033475282613E-2</v>
      </c>
      <c r="AD18">
        <f t="shared" si="25"/>
        <v>0</v>
      </c>
      <c r="AE18">
        <f t="shared" si="21"/>
        <v>0</v>
      </c>
    </row>
    <row r="19" spans="1:31" x14ac:dyDescent="0.25">
      <c r="A19" s="347">
        <v>1.7378</v>
      </c>
      <c r="B19" s="364">
        <f t="shared" si="22"/>
        <v>1.7378000000000001E-3</v>
      </c>
      <c r="C19" s="337">
        <f t="shared" si="0"/>
        <v>1.0000002838564352</v>
      </c>
      <c r="D19" s="338">
        <f t="shared" si="1"/>
        <v>7.5346714326446221E-4</v>
      </c>
      <c r="E19" s="338">
        <f t="shared" si="2"/>
        <v>1.0000000000099232</v>
      </c>
      <c r="F19" s="339">
        <f t="shared" si="3"/>
        <v>4.4549191210212492E-6</v>
      </c>
      <c r="G19" s="338">
        <f t="shared" si="4"/>
        <v>1</v>
      </c>
      <c r="H19" s="339">
        <f t="shared" si="5"/>
        <v>0</v>
      </c>
      <c r="I19" s="337">
        <f t="shared" si="6"/>
        <v>4.0397993703483888</v>
      </c>
      <c r="J19" s="340">
        <f t="shared" si="7"/>
        <v>1.3206589682049998</v>
      </c>
      <c r="K19" s="348">
        <f t="shared" si="8"/>
        <v>1.000000269195511</v>
      </c>
      <c r="L19" s="349">
        <f t="shared" si="9"/>
        <v>7.3375125296195362E-4</v>
      </c>
      <c r="M19" s="337">
        <f t="shared" si="10"/>
        <v>1.0000000001370735</v>
      </c>
      <c r="N19" s="340">
        <f t="shared" si="11"/>
        <v>1.6557387955136546E-5</v>
      </c>
      <c r="O19" s="341">
        <f t="shared" si="12"/>
        <v>1.0000000000606808</v>
      </c>
      <c r="P19" s="342">
        <f t="shared" si="13"/>
        <v>2.4910371504704268E-5</v>
      </c>
      <c r="Q19" s="343">
        <f t="shared" si="14"/>
        <v>81.712441330247557</v>
      </c>
      <c r="R19" s="344">
        <f t="shared" si="15"/>
        <v>-75.671435457558573</v>
      </c>
      <c r="S19" s="346">
        <f t="shared" si="16"/>
        <v>104.32856454244143</v>
      </c>
      <c r="U19" s="319">
        <f t="shared" si="23"/>
        <v>1000000000</v>
      </c>
      <c r="V19" s="319">
        <f t="shared" si="24"/>
        <v>3.0199488400000001</v>
      </c>
      <c r="X19" s="345">
        <f t="shared" si="17"/>
        <v>85.580030794410931</v>
      </c>
      <c r="Y19" s="346">
        <f t="shared" si="18"/>
        <v>-75.627092959107458</v>
      </c>
      <c r="AA19" s="345">
        <f t="shared" si="19"/>
        <v>59.74153182499925</v>
      </c>
      <c r="AB19" s="346">
        <f t="shared" si="20"/>
        <v>-4.4342498451117179E-2</v>
      </c>
      <c r="AD19">
        <f t="shared" si="25"/>
        <v>0</v>
      </c>
      <c r="AE19">
        <f t="shared" si="21"/>
        <v>0</v>
      </c>
    </row>
    <row r="20" spans="1:31" x14ac:dyDescent="0.25">
      <c r="A20" s="347">
        <v>1.9055</v>
      </c>
      <c r="B20" s="364">
        <f t="shared" si="22"/>
        <v>1.9055000000000001E-3</v>
      </c>
      <c r="C20" s="337">
        <f t="shared" si="0"/>
        <v>1.0000003412848832</v>
      </c>
      <c r="D20" s="338">
        <f t="shared" si="1"/>
        <v>8.2617768818192712E-4</v>
      </c>
      <c r="E20" s="338">
        <f t="shared" si="2"/>
        <v>1.0000000000119309</v>
      </c>
      <c r="F20" s="339">
        <f t="shared" si="3"/>
        <v>4.8848247123343469E-6</v>
      </c>
      <c r="G20" s="338">
        <f t="shared" si="4"/>
        <v>1</v>
      </c>
      <c r="H20" s="339">
        <f t="shared" si="5"/>
        <v>0</v>
      </c>
      <c r="I20" s="337">
        <f t="shared" si="6"/>
        <v>4.4067496899904715</v>
      </c>
      <c r="J20" s="340">
        <f t="shared" si="7"/>
        <v>1.3418775700409031</v>
      </c>
      <c r="K20" s="348">
        <f t="shared" si="8"/>
        <v>1.000000323657833</v>
      </c>
      <c r="L20" s="349">
        <f t="shared" si="9"/>
        <v>8.045591907896259E-4</v>
      </c>
      <c r="M20" s="337">
        <f t="shared" si="10"/>
        <v>1.0000000001648055</v>
      </c>
      <c r="N20" s="340">
        <f t="shared" si="11"/>
        <v>1.8155197806381285E-5</v>
      </c>
      <c r="O20" s="341">
        <f t="shared" si="12"/>
        <v>1.0000000000729574</v>
      </c>
      <c r="P20" s="342">
        <f t="shared" si="13"/>
        <v>2.7314255324332155E-5</v>
      </c>
      <c r="Q20" s="343">
        <f t="shared" si="14"/>
        <v>80.957269594768775</v>
      </c>
      <c r="R20" s="344">
        <f t="shared" si="15"/>
        <v>-76.887485451052513</v>
      </c>
      <c r="S20" s="346">
        <f t="shared" si="16"/>
        <v>103.11251454894749</v>
      </c>
      <c r="U20" s="319">
        <f t="shared" si="23"/>
        <v>1000000000</v>
      </c>
      <c r="V20" s="319">
        <f t="shared" si="24"/>
        <v>3.63093025</v>
      </c>
      <c r="X20" s="345">
        <f t="shared" si="17"/>
        <v>84.824859557838366</v>
      </c>
      <c r="Y20" s="346">
        <f t="shared" si="18"/>
        <v>-76.838863844625294</v>
      </c>
      <c r="AA20" s="345">
        <f t="shared" si="19"/>
        <v>59.741531326093053</v>
      </c>
      <c r="AB20" s="346">
        <f t="shared" si="20"/>
        <v>-4.8621606427207059E-2</v>
      </c>
      <c r="AD20">
        <f t="shared" si="25"/>
        <v>0</v>
      </c>
      <c r="AE20">
        <f t="shared" si="21"/>
        <v>0</v>
      </c>
    </row>
    <row r="21" spans="1:31" x14ac:dyDescent="0.25">
      <c r="A21" s="347">
        <v>2.0893000000000002</v>
      </c>
      <c r="B21" s="364">
        <f t="shared" si="22"/>
        <v>2.0893000000000001E-3</v>
      </c>
      <c r="C21" s="337">
        <f t="shared" si="0"/>
        <v>1.0000004102992655</v>
      </c>
      <c r="D21" s="338">
        <f t="shared" si="1"/>
        <v>9.0586878220931706E-4</v>
      </c>
      <c r="E21" s="338">
        <f t="shared" si="2"/>
        <v>1.0000000000143434</v>
      </c>
      <c r="F21" s="339">
        <f t="shared" si="3"/>
        <v>5.3560032912431046E-6</v>
      </c>
      <c r="G21" s="338">
        <f t="shared" si="4"/>
        <v>1</v>
      </c>
      <c r="H21" s="339">
        <f t="shared" si="5"/>
        <v>0</v>
      </c>
      <c r="I21" s="337">
        <f t="shared" si="6"/>
        <v>4.8108429617979311</v>
      </c>
      <c r="J21" s="340">
        <f t="shared" si="7"/>
        <v>1.36140579811753</v>
      </c>
      <c r="K21" s="348">
        <f t="shared" si="8"/>
        <v>1.0000003891076867</v>
      </c>
      <c r="L21" s="349">
        <f t="shared" si="9"/>
        <v>8.8216501913976461E-4</v>
      </c>
      <c r="M21" s="337">
        <f t="shared" si="10"/>
        <v>1.0000000001981326</v>
      </c>
      <c r="N21" s="340">
        <f t="shared" si="11"/>
        <v>1.99064050254682E-5</v>
      </c>
      <c r="O21" s="341">
        <f t="shared" si="12"/>
        <v>1.0000000000877107</v>
      </c>
      <c r="P21" s="342">
        <f t="shared" si="13"/>
        <v>2.9948923458263029E-5</v>
      </c>
      <c r="Q21" s="343">
        <f t="shared" si="14"/>
        <v>80.19521360297162</v>
      </c>
      <c r="R21" s="344">
        <f t="shared" si="15"/>
        <v>-78.006714275016691</v>
      </c>
      <c r="S21" s="346">
        <f t="shared" si="16"/>
        <v>101.99328572498331</v>
      </c>
      <c r="U21" s="319">
        <f t="shared" si="23"/>
        <v>1000000000</v>
      </c>
      <c r="V21" s="319">
        <f t="shared" si="24"/>
        <v>4.3651744900000002</v>
      </c>
      <c r="X21" s="345">
        <f t="shared" si="17"/>
        <v>84.062804165599488</v>
      </c>
      <c r="Y21" s="346">
        <f t="shared" si="18"/>
        <v>-77.953402746411058</v>
      </c>
      <c r="AA21" s="345">
        <f t="shared" si="19"/>
        <v>59.741530726534776</v>
      </c>
      <c r="AB21" s="346">
        <f t="shared" si="20"/>
        <v>-5.3311528605639126E-2</v>
      </c>
      <c r="AD21">
        <f t="shared" si="25"/>
        <v>0</v>
      </c>
      <c r="AE21">
        <f t="shared" si="21"/>
        <v>0</v>
      </c>
    </row>
    <row r="22" spans="1:31" x14ac:dyDescent="0.25">
      <c r="A22" s="347">
        <v>2.2909000000000002</v>
      </c>
      <c r="B22" s="364">
        <f t="shared" si="22"/>
        <v>2.2909000000000002E-3</v>
      </c>
      <c r="C22" s="337">
        <f t="shared" si="0"/>
        <v>1.0000004933002977</v>
      </c>
      <c r="D22" s="338">
        <f t="shared" si="1"/>
        <v>9.9327749884227856E-4</v>
      </c>
      <c r="E22" s="338">
        <f t="shared" si="2"/>
        <v>1.0000000000172449</v>
      </c>
      <c r="F22" s="339">
        <f t="shared" si="3"/>
        <v>5.8728128750706427E-6</v>
      </c>
      <c r="G22" s="338">
        <f t="shared" si="4"/>
        <v>1</v>
      </c>
      <c r="H22" s="339">
        <f t="shared" si="5"/>
        <v>0</v>
      </c>
      <c r="I22" s="337">
        <f t="shared" si="6"/>
        <v>5.2558395484470699</v>
      </c>
      <c r="J22" s="340">
        <f t="shared" si="7"/>
        <v>1.3793647044466351</v>
      </c>
      <c r="K22" s="348">
        <f t="shared" si="8"/>
        <v>1.0000004678217929</v>
      </c>
      <c r="L22" s="349">
        <f t="shared" si="9"/>
        <v>9.6728652481487139E-4</v>
      </c>
      <c r="M22" s="337">
        <f t="shared" si="10"/>
        <v>1.0000000002382134</v>
      </c>
      <c r="N22" s="340">
        <f t="shared" si="11"/>
        <v>2.1827206849962448E-5</v>
      </c>
      <c r="O22" s="341">
        <f t="shared" si="12"/>
        <v>1.0000000001054543</v>
      </c>
      <c r="P22" s="342">
        <f t="shared" si="13"/>
        <v>3.283874443660184E-5</v>
      </c>
      <c r="Q22" s="343">
        <f t="shared" si="14"/>
        <v>79.42679520819199</v>
      </c>
      <c r="R22" s="344">
        <f t="shared" si="15"/>
        <v>-79.036060878431613</v>
      </c>
      <c r="S22" s="346">
        <f t="shared" si="16"/>
        <v>100.96393912156839</v>
      </c>
      <c r="U22" s="319">
        <f t="shared" si="23"/>
        <v>1000000000</v>
      </c>
      <c r="V22" s="319">
        <f t="shared" si="24"/>
        <v>5.2482228100000006</v>
      </c>
      <c r="X22" s="345">
        <f t="shared" si="17"/>
        <v>83.294386491886243</v>
      </c>
      <c r="Y22" s="346">
        <f t="shared" si="18"/>
        <v>-78.977605235726728</v>
      </c>
      <c r="AA22" s="345">
        <f t="shared" si="19"/>
        <v>59.741530005468377</v>
      </c>
      <c r="AB22" s="346">
        <f t="shared" si="20"/>
        <v>-5.8455642704882738E-2</v>
      </c>
      <c r="AD22">
        <f t="shared" si="25"/>
        <v>0</v>
      </c>
      <c r="AE22">
        <f t="shared" si="21"/>
        <v>0</v>
      </c>
    </row>
    <row r="23" spans="1:31" x14ac:dyDescent="0.25">
      <c r="A23" s="347">
        <v>2.5118999999999998</v>
      </c>
      <c r="B23" s="364">
        <f t="shared" si="22"/>
        <v>2.5118999999999996E-3</v>
      </c>
      <c r="C23" s="337">
        <f t="shared" si="0"/>
        <v>1.0000005930670326</v>
      </c>
      <c r="D23" s="338">
        <f t="shared" si="1"/>
        <v>1.0890975526630321E-3</v>
      </c>
      <c r="E23" s="338">
        <f t="shared" si="2"/>
        <v>1.0000000000207327</v>
      </c>
      <c r="F23" s="339">
        <f t="shared" si="3"/>
        <v>6.4393551271795567E-6</v>
      </c>
      <c r="G23" s="338">
        <f t="shared" si="4"/>
        <v>1</v>
      </c>
      <c r="H23" s="339">
        <f t="shared" si="5"/>
        <v>0</v>
      </c>
      <c r="I23" s="337">
        <f t="shared" si="6"/>
        <v>5.7452892944185416</v>
      </c>
      <c r="J23" s="340">
        <f t="shared" si="7"/>
        <v>1.3958496392996216</v>
      </c>
      <c r="K23" s="348">
        <f t="shared" si="8"/>
        <v>1.0000005624356698</v>
      </c>
      <c r="L23" s="349">
        <f t="shared" si="9"/>
        <v>1.060599270341471E-3</v>
      </c>
      <c r="M23" s="337">
        <f t="shared" si="10"/>
        <v>1.0000000002863905</v>
      </c>
      <c r="N23" s="340">
        <f t="shared" si="11"/>
        <v>2.3932847738731373E-5</v>
      </c>
      <c r="O23" s="341">
        <f t="shared" si="12"/>
        <v>1.0000000001267817</v>
      </c>
      <c r="P23" s="342">
        <f t="shared" si="13"/>
        <v>3.6006653346518516E-5</v>
      </c>
      <c r="Q23" s="343">
        <f t="shared" si="14"/>
        <v>78.653399098063005</v>
      </c>
      <c r="R23" s="344">
        <f t="shared" si="15"/>
        <v>-79.980991421985323</v>
      </c>
      <c r="S23" s="346">
        <f t="shared" si="16"/>
        <v>100.01900857801468</v>
      </c>
      <c r="U23" s="319">
        <f t="shared" si="23"/>
        <v>1000000000</v>
      </c>
      <c r="V23" s="319">
        <f t="shared" si="24"/>
        <v>6.309641609999999</v>
      </c>
      <c r="X23" s="345">
        <f t="shared" si="17"/>
        <v>82.520991248474601</v>
      </c>
      <c r="Y23" s="346">
        <f t="shared" si="18"/>
        <v>-79.91689664726691</v>
      </c>
      <c r="AA23" s="345">
        <f t="shared" si="19"/>
        <v>59.741529138751048</v>
      </c>
      <c r="AB23" s="346">
        <f t="shared" si="20"/>
        <v>-6.4094774718430392E-2</v>
      </c>
      <c r="AD23">
        <f t="shared" si="25"/>
        <v>0</v>
      </c>
      <c r="AE23">
        <f t="shared" si="21"/>
        <v>0</v>
      </c>
    </row>
    <row r="24" spans="1:31" x14ac:dyDescent="0.25">
      <c r="A24" s="347">
        <v>2.7542</v>
      </c>
      <c r="B24" s="364">
        <f t="shared" si="22"/>
        <v>2.7542000000000001E-3</v>
      </c>
      <c r="C24" s="337">
        <f t="shared" si="0"/>
        <v>1.0000007130007935</v>
      </c>
      <c r="D24" s="338">
        <f t="shared" si="1"/>
        <v>1.1941527288943468E-3</v>
      </c>
      <c r="E24" s="338">
        <f t="shared" si="2"/>
        <v>1.0000000000249254</v>
      </c>
      <c r="F24" s="339">
        <f t="shared" si="3"/>
        <v>7.0605007728127572E-6</v>
      </c>
      <c r="G24" s="338">
        <f t="shared" si="4"/>
        <v>1</v>
      </c>
      <c r="H24" s="339">
        <f t="shared" si="5"/>
        <v>0</v>
      </c>
      <c r="I24" s="337">
        <f t="shared" si="6"/>
        <v>6.2834132351899123</v>
      </c>
      <c r="J24" s="340">
        <f t="shared" si="7"/>
        <v>1.410967548219985</v>
      </c>
      <c r="K24" s="348">
        <f t="shared" si="8"/>
        <v>1.0000006761749649</v>
      </c>
      <c r="L24" s="349">
        <f t="shared" si="9"/>
        <v>1.1629054854406999E-3</v>
      </c>
      <c r="M24" s="337">
        <f t="shared" si="10"/>
        <v>1.0000000003443064</v>
      </c>
      <c r="N24" s="340">
        <f t="shared" si="11"/>
        <v>2.6241430486671011E-5</v>
      </c>
      <c r="O24" s="341">
        <f t="shared" si="12"/>
        <v>1.0000000001524203</v>
      </c>
      <c r="P24" s="342">
        <f t="shared" si="13"/>
        <v>3.9479885604033662E-5</v>
      </c>
      <c r="Q24" s="343">
        <f t="shared" si="14"/>
        <v>77.875724628843685</v>
      </c>
      <c r="R24" s="344">
        <f t="shared" si="15"/>
        <v>-80.847636987620319</v>
      </c>
      <c r="S24" s="346">
        <f t="shared" si="16"/>
        <v>99.152363012379681</v>
      </c>
      <c r="U24" s="319">
        <f t="shared" si="23"/>
        <v>1000000000</v>
      </c>
      <c r="V24" s="319">
        <f t="shared" si="24"/>
        <v>7.5856176399999997</v>
      </c>
      <c r="X24" s="345">
        <f t="shared" si="17"/>
        <v>81.743317821172269</v>
      </c>
      <c r="Y24" s="346">
        <f t="shared" si="18"/>
        <v>-80.7773595821551</v>
      </c>
      <c r="AA24" s="345">
        <f t="shared" si="19"/>
        <v>59.741528096834038</v>
      </c>
      <c r="AB24" s="346">
        <f t="shared" si="20"/>
        <v>-7.02774054652191E-2</v>
      </c>
      <c r="AD24">
        <f t="shared" si="25"/>
        <v>0</v>
      </c>
      <c r="AE24">
        <f t="shared" si="21"/>
        <v>0</v>
      </c>
    </row>
    <row r="25" spans="1:31" x14ac:dyDescent="0.25">
      <c r="A25" s="347">
        <v>3.02</v>
      </c>
      <c r="B25" s="364">
        <f t="shared" si="22"/>
        <v>3.0200000000000001E-3</v>
      </c>
      <c r="C25" s="337">
        <f t="shared" si="0"/>
        <v>1.0000008572607106</v>
      </c>
      <c r="D25" s="338">
        <f t="shared" si="1"/>
        <v>1.3093968827345454E-3</v>
      </c>
      <c r="E25" s="338">
        <f t="shared" si="2"/>
        <v>1.0000000000299685</v>
      </c>
      <c r="F25" s="339">
        <f t="shared" si="3"/>
        <v>7.7418895990933248E-6</v>
      </c>
      <c r="G25" s="338">
        <f t="shared" si="4"/>
        <v>1</v>
      </c>
      <c r="H25" s="339">
        <f t="shared" si="5"/>
        <v>0</v>
      </c>
      <c r="I25" s="337">
        <f t="shared" si="6"/>
        <v>6.875108742445887</v>
      </c>
      <c r="J25" s="340">
        <f t="shared" si="7"/>
        <v>1.4248262636108897</v>
      </c>
      <c r="K25" s="348">
        <f t="shared" si="8"/>
        <v>1.0000008129839946</v>
      </c>
      <c r="L25" s="349">
        <f t="shared" si="9"/>
        <v>1.2751340664141611E-3</v>
      </c>
      <c r="M25" s="337">
        <f t="shared" si="10"/>
        <v>1.0000000004139691</v>
      </c>
      <c r="N25" s="340">
        <f t="shared" si="11"/>
        <v>2.8773916224698996E-5</v>
      </c>
      <c r="O25" s="341">
        <f t="shared" si="12"/>
        <v>1.000000000183259</v>
      </c>
      <c r="P25" s="342">
        <f t="shared" si="13"/>
        <v>4.328997695402349E-5</v>
      </c>
      <c r="Q25" s="343">
        <f t="shared" si="14"/>
        <v>77.094045578546385</v>
      </c>
      <c r="R25" s="344">
        <f t="shared" si="15"/>
        <v>-81.642180031692561</v>
      </c>
      <c r="S25" s="346">
        <f t="shared" si="16"/>
        <v>98.357819968307439</v>
      </c>
      <c r="U25" s="319">
        <f t="shared" si="23"/>
        <v>1000000000</v>
      </c>
      <c r="V25" s="319">
        <f t="shared" si="24"/>
        <v>9.1204000000000001</v>
      </c>
      <c r="X25" s="345">
        <f t="shared" si="17"/>
        <v>80.961640024123781</v>
      </c>
      <c r="Y25" s="346">
        <f t="shared" si="18"/>
        <v>-81.565120361141041</v>
      </c>
      <c r="AA25" s="345">
        <f t="shared" si="19"/>
        <v>59.741526843585248</v>
      </c>
      <c r="AB25" s="346">
        <f t="shared" si="20"/>
        <v>-7.7059670551529194E-2</v>
      </c>
      <c r="AD25">
        <f t="shared" si="25"/>
        <v>0</v>
      </c>
      <c r="AE25">
        <f t="shared" si="21"/>
        <v>0</v>
      </c>
    </row>
    <row r="26" spans="1:31" x14ac:dyDescent="0.25">
      <c r="A26" s="347">
        <v>3.3113000000000001</v>
      </c>
      <c r="B26" s="364">
        <f t="shared" si="22"/>
        <v>3.3113000000000001E-3</v>
      </c>
      <c r="C26" s="337">
        <f t="shared" si="0"/>
        <v>1.0000010306140401</v>
      </c>
      <c r="D26" s="338">
        <f t="shared" si="1"/>
        <v>1.4356971512301381E-3</v>
      </c>
      <c r="E26" s="338">
        <f t="shared" si="2"/>
        <v>1.0000000000360285</v>
      </c>
      <c r="F26" s="339">
        <f t="shared" si="3"/>
        <v>8.488648685223232E-6</v>
      </c>
      <c r="G26" s="338">
        <f t="shared" si="4"/>
        <v>1</v>
      </c>
      <c r="H26" s="339">
        <f t="shared" si="5"/>
        <v>0</v>
      </c>
      <c r="I26" s="337">
        <f t="shared" si="6"/>
        <v>7.5248360681293223</v>
      </c>
      <c r="J26" s="340">
        <f t="shared" si="7"/>
        <v>1.4375087616469269</v>
      </c>
      <c r="K26" s="348">
        <f t="shared" si="8"/>
        <v>1.0000009773837906</v>
      </c>
      <c r="L26" s="349">
        <f t="shared" si="9"/>
        <v>1.39812946071139E-3</v>
      </c>
      <c r="M26" s="337">
        <f t="shared" si="10"/>
        <v>1.000000000497681</v>
      </c>
      <c r="N26" s="340">
        <f t="shared" si="11"/>
        <v>3.1549360526333924E-5</v>
      </c>
      <c r="O26" s="341">
        <f t="shared" si="12"/>
        <v>1.0000000002203173</v>
      </c>
      <c r="P26" s="342">
        <f t="shared" si="13"/>
        <v>4.7465596255496542E-5</v>
      </c>
      <c r="Q26" s="343">
        <f t="shared" si="14"/>
        <v>76.309696072733644</v>
      </c>
      <c r="R26" s="344">
        <f t="shared" si="15"/>
        <v>-82.369378479478414</v>
      </c>
      <c r="S26" s="346">
        <f t="shared" si="16"/>
        <v>97.630621520521586</v>
      </c>
      <c r="U26" s="319">
        <f t="shared" si="23"/>
        <v>1000000000</v>
      </c>
      <c r="V26" s="319">
        <f t="shared" si="24"/>
        <v>10.964707690000001</v>
      </c>
      <c r="X26" s="345">
        <f t="shared" si="17"/>
        <v>80.177292024306738</v>
      </c>
      <c r="Y26" s="346">
        <f t="shared" si="18"/>
        <v>-82.284885877363337</v>
      </c>
      <c r="AA26" s="345">
        <f t="shared" si="19"/>
        <v>59.741525337589529</v>
      </c>
      <c r="AB26" s="346">
        <f t="shared" si="20"/>
        <v>-8.4492602115068621E-2</v>
      </c>
      <c r="AD26">
        <f t="shared" si="25"/>
        <v>0</v>
      </c>
      <c r="AE26">
        <f t="shared" si="21"/>
        <v>0</v>
      </c>
    </row>
    <row r="27" spans="1:31" x14ac:dyDescent="0.25">
      <c r="A27" s="347">
        <v>3.6307999999999998</v>
      </c>
      <c r="B27" s="364">
        <f t="shared" si="22"/>
        <v>3.6308E-3</v>
      </c>
      <c r="C27" s="337">
        <f t="shared" si="0"/>
        <v>1.0000012390921473</v>
      </c>
      <c r="D27" s="338">
        <f t="shared" si="1"/>
        <v>1.5742241694179804E-3</v>
      </c>
      <c r="E27" s="338">
        <f t="shared" si="2"/>
        <v>1.0000000000433167</v>
      </c>
      <c r="F27" s="339">
        <f t="shared" si="3"/>
        <v>9.3076995881251343E-6</v>
      </c>
      <c r="G27" s="338">
        <f t="shared" si="4"/>
        <v>1</v>
      </c>
      <c r="H27" s="339">
        <f t="shared" si="5"/>
        <v>0</v>
      </c>
      <c r="I27" s="337">
        <f t="shared" si="6"/>
        <v>8.2386233062106324</v>
      </c>
      <c r="J27" s="340">
        <f t="shared" si="7"/>
        <v>1.4491167835272842</v>
      </c>
      <c r="K27" s="348">
        <f t="shared" si="8"/>
        <v>1.0000011750942051</v>
      </c>
      <c r="L27" s="349">
        <f t="shared" si="9"/>
        <v>1.5330316724114857E-3</v>
      </c>
      <c r="M27" s="337">
        <f t="shared" si="10"/>
        <v>1.0000000005983547</v>
      </c>
      <c r="N27" s="340">
        <f t="shared" si="11"/>
        <v>3.4593488415826147E-5</v>
      </c>
      <c r="O27" s="341">
        <f t="shared" si="12"/>
        <v>1.0000000002648841</v>
      </c>
      <c r="P27" s="342">
        <f t="shared" si="13"/>
        <v>5.2045446468114229E-5</v>
      </c>
      <c r="Q27" s="343">
        <f t="shared" si="14"/>
        <v>75.522543917325351</v>
      </c>
      <c r="R27" s="344">
        <f t="shared" si="15"/>
        <v>-83.035066722200767</v>
      </c>
      <c r="S27" s="346">
        <f t="shared" si="16"/>
        <v>96.964933277799233</v>
      </c>
      <c r="U27" s="319">
        <f t="shared" si="23"/>
        <v>1000000000</v>
      </c>
      <c r="V27" s="319">
        <f t="shared" si="24"/>
        <v>13.182708639999998</v>
      </c>
      <c r="X27" s="345">
        <f t="shared" si="17"/>
        <v>79.390141680038028</v>
      </c>
      <c r="Y27" s="346">
        <f t="shared" si="18"/>
        <v>-82.942421628657641</v>
      </c>
      <c r="AA27" s="345">
        <f t="shared" si="19"/>
        <v>59.74152352644996</v>
      </c>
      <c r="AB27" s="346">
        <f t="shared" si="20"/>
        <v>-9.2645093543121976E-2</v>
      </c>
      <c r="AD27">
        <f t="shared" si="25"/>
        <v>0</v>
      </c>
      <c r="AE27">
        <f t="shared" si="21"/>
        <v>0</v>
      </c>
    </row>
    <row r="28" spans="1:31" x14ac:dyDescent="0.25">
      <c r="A28" s="347">
        <v>3.9811000000000001</v>
      </c>
      <c r="B28" s="364">
        <f t="shared" si="22"/>
        <v>3.9811000000000004E-3</v>
      </c>
      <c r="C28" s="337">
        <f t="shared" si="0"/>
        <v>1.0000014897214462</v>
      </c>
      <c r="D28" s="338">
        <f t="shared" si="1"/>
        <v>1.7261052092425394E-3</v>
      </c>
      <c r="E28" s="338">
        <f t="shared" si="2"/>
        <v>1.0000000000520783</v>
      </c>
      <c r="F28" s="339">
        <f t="shared" si="3"/>
        <v>1.020570751076031E-5</v>
      </c>
      <c r="G28" s="338">
        <f t="shared" si="4"/>
        <v>1</v>
      </c>
      <c r="H28" s="339">
        <f t="shared" si="5"/>
        <v>0</v>
      </c>
      <c r="I28" s="337">
        <f t="shared" si="6"/>
        <v>9.0222841893707528</v>
      </c>
      <c r="J28" s="340">
        <f t="shared" si="7"/>
        <v>1.459731452024924</v>
      </c>
      <c r="K28" s="348">
        <f t="shared" si="8"/>
        <v>1.0000014127787458</v>
      </c>
      <c r="L28" s="349">
        <f t="shared" si="9"/>
        <v>1.6809384774581482E-3</v>
      </c>
      <c r="M28" s="337">
        <f t="shared" si="10"/>
        <v>1.000000000719383</v>
      </c>
      <c r="N28" s="340">
        <f t="shared" si="11"/>
        <v>3.7931072138683895E-5</v>
      </c>
      <c r="O28" s="341">
        <f t="shared" si="12"/>
        <v>1.0000000003184621</v>
      </c>
      <c r="P28" s="342">
        <f t="shared" si="13"/>
        <v>5.7066797108634102E-5</v>
      </c>
      <c r="Q28" s="343">
        <f t="shared" si="14"/>
        <v>74.733306672621652</v>
      </c>
      <c r="R28" s="344">
        <f t="shared" si="15"/>
        <v>-83.643897615217583</v>
      </c>
      <c r="S28" s="346">
        <f t="shared" si="16"/>
        <v>96.356102384782417</v>
      </c>
      <c r="U28" s="319">
        <f t="shared" si="23"/>
        <v>1000000000</v>
      </c>
      <c r="V28" s="319">
        <f t="shared" si="24"/>
        <v>15.849157210000001</v>
      </c>
      <c r="X28" s="345">
        <f t="shared" si="17"/>
        <v>78.60090661265906</v>
      </c>
      <c r="Y28" s="346">
        <f t="shared" si="18"/>
        <v>-83.542314128959021</v>
      </c>
      <c r="AA28" s="345">
        <f t="shared" si="19"/>
        <v>59.741521349125222</v>
      </c>
      <c r="AB28" s="346">
        <f t="shared" si="20"/>
        <v>-0.10158348625856198</v>
      </c>
      <c r="AD28">
        <f t="shared" si="25"/>
        <v>0</v>
      </c>
      <c r="AE28">
        <f t="shared" si="21"/>
        <v>0</v>
      </c>
    </row>
    <row r="29" spans="1:31" x14ac:dyDescent="0.25">
      <c r="A29" s="347">
        <v>4.3651999999999997</v>
      </c>
      <c r="B29" s="364">
        <f t="shared" si="22"/>
        <v>4.3651999999999996E-3</v>
      </c>
      <c r="C29" s="337">
        <f t="shared" si="0"/>
        <v>1.0000017910475845</v>
      </c>
      <c r="D29" s="338">
        <f t="shared" si="1"/>
        <v>1.892640965001422E-3</v>
      </c>
      <c r="E29" s="338">
        <f t="shared" si="2"/>
        <v>1.0000000000626121</v>
      </c>
      <c r="F29" s="339">
        <f t="shared" si="3"/>
        <v>1.1190363071929378E-5</v>
      </c>
      <c r="G29" s="338">
        <f t="shared" si="4"/>
        <v>1</v>
      </c>
      <c r="H29" s="339">
        <f t="shared" si="5"/>
        <v>0</v>
      </c>
      <c r="I29" s="337">
        <f t="shared" si="6"/>
        <v>9.8825336026520159</v>
      </c>
      <c r="J29" s="340">
        <f t="shared" si="7"/>
        <v>1.4694342192070846</v>
      </c>
      <c r="K29" s="348">
        <f t="shared" si="8"/>
        <v>1.000001698541688</v>
      </c>
      <c r="L29" s="349">
        <f t="shared" si="9"/>
        <v>1.8431165366154347E-3</v>
      </c>
      <c r="M29" s="337">
        <f t="shared" si="10"/>
        <v>1.0000000008648928</v>
      </c>
      <c r="N29" s="340">
        <f t="shared" si="11"/>
        <v>4.1590695055065403E-5</v>
      </c>
      <c r="O29" s="341">
        <f t="shared" si="12"/>
        <v>1.0000000003828773</v>
      </c>
      <c r="P29" s="342">
        <f t="shared" si="13"/>
        <v>6.2572651465653162E-5</v>
      </c>
      <c r="Q29" s="343">
        <f t="shared" si="14"/>
        <v>73.942270594498126</v>
      </c>
      <c r="R29" s="344">
        <f t="shared" si="15"/>
        <v>-84.200543629170213</v>
      </c>
      <c r="S29" s="346">
        <f t="shared" si="16"/>
        <v>95.799456370829787</v>
      </c>
      <c r="U29" s="319">
        <f t="shared" si="23"/>
        <v>1000000000</v>
      </c>
      <c r="V29" s="319">
        <f t="shared" si="24"/>
        <v>19.054971039999998</v>
      </c>
      <c r="X29" s="345">
        <f t="shared" si="17"/>
        <v>77.809873152284837</v>
      </c>
      <c r="Y29" s="346">
        <f t="shared" si="18"/>
        <v>-84.08915930134809</v>
      </c>
      <c r="AA29" s="345">
        <f t="shared" si="19"/>
        <v>59.741518731375933</v>
      </c>
      <c r="AB29" s="346">
        <f t="shared" si="20"/>
        <v>-0.11138432782210839</v>
      </c>
      <c r="AD29">
        <f t="shared" si="25"/>
        <v>0</v>
      </c>
      <c r="AE29">
        <f t="shared" si="21"/>
        <v>0</v>
      </c>
    </row>
    <row r="30" spans="1:31" x14ac:dyDescent="0.25">
      <c r="A30" s="347">
        <v>4.7862999999999998</v>
      </c>
      <c r="B30" s="364">
        <f t="shared" si="22"/>
        <v>4.7862999999999994E-3</v>
      </c>
      <c r="C30" s="337">
        <f t="shared" si="0"/>
        <v>1.0000021532704726</v>
      </c>
      <c r="D30" s="338">
        <f t="shared" si="1"/>
        <v>2.0752188360821859E-3</v>
      </c>
      <c r="E30" s="338">
        <f t="shared" si="2"/>
        <v>1.0000000000752749</v>
      </c>
      <c r="F30" s="339">
        <f t="shared" si="3"/>
        <v>1.2269869598351378E-5</v>
      </c>
      <c r="G30" s="338">
        <f t="shared" si="4"/>
        <v>1</v>
      </c>
      <c r="H30" s="339">
        <f t="shared" si="5"/>
        <v>0</v>
      </c>
      <c r="I30" s="337">
        <f t="shared" si="6"/>
        <v>10.826541037889516</v>
      </c>
      <c r="J30" s="340">
        <f t="shared" si="7"/>
        <v>1.4782988814854694</v>
      </c>
      <c r="K30" s="348">
        <f t="shared" si="8"/>
        <v>1.0000020420561293</v>
      </c>
      <c r="L30" s="349">
        <f t="shared" si="9"/>
        <v>2.0209169474363691E-3</v>
      </c>
      <c r="M30" s="337">
        <f t="shared" si="10"/>
        <v>1.0000000010398098</v>
      </c>
      <c r="N30" s="340">
        <f t="shared" si="11"/>
        <v>4.5602846082389413E-5</v>
      </c>
      <c r="O30" s="341">
        <f t="shared" si="12"/>
        <v>1.0000000004603109</v>
      </c>
      <c r="P30" s="342">
        <f t="shared" si="13"/>
        <v>6.8608879713733626E-5</v>
      </c>
      <c r="Q30" s="343">
        <f t="shared" si="14"/>
        <v>73.149841895643092</v>
      </c>
      <c r="R30" s="344">
        <f t="shared" si="15"/>
        <v>-84.709238971976944</v>
      </c>
      <c r="S30" s="346">
        <f t="shared" si="16"/>
        <v>95.290761028023056</v>
      </c>
      <c r="U30" s="319">
        <f t="shared" si="23"/>
        <v>1000000000</v>
      </c>
      <c r="V30" s="319">
        <f t="shared" si="24"/>
        <v>22.908667689999998</v>
      </c>
      <c r="X30" s="345">
        <f t="shared" si="17"/>
        <v>77.017447600214211</v>
      </c>
      <c r="Y30" s="346">
        <f t="shared" si="18"/>
        <v>-84.587109703462275</v>
      </c>
      <c r="AA30" s="345">
        <f t="shared" si="19"/>
        <v>59.741515584591511</v>
      </c>
      <c r="AB30" s="346">
        <f t="shared" si="20"/>
        <v>-0.12212926851466954</v>
      </c>
      <c r="AD30">
        <f t="shared" si="25"/>
        <v>0</v>
      </c>
      <c r="AE30">
        <f t="shared" si="21"/>
        <v>0</v>
      </c>
    </row>
    <row r="31" spans="1:31" x14ac:dyDescent="0.25">
      <c r="A31" s="347">
        <v>5.2481</v>
      </c>
      <c r="B31" s="364">
        <f t="shared" si="22"/>
        <v>5.2481000000000003E-3</v>
      </c>
      <c r="C31" s="337">
        <f t="shared" si="0"/>
        <v>1.0000025888259987</v>
      </c>
      <c r="D31" s="338">
        <f t="shared" si="1"/>
        <v>2.2754429958920606E-3</v>
      </c>
      <c r="E31" s="338">
        <f t="shared" si="2"/>
        <v>1.0000000000905012</v>
      </c>
      <c r="F31" s="339">
        <f t="shared" si="3"/>
        <v>1.3453712186543722E-5</v>
      </c>
      <c r="G31" s="338">
        <f t="shared" si="4"/>
        <v>1</v>
      </c>
      <c r="H31" s="339">
        <f t="shared" si="5"/>
        <v>0</v>
      </c>
      <c r="I31" s="337">
        <f t="shared" si="6"/>
        <v>11.862603180695459</v>
      </c>
      <c r="J31" s="340">
        <f t="shared" si="7"/>
        <v>1.4863976360591562</v>
      </c>
      <c r="K31" s="348">
        <f t="shared" si="8"/>
        <v>1.0000024551156601</v>
      </c>
      <c r="L31" s="349">
        <f t="shared" si="9"/>
        <v>2.2159019098775398E-3</v>
      </c>
      <c r="M31" s="337">
        <f t="shared" si="10"/>
        <v>1.0000000012501389</v>
      </c>
      <c r="N31" s="340">
        <f t="shared" si="11"/>
        <v>5.0002778031345594E-5</v>
      </c>
      <c r="O31" s="341">
        <f t="shared" si="12"/>
        <v>1.0000000005534209</v>
      </c>
      <c r="P31" s="342">
        <f t="shared" si="13"/>
        <v>7.5228519242266322E-5</v>
      </c>
      <c r="Q31" s="343">
        <f t="shared" si="14"/>
        <v>72.356036167445893</v>
      </c>
      <c r="R31" s="344">
        <f t="shared" si="15"/>
        <v>-85.174127158543726</v>
      </c>
      <c r="S31" s="346">
        <f t="shared" si="16"/>
        <v>94.825872841456274</v>
      </c>
      <c r="U31" s="319">
        <f t="shared" si="23"/>
        <v>1000000000</v>
      </c>
      <c r="V31" s="319">
        <f t="shared" si="24"/>
        <v>27.542553609999999</v>
      </c>
      <c r="X31" s="345">
        <f t="shared" si="17"/>
        <v>76.223645655871763</v>
      </c>
      <c r="Y31" s="346">
        <f t="shared" si="18"/>
        <v>-85.040214442478955</v>
      </c>
      <c r="AA31" s="345">
        <f t="shared" si="19"/>
        <v>59.74151180073676</v>
      </c>
      <c r="AB31" s="346">
        <f t="shared" si="20"/>
        <v>-0.13391271606476446</v>
      </c>
      <c r="AD31">
        <f t="shared" si="25"/>
        <v>0</v>
      </c>
      <c r="AE31">
        <f t="shared" si="21"/>
        <v>0</v>
      </c>
    </row>
    <row r="32" spans="1:31" x14ac:dyDescent="0.25">
      <c r="A32" s="347">
        <v>5.7544000000000004</v>
      </c>
      <c r="B32" s="364">
        <f t="shared" si="22"/>
        <v>5.7544000000000007E-3</v>
      </c>
      <c r="C32" s="337">
        <f t="shared" si="0"/>
        <v>1.0000031124231641</v>
      </c>
      <c r="D32" s="338">
        <f t="shared" si="1"/>
        <v>2.4949609582485184E-3</v>
      </c>
      <c r="E32" s="338">
        <f t="shared" si="2"/>
        <v>1.0000000001088054</v>
      </c>
      <c r="F32" s="339">
        <f t="shared" si="3"/>
        <v>1.4751632286980523E-5</v>
      </c>
      <c r="G32" s="338">
        <f t="shared" si="4"/>
        <v>1</v>
      </c>
      <c r="H32" s="339">
        <f t="shared" si="5"/>
        <v>0</v>
      </c>
      <c r="I32" s="337">
        <f t="shared" si="6"/>
        <v>12.999247119448693</v>
      </c>
      <c r="J32" s="340">
        <f t="shared" si="7"/>
        <v>1.4937927177250123</v>
      </c>
      <c r="K32" s="348">
        <f t="shared" si="8"/>
        <v>1.0000029516695823</v>
      </c>
      <c r="L32" s="349">
        <f t="shared" si="9"/>
        <v>2.4296758310831442E-3</v>
      </c>
      <c r="M32" s="337">
        <f t="shared" si="10"/>
        <v>1.0000000015029833</v>
      </c>
      <c r="N32" s="340">
        <f t="shared" si="11"/>
        <v>5.4826696491125075E-5</v>
      </c>
      <c r="O32" s="341">
        <f t="shared" si="12"/>
        <v>1.000000000665352</v>
      </c>
      <c r="P32" s="342">
        <f t="shared" si="13"/>
        <v>8.2486040883715273E-5</v>
      </c>
      <c r="Q32" s="343">
        <f t="shared" si="14"/>
        <v>71.561271990355266</v>
      </c>
      <c r="R32" s="344">
        <f t="shared" si="15"/>
        <v>-85.598781087136729</v>
      </c>
      <c r="S32" s="346">
        <f t="shared" si="16"/>
        <v>94.401218912863271</v>
      </c>
      <c r="U32" s="319">
        <f t="shared" si="23"/>
        <v>1000000000</v>
      </c>
      <c r="V32" s="319">
        <f t="shared" si="24"/>
        <v>33.113119360000006</v>
      </c>
      <c r="X32" s="345">
        <f t="shared" si="17"/>
        <v>75.428886027488602</v>
      </c>
      <c r="Y32" s="346">
        <f t="shared" si="18"/>
        <v>-85.451949458270988</v>
      </c>
      <c r="AA32" s="345">
        <f t="shared" si="19"/>
        <v>59.741507252029308</v>
      </c>
      <c r="AB32" s="346">
        <f t="shared" si="20"/>
        <v>-0.14683162886574283</v>
      </c>
      <c r="AD32">
        <f t="shared" si="25"/>
        <v>0</v>
      </c>
      <c r="AE32">
        <f t="shared" si="21"/>
        <v>0</v>
      </c>
    </row>
    <row r="33" spans="1:31" x14ac:dyDescent="0.25">
      <c r="A33" s="347">
        <v>6.3095999999999997</v>
      </c>
      <c r="B33" s="364">
        <f t="shared" si="22"/>
        <v>6.3095999999999994E-3</v>
      </c>
      <c r="C33" s="337">
        <f t="shared" si="0"/>
        <v>1.0000037419851806</v>
      </c>
      <c r="D33" s="338">
        <f t="shared" si="1"/>
        <v>2.7356803585174851E-3</v>
      </c>
      <c r="E33" s="338">
        <f t="shared" si="2"/>
        <v>1.0000000001308138</v>
      </c>
      <c r="F33" s="339">
        <f t="shared" si="3"/>
        <v>1.6174909473892438E-5</v>
      </c>
      <c r="G33" s="338">
        <f t="shared" si="4"/>
        <v>1</v>
      </c>
      <c r="H33" s="339">
        <f t="shared" si="5"/>
        <v>0</v>
      </c>
      <c r="I33" s="337">
        <f t="shared" si="6"/>
        <v>14.246352076052419</v>
      </c>
      <c r="J33" s="340">
        <f t="shared" si="7"/>
        <v>1.5005451490549691</v>
      </c>
      <c r="K33" s="348">
        <f t="shared" si="8"/>
        <v>1.0000035487154002</v>
      </c>
      <c r="L33" s="349">
        <f t="shared" si="9"/>
        <v>2.6640964343627857E-3</v>
      </c>
      <c r="M33" s="337">
        <f t="shared" si="10"/>
        <v>1.0000000018069981</v>
      </c>
      <c r="N33" s="340">
        <f t="shared" si="11"/>
        <v>6.0116523722766901E-5</v>
      </c>
      <c r="O33" s="341">
        <f t="shared" si="12"/>
        <v>1.0000000007999357</v>
      </c>
      <c r="P33" s="342">
        <f t="shared" si="13"/>
        <v>9.0444516128393134E-5</v>
      </c>
      <c r="Q33" s="343">
        <f t="shared" si="14"/>
        <v>70.765562241387897</v>
      </c>
      <c r="R33" s="344">
        <f t="shared" si="15"/>
        <v>-85.986705322763655</v>
      </c>
      <c r="S33" s="346">
        <f t="shared" si="16"/>
        <v>94.013294677236345</v>
      </c>
      <c r="U33" s="319">
        <f t="shared" si="23"/>
        <v>1000000000</v>
      </c>
      <c r="V33" s="319">
        <f t="shared" si="24"/>
        <v>39.811052159999996</v>
      </c>
      <c r="X33" s="345">
        <f t="shared" si="17"/>
        <v>74.633181747786494</v>
      </c>
      <c r="Y33" s="346">
        <f t="shared" si="18"/>
        <v>-85.825707048932401</v>
      </c>
      <c r="AA33" s="345">
        <f t="shared" si="19"/>
        <v>59.741501782764033</v>
      </c>
      <c r="AB33" s="346">
        <f t="shared" si="20"/>
        <v>-0.16099827383125481</v>
      </c>
      <c r="AD33">
        <f t="shared" si="25"/>
        <v>0</v>
      </c>
      <c r="AE33">
        <f t="shared" si="21"/>
        <v>0</v>
      </c>
    </row>
    <row r="34" spans="1:31" x14ac:dyDescent="0.25">
      <c r="A34" s="347">
        <v>6.9183000000000003</v>
      </c>
      <c r="B34" s="364">
        <f t="shared" si="22"/>
        <v>6.9183000000000005E-3</v>
      </c>
      <c r="C34" s="337">
        <f t="shared" si="0"/>
        <v>1.0000044988034993</v>
      </c>
      <c r="D34" s="338">
        <f t="shared" si="1"/>
        <v>2.9995955171807876E-3</v>
      </c>
      <c r="E34" s="338">
        <f t="shared" si="2"/>
        <v>1.0000000001572711</v>
      </c>
      <c r="F34" s="339">
        <f t="shared" si="3"/>
        <v>1.7735336029424418E-5</v>
      </c>
      <c r="G34" s="338">
        <f t="shared" si="4"/>
        <v>1</v>
      </c>
      <c r="H34" s="339">
        <f t="shared" si="5"/>
        <v>0</v>
      </c>
      <c r="I34" s="337">
        <f t="shared" si="6"/>
        <v>15.614251617817658</v>
      </c>
      <c r="J34" s="340">
        <f t="shared" si="7"/>
        <v>1.5067084091548764</v>
      </c>
      <c r="K34" s="348">
        <f t="shared" si="8"/>
        <v>1.0000042664448954</v>
      </c>
      <c r="L34" s="349">
        <f t="shared" si="9"/>
        <v>2.9211058613682495E-3</v>
      </c>
      <c r="M34" s="337">
        <f t="shared" si="10"/>
        <v>1.0000000021724653</v>
      </c>
      <c r="N34" s="340">
        <f t="shared" si="11"/>
        <v>6.5916087544358668E-5</v>
      </c>
      <c r="O34" s="341">
        <f t="shared" si="12"/>
        <v>1.0000000009617234</v>
      </c>
      <c r="P34" s="342">
        <f t="shared" si="13"/>
        <v>9.9169883352727024E-5</v>
      </c>
      <c r="Q34" s="343">
        <f t="shared" si="14"/>
        <v>69.969211886803492</v>
      </c>
      <c r="R34" s="344">
        <f t="shared" si="15"/>
        <v>-86.340972595603745</v>
      </c>
      <c r="S34" s="346">
        <f t="shared" si="16"/>
        <v>93.659027404396255</v>
      </c>
      <c r="U34" s="319">
        <f t="shared" si="23"/>
        <v>1000000000</v>
      </c>
      <c r="V34" s="319">
        <f t="shared" si="24"/>
        <v>47.862874890000008</v>
      </c>
      <c r="X34" s="345">
        <f t="shared" si="17"/>
        <v>73.836837967990874</v>
      </c>
      <c r="Y34" s="346">
        <f t="shared" si="18"/>
        <v>-86.164442576153021</v>
      </c>
      <c r="AA34" s="345">
        <f t="shared" si="19"/>
        <v>59.741495207975255</v>
      </c>
      <c r="AB34" s="346">
        <f t="shared" si="20"/>
        <v>-0.17653001945071911</v>
      </c>
      <c r="AD34">
        <f t="shared" si="25"/>
        <v>0</v>
      </c>
      <c r="AE34">
        <f t="shared" si="21"/>
        <v>0</v>
      </c>
    </row>
    <row r="35" spans="1:31" x14ac:dyDescent="0.25">
      <c r="A35" s="347">
        <v>7.5857999999999999</v>
      </c>
      <c r="B35" s="364">
        <f t="shared" si="22"/>
        <v>7.5858000000000002E-3</v>
      </c>
      <c r="C35" s="337">
        <f t="shared" si="0"/>
        <v>1.0000054087987467</v>
      </c>
      <c r="D35" s="338">
        <f t="shared" si="1"/>
        <v>3.2890042163626755E-3</v>
      </c>
      <c r="E35" s="338">
        <f t="shared" si="2"/>
        <v>1.0000000001890832</v>
      </c>
      <c r="F35" s="339">
        <f t="shared" si="3"/>
        <v>1.9446498713434583E-5</v>
      </c>
      <c r="G35" s="338">
        <f t="shared" si="4"/>
        <v>1</v>
      </c>
      <c r="H35" s="339">
        <f t="shared" si="5"/>
        <v>0</v>
      </c>
      <c r="I35" s="337">
        <f t="shared" si="6"/>
        <v>17.114856871505658</v>
      </c>
      <c r="J35" s="340">
        <f t="shared" si="7"/>
        <v>1.5123342625061544</v>
      </c>
      <c r="K35" s="348">
        <f t="shared" si="8"/>
        <v>1.0000051294399388</v>
      </c>
      <c r="L35" s="349">
        <f t="shared" si="9"/>
        <v>3.20294177681222E-3</v>
      </c>
      <c r="M35" s="337">
        <f t="shared" si="10"/>
        <v>1.0000000026119018</v>
      </c>
      <c r="N35" s="340">
        <f t="shared" si="11"/>
        <v>7.2275885224333921E-5</v>
      </c>
      <c r="O35" s="341">
        <f t="shared" si="12"/>
        <v>1.0000000011562564</v>
      </c>
      <c r="P35" s="342">
        <f t="shared" si="13"/>
        <v>1.0873811503406813E-4</v>
      </c>
      <c r="Q35" s="343">
        <f t="shared" si="14"/>
        <v>69.172169513662254</v>
      </c>
      <c r="R35" s="344">
        <f t="shared" si="15"/>
        <v>-86.664558704167121</v>
      </c>
      <c r="S35" s="346">
        <f t="shared" si="16"/>
        <v>93.335441295832879</v>
      </c>
      <c r="U35" s="319">
        <f t="shared" si="23"/>
        <v>1000000000</v>
      </c>
      <c r="V35" s="319">
        <f t="shared" si="24"/>
        <v>57.544361639999998</v>
      </c>
      <c r="X35" s="345">
        <f t="shared" si="17"/>
        <v>73.039803500342131</v>
      </c>
      <c r="Y35" s="346">
        <f t="shared" si="18"/>
        <v>-86.470996610786543</v>
      </c>
      <c r="AA35" s="345">
        <f t="shared" si="19"/>
        <v>59.741487302482746</v>
      </c>
      <c r="AB35" s="346">
        <f t="shared" si="20"/>
        <v>-0.19356209338056465</v>
      </c>
      <c r="AD35">
        <f t="shared" si="25"/>
        <v>0</v>
      </c>
      <c r="AE35">
        <f t="shared" si="21"/>
        <v>0</v>
      </c>
    </row>
    <row r="36" spans="1:31" x14ac:dyDescent="0.25">
      <c r="A36" s="347">
        <v>8.3176000000000005</v>
      </c>
      <c r="B36" s="364">
        <f t="shared" si="22"/>
        <v>8.3176000000000014E-3</v>
      </c>
      <c r="C36" s="337">
        <f t="shared" si="0"/>
        <v>1.0000065027022702</v>
      </c>
      <c r="D36" s="338">
        <f t="shared" si="1"/>
        <v>3.6062909013915728E-3</v>
      </c>
      <c r="E36" s="338">
        <f t="shared" si="2"/>
        <v>1.0000000002273244</v>
      </c>
      <c r="F36" s="339">
        <f t="shared" si="3"/>
        <v>2.1322496993690824E-5</v>
      </c>
      <c r="G36" s="338">
        <f t="shared" si="4"/>
        <v>1</v>
      </c>
      <c r="H36" s="339">
        <f t="shared" si="5"/>
        <v>0</v>
      </c>
      <c r="I36" s="337">
        <f t="shared" si="6"/>
        <v>18.760532896800814</v>
      </c>
      <c r="J36" s="340">
        <f t="shared" si="7"/>
        <v>1.5174676631647812</v>
      </c>
      <c r="K36" s="348">
        <f t="shared" si="8"/>
        <v>1.0000061668446614</v>
      </c>
      <c r="L36" s="349">
        <f t="shared" si="9"/>
        <v>3.5119262435132472E-3</v>
      </c>
      <c r="M36" s="337">
        <f t="shared" si="10"/>
        <v>1.0000000031401481</v>
      </c>
      <c r="N36" s="340">
        <f t="shared" si="11"/>
        <v>7.9248319587942249E-5</v>
      </c>
      <c r="O36" s="341">
        <f t="shared" si="12"/>
        <v>1.0000000013901045</v>
      </c>
      <c r="P36" s="342">
        <f t="shared" si="13"/>
        <v>1.1922805053604576E-4</v>
      </c>
      <c r="Q36" s="343">
        <f t="shared" si="14"/>
        <v>68.374731039025448</v>
      </c>
      <c r="R36" s="344">
        <f t="shared" si="15"/>
        <v>-86.960049612174302</v>
      </c>
      <c r="S36" s="346">
        <f t="shared" si="16"/>
        <v>93.039950387825698</v>
      </c>
      <c r="U36" s="319">
        <f t="shared" si="23"/>
        <v>1000000000</v>
      </c>
      <c r="V36" s="319">
        <f t="shared" si="24"/>
        <v>69.182469760000004</v>
      </c>
      <c r="X36" s="345">
        <f t="shared" si="17"/>
        <v>72.242374528873029</v>
      </c>
      <c r="Y36" s="346">
        <f t="shared" si="18"/>
        <v>-86.747814788576747</v>
      </c>
      <c r="AA36" s="345">
        <f t="shared" si="19"/>
        <v>59.741477799315035</v>
      </c>
      <c r="AB36" s="346">
        <f t="shared" si="20"/>
        <v>-0.21223482359754914</v>
      </c>
      <c r="AD36">
        <f t="shared" si="25"/>
        <v>0</v>
      </c>
      <c r="AE36">
        <f t="shared" si="21"/>
        <v>0</v>
      </c>
    </row>
    <row r="37" spans="1:31" x14ac:dyDescent="0.25">
      <c r="A37" s="347">
        <v>9.1201000000000008</v>
      </c>
      <c r="B37" s="364">
        <f t="shared" si="22"/>
        <v>9.1201000000000008E-3</v>
      </c>
      <c r="C37" s="337">
        <f t="shared" si="0"/>
        <v>1.0000078180190279</v>
      </c>
      <c r="D37" s="338">
        <f t="shared" si="1"/>
        <v>3.9542301637090996E-3</v>
      </c>
      <c r="E37" s="338">
        <f t="shared" si="2"/>
        <v>1.000000000273306</v>
      </c>
      <c r="F37" s="339">
        <f t="shared" si="3"/>
        <v>2.3379737523588362E-5</v>
      </c>
      <c r="G37" s="338">
        <f t="shared" si="4"/>
        <v>1</v>
      </c>
      <c r="H37" s="339">
        <f t="shared" si="5"/>
        <v>0</v>
      </c>
      <c r="I37" s="337">
        <f t="shared" si="6"/>
        <v>20.565672452975537</v>
      </c>
      <c r="J37" s="340">
        <f t="shared" si="7"/>
        <v>1.522152428441496</v>
      </c>
      <c r="K37" s="348">
        <f t="shared" si="8"/>
        <v>1.000007414226969</v>
      </c>
      <c r="L37" s="349">
        <f t="shared" si="9"/>
        <v>3.8507612650971056E-3</v>
      </c>
      <c r="M37" s="337">
        <f t="shared" si="10"/>
        <v>1.0000000037753156</v>
      </c>
      <c r="N37" s="340">
        <f t="shared" si="11"/>
        <v>8.6894368467820774E-5</v>
      </c>
      <c r="O37" s="341">
        <f t="shared" si="12"/>
        <v>1.0000000016712853</v>
      </c>
      <c r="P37" s="342">
        <f t="shared" si="13"/>
        <v>1.3073143020933244E-4</v>
      </c>
      <c r="Q37" s="343">
        <f t="shared" si="14"/>
        <v>67.576775558913738</v>
      </c>
      <c r="R37" s="344">
        <f t="shared" si="15"/>
        <v>-87.229967835653994</v>
      </c>
      <c r="S37" s="346">
        <f t="shared" si="16"/>
        <v>92.770032164346006</v>
      </c>
      <c r="U37" s="319">
        <f t="shared" si="23"/>
        <v>1000000000</v>
      </c>
      <c r="V37" s="319">
        <f t="shared" si="24"/>
        <v>83.176224010000013</v>
      </c>
      <c r="X37" s="345">
        <f t="shared" si="17"/>
        <v>71.444430475418642</v>
      </c>
      <c r="Y37" s="346">
        <f t="shared" si="18"/>
        <v>-86.997256336869768</v>
      </c>
      <c r="AA37" s="345">
        <f t="shared" si="19"/>
        <v>59.741466372657726</v>
      </c>
      <c r="AB37" s="346">
        <f t="shared" si="20"/>
        <v>-0.23271149878424621</v>
      </c>
      <c r="AD37">
        <f t="shared" si="25"/>
        <v>0</v>
      </c>
      <c r="AE37">
        <f t="shared" si="21"/>
        <v>0</v>
      </c>
    </row>
    <row r="38" spans="1:31" x14ac:dyDescent="0.25">
      <c r="A38" s="347">
        <v>10</v>
      </c>
      <c r="B38" s="364">
        <f t="shared" si="22"/>
        <v>0.01</v>
      </c>
      <c r="C38" s="337">
        <f t="shared" si="0"/>
        <v>1.0000093993360959</v>
      </c>
      <c r="D38" s="338">
        <f t="shared" si="1"/>
        <v>4.3357265766199721E-3</v>
      </c>
      <c r="E38" s="338">
        <f t="shared" si="2"/>
        <v>1.0000000003285867</v>
      </c>
      <c r="F38" s="339">
        <f t="shared" si="3"/>
        <v>2.5635396018384367E-5</v>
      </c>
      <c r="G38" s="338">
        <f t="shared" si="4"/>
        <v>1</v>
      </c>
      <c r="H38" s="339">
        <f t="shared" si="5"/>
        <v>0</v>
      </c>
      <c r="I38" s="337">
        <f t="shared" si="6"/>
        <v>22.545346859600333</v>
      </c>
      <c r="J38" s="340">
        <f t="shared" si="7"/>
        <v>1.5264267195342049</v>
      </c>
      <c r="K38" s="348">
        <f t="shared" si="8"/>
        <v>1.0000089138711188</v>
      </c>
      <c r="L38" s="349">
        <f t="shared" si="9"/>
        <v>4.222275430394779E-3</v>
      </c>
      <c r="M38" s="337">
        <f t="shared" si="10"/>
        <v>1.0000000045389361</v>
      </c>
      <c r="N38" s="340">
        <f t="shared" si="11"/>
        <v>9.5277868031693239E-5</v>
      </c>
      <c r="O38" s="341">
        <f t="shared" si="12"/>
        <v>1.0000000020093307</v>
      </c>
      <c r="P38" s="342">
        <f t="shared" si="13"/>
        <v>1.433442947341145E-4</v>
      </c>
      <c r="Q38" s="343">
        <f t="shared" si="14"/>
        <v>66.778494705697327</v>
      </c>
      <c r="R38" s="344">
        <f t="shared" si="15"/>
        <v>-87.476512379952226</v>
      </c>
      <c r="S38" s="346">
        <f t="shared" si="16"/>
        <v>92.523487620047774</v>
      </c>
      <c r="U38" s="319">
        <f t="shared" si="23"/>
        <v>1000000000</v>
      </c>
      <c r="V38" s="319">
        <f t="shared" si="24"/>
        <v>100</v>
      </c>
      <c r="X38" s="345">
        <f t="shared" si="17"/>
        <v>70.646163359685573</v>
      </c>
      <c r="Y38" s="346">
        <f t="shared" si="18"/>
        <v>-87.221349322590086</v>
      </c>
      <c r="AA38" s="345">
        <f t="shared" si="19"/>
        <v>59.741452635174369</v>
      </c>
      <c r="AB38" s="346">
        <f t="shared" si="20"/>
        <v>-0.25516305736213968</v>
      </c>
      <c r="AD38">
        <f t="shared" si="25"/>
        <v>0</v>
      </c>
      <c r="AE38">
        <f t="shared" si="21"/>
        <v>0</v>
      </c>
    </row>
    <row r="39" spans="1:31" x14ac:dyDescent="0.25">
      <c r="A39" s="347">
        <v>10.965</v>
      </c>
      <c r="B39" s="364">
        <f t="shared" si="22"/>
        <v>1.0964999999999999E-2</v>
      </c>
      <c r="C39" s="337">
        <f t="shared" si="0"/>
        <v>1.0000113009261853</v>
      </c>
      <c r="D39" s="338">
        <f t="shared" si="1"/>
        <v>4.7541181643830678E-3</v>
      </c>
      <c r="E39" s="338">
        <f t="shared" si="2"/>
        <v>1.0000000003950638</v>
      </c>
      <c r="F39" s="339">
        <f t="shared" si="3"/>
        <v>2.8109211732912712E-5</v>
      </c>
      <c r="G39" s="338">
        <f t="shared" si="4"/>
        <v>1</v>
      </c>
      <c r="H39" s="339">
        <f t="shared" si="5"/>
        <v>0</v>
      </c>
      <c r="I39" s="337">
        <f t="shared" si="6"/>
        <v>24.716880577619833</v>
      </c>
      <c r="J39" s="340">
        <f t="shared" si="7"/>
        <v>1.5303271013712532</v>
      </c>
      <c r="K39" s="348">
        <f t="shared" si="8"/>
        <v>1.0000107172467776</v>
      </c>
      <c r="L39" s="349">
        <f t="shared" si="9"/>
        <v>4.6297194433823604E-3</v>
      </c>
      <c r="M39" s="337">
        <f t="shared" si="10"/>
        <v>1.0000000054572185</v>
      </c>
      <c r="N39" s="340">
        <f t="shared" si="11"/>
        <v>1.04472182232795E-4</v>
      </c>
      <c r="O39" s="341">
        <f t="shared" si="12"/>
        <v>1.0000000024158429</v>
      </c>
      <c r="P39" s="342">
        <f t="shared" si="13"/>
        <v>1.571770192209604E-4</v>
      </c>
      <c r="Q39" s="343">
        <f t="shared" si="14"/>
        <v>65.979759082982213</v>
      </c>
      <c r="R39" s="344">
        <f t="shared" si="15"/>
        <v>-87.701792660724308</v>
      </c>
      <c r="S39" s="346">
        <f t="shared" si="16"/>
        <v>92.298207339275692</v>
      </c>
      <c r="U39" s="319">
        <f t="shared" si="23"/>
        <v>1000000000</v>
      </c>
      <c r="V39" s="319">
        <f t="shared" si="24"/>
        <v>120.23122499999999</v>
      </c>
      <c r="X39" s="345">
        <f t="shared" si="17"/>
        <v>69.847444256754684</v>
      </c>
      <c r="Y39" s="346">
        <f t="shared" si="18"/>
        <v>-87.422006713638893</v>
      </c>
      <c r="AA39" s="345">
        <f t="shared" si="19"/>
        <v>59.741436115390158</v>
      </c>
      <c r="AB39" s="346">
        <f t="shared" si="20"/>
        <v>-0.27978594708540611</v>
      </c>
      <c r="AD39">
        <f t="shared" si="25"/>
        <v>0</v>
      </c>
      <c r="AE39">
        <f t="shared" si="21"/>
        <v>0</v>
      </c>
    </row>
    <row r="40" spans="1:31" x14ac:dyDescent="0.25">
      <c r="A40" s="347">
        <v>12.023</v>
      </c>
      <c r="B40" s="364">
        <f t="shared" si="22"/>
        <v>1.2022999999999999E-2</v>
      </c>
      <c r="C40" s="337">
        <f t="shared" si="0"/>
        <v>1.0000135869495876</v>
      </c>
      <c r="D40" s="338">
        <f t="shared" si="1"/>
        <v>5.2128295102957418E-3</v>
      </c>
      <c r="E40" s="338">
        <f t="shared" si="2"/>
        <v>1.0000000004749805</v>
      </c>
      <c r="F40" s="339">
        <f t="shared" si="3"/>
        <v>3.0821436629895476E-5</v>
      </c>
      <c r="G40" s="338">
        <f t="shared" si="4"/>
        <v>1</v>
      </c>
      <c r="H40" s="339">
        <f t="shared" si="5"/>
        <v>0</v>
      </c>
      <c r="I40" s="337">
        <f t="shared" si="6"/>
        <v>27.09805116087615</v>
      </c>
      <c r="J40" s="340">
        <f t="shared" si="7"/>
        <v>1.5338849228916809</v>
      </c>
      <c r="K40" s="348">
        <f t="shared" si="8"/>
        <v>1.0000128852005485</v>
      </c>
      <c r="L40" s="349">
        <f t="shared" si="9"/>
        <v>5.0764283099405142E-3</v>
      </c>
      <c r="M40" s="337">
        <f t="shared" si="10"/>
        <v>1.000000006561147</v>
      </c>
      <c r="N40" s="340">
        <f t="shared" si="11"/>
        <v>1.1455258058007181E-4</v>
      </c>
      <c r="O40" s="341">
        <f t="shared" si="12"/>
        <v>1.0000000029045382</v>
      </c>
      <c r="P40" s="342">
        <f t="shared" si="13"/>
        <v>1.723428456674945E-4</v>
      </c>
      <c r="Q40" s="343">
        <f t="shared" si="14"/>
        <v>65.180870061462642</v>
      </c>
      <c r="R40" s="344">
        <f t="shared" si="15"/>
        <v>-87.90761961284116</v>
      </c>
      <c r="S40" s="346">
        <f t="shared" si="16"/>
        <v>92.09238038715884</v>
      </c>
      <c r="U40" s="319">
        <f t="shared" si="23"/>
        <v>1000000000</v>
      </c>
      <c r="V40" s="319">
        <f t="shared" si="24"/>
        <v>144.55252899999999</v>
      </c>
      <c r="X40" s="345">
        <f t="shared" si="17"/>
        <v>69.048575094685617</v>
      </c>
      <c r="Y40" s="346">
        <f t="shared" si="18"/>
        <v>-87.600837902780825</v>
      </c>
      <c r="AA40" s="345">
        <f t="shared" si="19"/>
        <v>59.741416255939654</v>
      </c>
      <c r="AB40" s="346">
        <f t="shared" si="20"/>
        <v>-0.30678171006034188</v>
      </c>
      <c r="AD40">
        <f t="shared" si="25"/>
        <v>0</v>
      </c>
      <c r="AE40">
        <f t="shared" si="21"/>
        <v>0</v>
      </c>
    </row>
    <row r="41" spans="1:31" x14ac:dyDescent="0.25">
      <c r="A41" s="347">
        <v>13.183</v>
      </c>
      <c r="B41" s="364">
        <f t="shared" si="22"/>
        <v>1.3183E-2</v>
      </c>
      <c r="C41" s="337">
        <f t="shared" si="0"/>
        <v>1.0000163351895082</v>
      </c>
      <c r="D41" s="338">
        <f t="shared" si="1"/>
        <v>5.7157619170218592E-3</v>
      </c>
      <c r="E41" s="338">
        <f t="shared" si="2"/>
        <v>1.0000000005710559</v>
      </c>
      <c r="F41" s="339">
        <f t="shared" si="3"/>
        <v>3.3795142565573256E-5</v>
      </c>
      <c r="G41" s="338">
        <f t="shared" si="4"/>
        <v>1</v>
      </c>
      <c r="H41" s="339">
        <f t="shared" si="5"/>
        <v>0</v>
      </c>
      <c r="I41" s="337">
        <f t="shared" si="6"/>
        <v>29.70911436117715</v>
      </c>
      <c r="J41" s="340">
        <f t="shared" si="7"/>
        <v>1.5371302634629944</v>
      </c>
      <c r="K41" s="348">
        <f t="shared" si="8"/>
        <v>1.0000154914983965</v>
      </c>
      <c r="L41" s="349">
        <f t="shared" si="9"/>
        <v>5.5662012917893737E-3</v>
      </c>
      <c r="M41" s="337">
        <f t="shared" si="10"/>
        <v>1.0000000078882845</v>
      </c>
      <c r="N41" s="340">
        <f t="shared" si="11"/>
        <v>1.2560481314571835E-4</v>
      </c>
      <c r="O41" s="341">
        <f t="shared" si="12"/>
        <v>1.0000000034920455</v>
      </c>
      <c r="P41" s="342">
        <f t="shared" si="13"/>
        <v>1.8897078394533419E-4</v>
      </c>
      <c r="Q41" s="343">
        <f t="shared" si="14"/>
        <v>64.381835869870969</v>
      </c>
      <c r="R41" s="344">
        <f t="shared" si="15"/>
        <v>-88.095733486547147</v>
      </c>
      <c r="S41" s="346">
        <f t="shared" si="16"/>
        <v>91.904266513452853</v>
      </c>
      <c r="U41" s="319">
        <f t="shared" si="23"/>
        <v>1000000000</v>
      </c>
      <c r="V41" s="319">
        <f t="shared" si="24"/>
        <v>173.79148899999998</v>
      </c>
      <c r="X41" s="345">
        <f t="shared" si="17"/>
        <v>68.249564777913974</v>
      </c>
      <c r="Y41" s="346">
        <f t="shared" si="18"/>
        <v>-87.759353542281517</v>
      </c>
      <c r="AA41" s="345">
        <f t="shared" si="19"/>
        <v>59.74139238111961</v>
      </c>
      <c r="AB41" s="346">
        <f t="shared" si="20"/>
        <v>-0.33637994426562318</v>
      </c>
      <c r="AD41">
        <f t="shared" si="25"/>
        <v>0</v>
      </c>
      <c r="AE41">
        <f t="shared" si="21"/>
        <v>0</v>
      </c>
    </row>
    <row r="42" spans="1:31" x14ac:dyDescent="0.25">
      <c r="A42" s="347">
        <v>14.454000000000001</v>
      </c>
      <c r="B42" s="364">
        <f t="shared" si="22"/>
        <v>1.4454E-2</v>
      </c>
      <c r="C42" s="337">
        <f t="shared" si="0"/>
        <v>1.0000196368153729</v>
      </c>
      <c r="D42" s="338">
        <f t="shared" si="1"/>
        <v>6.2668164232204046E-3</v>
      </c>
      <c r="E42" s="338">
        <f t="shared" si="2"/>
        <v>1.0000000006864773</v>
      </c>
      <c r="F42" s="339">
        <f t="shared" si="3"/>
        <v>3.7053401396132057E-5</v>
      </c>
      <c r="G42" s="338">
        <f t="shared" si="4"/>
        <v>1</v>
      </c>
      <c r="H42" s="339">
        <f t="shared" si="5"/>
        <v>0</v>
      </c>
      <c r="I42" s="337">
        <f t="shared" si="6"/>
        <v>32.570328189401607</v>
      </c>
      <c r="J42" s="340">
        <f t="shared" si="7"/>
        <v>1.5400887093861044</v>
      </c>
      <c r="K42" s="348">
        <f t="shared" si="8"/>
        <v>1.0000186226012036</v>
      </c>
      <c r="L42" s="349">
        <f t="shared" si="9"/>
        <v>6.1028374068295152E-3</v>
      </c>
      <c r="M42" s="337">
        <f t="shared" si="10"/>
        <v>1.0000000094826598</v>
      </c>
      <c r="N42" s="340">
        <f t="shared" si="11"/>
        <v>1.3771462999912737E-4</v>
      </c>
      <c r="O42" s="341">
        <f t="shared" si="12"/>
        <v>1.0000000041978556</v>
      </c>
      <c r="P42" s="342">
        <f t="shared" si="13"/>
        <v>2.0718984392806861E-4</v>
      </c>
      <c r="Q42" s="343">
        <f t="shared" si="14"/>
        <v>63.583185786768617</v>
      </c>
      <c r="R42" s="344">
        <f t="shared" si="15"/>
        <v>-88.267617097176711</v>
      </c>
      <c r="S42" s="346">
        <f t="shared" si="16"/>
        <v>91.732382902823289</v>
      </c>
      <c r="U42" s="319">
        <f t="shared" si="23"/>
        <v>1000000000</v>
      </c>
      <c r="V42" s="319">
        <f t="shared" si="24"/>
        <v>208.91811600000003</v>
      </c>
      <c r="X42" s="345">
        <f t="shared" si="17"/>
        <v>67.450943376981783</v>
      </c>
      <c r="Y42" s="346">
        <f t="shared" si="18"/>
        <v>-87.898806864623054</v>
      </c>
      <c r="AA42" s="345">
        <f t="shared" si="19"/>
        <v>59.741363698949463</v>
      </c>
      <c r="AB42" s="346">
        <f t="shared" si="20"/>
        <v>-0.36881023255367668</v>
      </c>
      <c r="AD42">
        <f t="shared" si="25"/>
        <v>0</v>
      </c>
      <c r="AE42">
        <f t="shared" si="21"/>
        <v>0</v>
      </c>
    </row>
    <row r="43" spans="1:31" x14ac:dyDescent="0.25">
      <c r="A43" s="347">
        <v>15.849</v>
      </c>
      <c r="B43" s="364">
        <f t="shared" si="22"/>
        <v>1.5848999999999999E-2</v>
      </c>
      <c r="C43" s="337">
        <f t="shared" si="0"/>
        <v>1.0000236100998701</v>
      </c>
      <c r="D43" s="338">
        <f t="shared" si="1"/>
        <v>6.8716279510435191E-3</v>
      </c>
      <c r="E43" s="338">
        <f t="shared" si="2"/>
        <v>1.0000000008253798</v>
      </c>
      <c r="F43" s="339">
        <f t="shared" si="3"/>
        <v>4.0629539136081069E-5</v>
      </c>
      <c r="G43" s="338">
        <f t="shared" si="4"/>
        <v>1</v>
      </c>
      <c r="H43" s="339">
        <f t="shared" si="5"/>
        <v>0</v>
      </c>
      <c r="I43" s="337">
        <f t="shared" si="6"/>
        <v>35.710957823575775</v>
      </c>
      <c r="J43" s="340">
        <f t="shared" si="7"/>
        <v>1.5427900565038486</v>
      </c>
      <c r="K43" s="348">
        <f t="shared" si="8"/>
        <v>1.0000223906733867</v>
      </c>
      <c r="L43" s="349">
        <f t="shared" si="9"/>
        <v>6.6918242071249369E-3</v>
      </c>
      <c r="M43" s="337">
        <f t="shared" si="10"/>
        <v>1.0000000114013898</v>
      </c>
      <c r="N43" s="340">
        <f t="shared" si="11"/>
        <v>1.5100589235258333E-4</v>
      </c>
      <c r="O43" s="341">
        <f t="shared" si="12"/>
        <v>1.0000000050472537</v>
      </c>
      <c r="P43" s="342">
        <f t="shared" si="13"/>
        <v>2.2718637321022099E-4</v>
      </c>
      <c r="Q43" s="343">
        <f t="shared" si="14"/>
        <v>62.783596699106177</v>
      </c>
      <c r="R43" s="344">
        <f t="shared" si="15"/>
        <v>-88.425001928672984</v>
      </c>
      <c r="S43" s="346">
        <f t="shared" si="16"/>
        <v>91.574998071327016</v>
      </c>
      <c r="U43" s="319">
        <f t="shared" si="23"/>
        <v>1000000000</v>
      </c>
      <c r="V43" s="319">
        <f t="shared" si="24"/>
        <v>251.19080099999999</v>
      </c>
      <c r="X43" s="345">
        <f t="shared" si="17"/>
        <v>66.651388806255028</v>
      </c>
      <c r="Y43" s="346">
        <f t="shared" si="18"/>
        <v>-88.020597729000187</v>
      </c>
      <c r="AA43" s="345">
        <f t="shared" si="19"/>
        <v>59.741329182013772</v>
      </c>
      <c r="AB43" s="346">
        <f t="shared" si="20"/>
        <v>-0.4044041996727929</v>
      </c>
      <c r="AD43">
        <f t="shared" si="25"/>
        <v>0</v>
      </c>
      <c r="AE43">
        <f t="shared" si="21"/>
        <v>0</v>
      </c>
    </row>
    <row r="44" spans="1:31" x14ac:dyDescent="0.25">
      <c r="A44" s="347">
        <v>17.378</v>
      </c>
      <c r="B44" s="364">
        <f t="shared" si="22"/>
        <v>1.7378000000000001E-2</v>
      </c>
      <c r="C44" s="337">
        <f t="shared" si="0"/>
        <v>1.0000283852446812</v>
      </c>
      <c r="D44" s="338">
        <f t="shared" si="1"/>
        <v>7.534530278965809E-3</v>
      </c>
      <c r="E44" s="338">
        <f t="shared" si="2"/>
        <v>1.0000000009923151</v>
      </c>
      <c r="F44" s="339">
        <f t="shared" si="3"/>
        <v>4.4549191181035978E-5</v>
      </c>
      <c r="G44" s="338">
        <f t="shared" si="4"/>
        <v>1</v>
      </c>
      <c r="H44" s="339">
        <f t="shared" si="5"/>
        <v>0</v>
      </c>
      <c r="I44" s="337">
        <f t="shared" si="6"/>
        <v>39.153517022953672</v>
      </c>
      <c r="J44" s="340">
        <f t="shared" si="7"/>
        <v>1.5452530594869833</v>
      </c>
      <c r="K44" s="348">
        <f t="shared" si="8"/>
        <v>1.0000269191924018</v>
      </c>
      <c r="L44" s="349">
        <f t="shared" si="9"/>
        <v>7.3373821689530789E-3</v>
      </c>
      <c r="M44" s="337">
        <f t="shared" si="10"/>
        <v>1.0000000137073548</v>
      </c>
      <c r="N44" s="340">
        <f t="shared" si="11"/>
        <v>1.6557387805344278E-4</v>
      </c>
      <c r="O44" s="341">
        <f t="shared" si="12"/>
        <v>1.0000000060680758</v>
      </c>
      <c r="P44" s="342">
        <f t="shared" si="13"/>
        <v>2.4910371610107376E-4</v>
      </c>
      <c r="Q44" s="343">
        <f t="shared" si="14"/>
        <v>61.984208919797858</v>
      </c>
      <c r="R44" s="344">
        <f t="shared" si="15"/>
        <v>-88.568981239497887</v>
      </c>
      <c r="S44" s="346">
        <f t="shared" si="16"/>
        <v>91.431018760502113</v>
      </c>
      <c r="U44" s="319">
        <f t="shared" si="23"/>
        <v>1000000000</v>
      </c>
      <c r="V44" s="319">
        <f t="shared" si="24"/>
        <v>301.99488400000001</v>
      </c>
      <c r="X44" s="345">
        <f t="shared" si="17"/>
        <v>65.852042509666049</v>
      </c>
      <c r="Y44" s="346">
        <f t="shared" si="18"/>
        <v>-88.125564342434728</v>
      </c>
      <c r="AA44" s="345">
        <f t="shared" si="19"/>
        <v>59.741287699294432</v>
      </c>
      <c r="AB44" s="346">
        <f t="shared" si="20"/>
        <v>-0.44341689706316706</v>
      </c>
      <c r="AD44">
        <f t="shared" si="25"/>
        <v>0</v>
      </c>
      <c r="AE44">
        <f t="shared" si="21"/>
        <v>0</v>
      </c>
    </row>
    <row r="45" spans="1:31" x14ac:dyDescent="0.25">
      <c r="A45" s="347">
        <v>19.055</v>
      </c>
      <c r="B45" s="364">
        <f t="shared" si="22"/>
        <v>1.9054999999999999E-2</v>
      </c>
      <c r="C45" s="337">
        <f t="shared" si="0"/>
        <v>1.0000341279117952</v>
      </c>
      <c r="D45" s="338">
        <f t="shared" si="1"/>
        <v>8.2615907945514967E-3</v>
      </c>
      <c r="E45" s="338">
        <f t="shared" si="2"/>
        <v>1.0000000011930756</v>
      </c>
      <c r="F45" s="339">
        <f t="shared" si="3"/>
        <v>4.8848247084878901E-5</v>
      </c>
      <c r="G45" s="338">
        <f t="shared" si="4"/>
        <v>1</v>
      </c>
      <c r="H45" s="339">
        <f t="shared" si="5"/>
        <v>0</v>
      </c>
      <c r="I45" s="337">
        <f t="shared" si="6"/>
        <v>42.929526936866097</v>
      </c>
      <c r="J45" s="340">
        <f t="shared" si="7"/>
        <v>1.5475002290167854</v>
      </c>
      <c r="K45" s="348">
        <f t="shared" si="8"/>
        <v>1.0000323652647862</v>
      </c>
      <c r="L45" s="349">
        <f t="shared" si="9"/>
        <v>8.0454200493292691E-3</v>
      </c>
      <c r="M45" s="337">
        <f t="shared" si="10"/>
        <v>1.0000000164805602</v>
      </c>
      <c r="N45" s="340">
        <f t="shared" si="11"/>
        <v>1.8155197608904117E-4</v>
      </c>
      <c r="O45" s="341">
        <f t="shared" si="12"/>
        <v>1.0000000072957396</v>
      </c>
      <c r="P45" s="342">
        <f t="shared" si="13"/>
        <v>2.7314255463289303E-4</v>
      </c>
      <c r="Q45" s="343">
        <f t="shared" si="14"/>
        <v>61.184499840939182</v>
      </c>
      <c r="R45" s="344">
        <f t="shared" si="15"/>
        <v>-88.700870970084566</v>
      </c>
      <c r="S45" s="346">
        <f t="shared" si="16"/>
        <v>91.299129029915434</v>
      </c>
      <c r="U45" s="319">
        <f t="shared" si="23"/>
        <v>1000000000</v>
      </c>
      <c r="V45" s="319">
        <f t="shared" si="24"/>
        <v>363.09302500000001</v>
      </c>
      <c r="X45" s="345">
        <f t="shared" si="17"/>
        <v>65.052383318340688</v>
      </c>
      <c r="Y45" s="346">
        <f t="shared" si="18"/>
        <v>-88.21466556774574</v>
      </c>
      <c r="AA45" s="345">
        <f t="shared" si="19"/>
        <v>59.741237811761117</v>
      </c>
      <c r="AB45" s="346">
        <f t="shared" si="20"/>
        <v>-0.48620540233881421</v>
      </c>
      <c r="AD45">
        <f t="shared" si="25"/>
        <v>0</v>
      </c>
      <c r="AE45">
        <f t="shared" ref="AE45:AE76" si="26">IF(AD45&gt;0,S43,0)</f>
        <v>0</v>
      </c>
    </row>
    <row r="46" spans="1:31" x14ac:dyDescent="0.25">
      <c r="A46" s="347">
        <v>20.893000000000001</v>
      </c>
      <c r="B46" s="364">
        <f t="shared" si="22"/>
        <v>2.0893000000000002E-2</v>
      </c>
      <c r="C46" s="337">
        <f t="shared" si="0"/>
        <v>1.000041029093282</v>
      </c>
      <c r="D46" s="338">
        <f t="shared" si="1"/>
        <v>9.0584425271583394E-3</v>
      </c>
      <c r="E46" s="338">
        <f t="shared" si="2"/>
        <v>1.0000000014343384</v>
      </c>
      <c r="F46" s="339">
        <f t="shared" si="3"/>
        <v>5.3560032861727725E-5</v>
      </c>
      <c r="G46" s="338">
        <f t="shared" si="4"/>
        <v>1</v>
      </c>
      <c r="H46" s="339">
        <f t="shared" si="5"/>
        <v>0</v>
      </c>
      <c r="I46" s="337">
        <f t="shared" si="6"/>
        <v>47.068258947066113</v>
      </c>
      <c r="J46" s="340">
        <f t="shared" si="7"/>
        <v>1.5495489879745756</v>
      </c>
      <c r="K46" s="348">
        <f t="shared" si="8"/>
        <v>1.0000389100192422</v>
      </c>
      <c r="L46" s="349">
        <f t="shared" si="9"/>
        <v>8.8214236522329605E-3</v>
      </c>
      <c r="M46" s="337">
        <f t="shared" si="10"/>
        <v>1.0000000198132479</v>
      </c>
      <c r="N46" s="340">
        <f t="shared" si="11"/>
        <v>1.9906404765157251E-4</v>
      </c>
      <c r="O46" s="341">
        <f t="shared" si="12"/>
        <v>1.0000000087710792</v>
      </c>
      <c r="P46" s="342">
        <f t="shared" si="13"/>
        <v>2.9948923641433912E-4</v>
      </c>
      <c r="Q46" s="343">
        <f t="shared" si="14"/>
        <v>60.385056079944732</v>
      </c>
      <c r="R46" s="344">
        <f t="shared" si="15"/>
        <v>-88.821693677608664</v>
      </c>
      <c r="S46" s="346">
        <f t="shared" si="16"/>
        <v>91.178306322391336</v>
      </c>
      <c r="U46" s="319">
        <f t="shared" si="23"/>
        <v>1000000000</v>
      </c>
      <c r="V46" s="319">
        <f t="shared" si="24"/>
        <v>436.51744900000006</v>
      </c>
      <c r="X46" s="345">
        <f t="shared" si="17"/>
        <v>64.252999508713586</v>
      </c>
      <c r="Y46" s="346">
        <f t="shared" si="18"/>
        <v>-88.288592445808945</v>
      </c>
      <c r="AA46" s="345">
        <f t="shared" si="19"/>
        <v>59.741177860393783</v>
      </c>
      <c r="AB46" s="346">
        <f t="shared" si="20"/>
        <v>-0.53310123179972768</v>
      </c>
      <c r="AD46">
        <f t="shared" si="25"/>
        <v>0</v>
      </c>
      <c r="AE46">
        <f t="shared" si="26"/>
        <v>0</v>
      </c>
    </row>
    <row r="47" spans="1:31" x14ac:dyDescent="0.25">
      <c r="A47" s="347">
        <v>22.909000000000002</v>
      </c>
      <c r="B47" s="364">
        <f t="shared" si="22"/>
        <v>2.2909000000000002E-2</v>
      </c>
      <c r="C47" s="337">
        <f t="shared" si="0"/>
        <v>1.0000493288252648</v>
      </c>
      <c r="D47" s="338">
        <f t="shared" si="1"/>
        <v>9.9324516180734936E-3</v>
      </c>
      <c r="E47" s="338">
        <f t="shared" si="2"/>
        <v>1.0000000017244965</v>
      </c>
      <c r="F47" s="339">
        <f t="shared" si="3"/>
        <v>5.872812868386397E-5</v>
      </c>
      <c r="G47" s="338">
        <f t="shared" si="4"/>
        <v>1</v>
      </c>
      <c r="H47" s="339">
        <f t="shared" si="5"/>
        <v>0</v>
      </c>
      <c r="I47" s="337">
        <f t="shared" si="6"/>
        <v>51.607992945880291</v>
      </c>
      <c r="J47" s="340">
        <f t="shared" si="7"/>
        <v>1.5514182705966191</v>
      </c>
      <c r="K47" s="348">
        <f t="shared" si="8"/>
        <v>1.0000467810959999</v>
      </c>
      <c r="L47" s="349">
        <f t="shared" si="9"/>
        <v>9.6725666032259419E-3</v>
      </c>
      <c r="M47" s="337">
        <f t="shared" si="10"/>
        <v>1.0000000238213478</v>
      </c>
      <c r="N47" s="340">
        <f t="shared" si="11"/>
        <v>2.1827206506793155E-4</v>
      </c>
      <c r="O47" s="341">
        <f t="shared" si="12"/>
        <v>1.0000000105454154</v>
      </c>
      <c r="P47" s="342">
        <f t="shared" si="13"/>
        <v>3.283874467807698E-4</v>
      </c>
      <c r="Q47" s="343">
        <f t="shared" si="14"/>
        <v>59.585275600218623</v>
      </c>
      <c r="R47" s="344">
        <f t="shared" si="15"/>
        <v>-88.932565989748426</v>
      </c>
      <c r="S47" s="346">
        <f t="shared" si="16"/>
        <v>91.067434010251574</v>
      </c>
      <c r="U47" s="319">
        <f t="shared" si="23"/>
        <v>1000000000</v>
      </c>
      <c r="V47" s="319">
        <f t="shared" si="24"/>
        <v>524.82228100000009</v>
      </c>
      <c r="X47" s="345">
        <f t="shared" si="17"/>
        <v>63.453291129178083</v>
      </c>
      <c r="Y47" s="346">
        <f t="shared" si="18"/>
        <v>-88.348028090313662</v>
      </c>
      <c r="AA47" s="345">
        <f t="shared" si="19"/>
        <v>59.741105760203169</v>
      </c>
      <c r="AB47" s="346">
        <f t="shared" si="20"/>
        <v>-0.58453789943475698</v>
      </c>
      <c r="AD47">
        <f t="shared" si="25"/>
        <v>0</v>
      </c>
      <c r="AE47">
        <f t="shared" si="26"/>
        <v>0</v>
      </c>
    </row>
    <row r="48" spans="1:31" x14ac:dyDescent="0.25">
      <c r="A48" s="347">
        <v>25.119</v>
      </c>
      <c r="B48" s="364">
        <f t="shared" si="22"/>
        <v>2.5118999999999999E-2</v>
      </c>
      <c r="C48" s="337">
        <f t="shared" si="0"/>
        <v>1.0000593049623188</v>
      </c>
      <c r="D48" s="338">
        <f t="shared" si="1"/>
        <v>1.0890549257791492E-2</v>
      </c>
      <c r="E48" s="338">
        <f t="shared" si="2"/>
        <v>1.0000000020732647</v>
      </c>
      <c r="F48" s="339">
        <f t="shared" si="3"/>
        <v>6.4393551183682346E-5</v>
      </c>
      <c r="G48" s="338">
        <f t="shared" si="4"/>
        <v>1</v>
      </c>
      <c r="H48" s="339">
        <f t="shared" si="5"/>
        <v>0</v>
      </c>
      <c r="I48" s="337">
        <f t="shared" si="6"/>
        <v>56.584758616221301</v>
      </c>
      <c r="J48" s="340">
        <f t="shared" si="7"/>
        <v>1.5531228033009585</v>
      </c>
      <c r="K48" s="348">
        <f t="shared" si="8"/>
        <v>1.0000562420012089</v>
      </c>
      <c r="L48" s="349">
        <f t="shared" si="9"/>
        <v>1.0605599027543617E-2</v>
      </c>
      <c r="M48" s="337">
        <f t="shared" si="10"/>
        <v>1.0000000286390596</v>
      </c>
      <c r="N48" s="340">
        <f t="shared" si="11"/>
        <v>2.3932847286357975E-4</v>
      </c>
      <c r="O48" s="341">
        <f t="shared" si="12"/>
        <v>1.000000012678157</v>
      </c>
      <c r="P48" s="342">
        <f t="shared" si="13"/>
        <v>3.6006653664836418E-4</v>
      </c>
      <c r="Q48" s="343">
        <f t="shared" si="14"/>
        <v>58.785621106988792</v>
      </c>
      <c r="R48" s="344">
        <f t="shared" si="15"/>
        <v>-89.034361567568681</v>
      </c>
      <c r="S48" s="346">
        <f t="shared" si="16"/>
        <v>90.965638432431319</v>
      </c>
      <c r="U48" s="319">
        <f t="shared" si="23"/>
        <v>1000000000</v>
      </c>
      <c r="V48" s="319">
        <f t="shared" si="24"/>
        <v>630.96416099999999</v>
      </c>
      <c r="X48" s="345">
        <f t="shared" si="17"/>
        <v>62.653723298362721</v>
      </c>
      <c r="Y48" s="346">
        <f t="shared" si="18"/>
        <v>-88.393438243602375</v>
      </c>
      <c r="AA48" s="345">
        <f t="shared" si="19"/>
        <v>59.741019097788701</v>
      </c>
      <c r="AB48" s="346">
        <f t="shared" si="20"/>
        <v>-0.64092332396630447</v>
      </c>
      <c r="AD48">
        <f t="shared" si="25"/>
        <v>0</v>
      </c>
      <c r="AE48">
        <f t="shared" si="26"/>
        <v>0</v>
      </c>
    </row>
    <row r="49" spans="1:31" x14ac:dyDescent="0.25">
      <c r="A49" s="347">
        <v>27.542000000000002</v>
      </c>
      <c r="B49" s="364">
        <f t="shared" si="22"/>
        <v>2.7542000000000001E-2</v>
      </c>
      <c r="C49" s="337">
        <f t="shared" si="0"/>
        <v>1.0000712975631076</v>
      </c>
      <c r="D49" s="338">
        <f t="shared" si="1"/>
        <v>1.1940965392015369E-2</v>
      </c>
      <c r="E49" s="338">
        <f t="shared" si="2"/>
        <v>1.0000000024925335</v>
      </c>
      <c r="F49" s="339">
        <f t="shared" si="3"/>
        <v>7.0605007611977244E-5</v>
      </c>
      <c r="G49" s="338">
        <f t="shared" si="4"/>
        <v>1</v>
      </c>
      <c r="H49" s="339">
        <f t="shared" si="5"/>
        <v>0</v>
      </c>
      <c r="I49" s="337">
        <f t="shared" si="6"/>
        <v>62.041342574254273</v>
      </c>
      <c r="J49" s="340">
        <f t="shared" si="7"/>
        <v>1.5546773444612316</v>
      </c>
      <c r="K49" s="348">
        <f t="shared" si="8"/>
        <v>1.0000676152334551</v>
      </c>
      <c r="L49" s="349">
        <f t="shared" si="9"/>
        <v>1.1628535920324744E-2</v>
      </c>
      <c r="M49" s="337">
        <f t="shared" si="10"/>
        <v>1.000000034430633</v>
      </c>
      <c r="N49" s="340">
        <f t="shared" si="11"/>
        <v>2.6241429890355039E-4</v>
      </c>
      <c r="O49" s="341">
        <f t="shared" si="12"/>
        <v>1.0000000152420152</v>
      </c>
      <c r="P49" s="342">
        <f t="shared" si="13"/>
        <v>3.9479886023638454E-4</v>
      </c>
      <c r="Q49" s="343">
        <f t="shared" si="14"/>
        <v>57.985981263103142</v>
      </c>
      <c r="R49" s="344">
        <f t="shared" si="15"/>
        <v>-89.127961505512502</v>
      </c>
      <c r="S49" s="346">
        <f t="shared" si="16"/>
        <v>90.872038494487498</v>
      </c>
      <c r="U49" s="319">
        <f t="shared" si="23"/>
        <v>1000000000</v>
      </c>
      <c r="V49" s="319">
        <f t="shared" si="24"/>
        <v>758.56176400000004</v>
      </c>
      <c r="X49" s="345">
        <f t="shared" si="17"/>
        <v>61.854187632709909</v>
      </c>
      <c r="Y49" s="346">
        <f t="shared" si="18"/>
        <v>-88.42521964493578</v>
      </c>
      <c r="AA49" s="345">
        <f t="shared" si="19"/>
        <v>59.740914919555863</v>
      </c>
      <c r="AB49" s="346">
        <f t="shared" si="20"/>
        <v>-0.70274186057672361</v>
      </c>
      <c r="AD49">
        <f t="shared" si="25"/>
        <v>0</v>
      </c>
      <c r="AE49">
        <f t="shared" si="26"/>
        <v>0</v>
      </c>
    </row>
    <row r="50" spans="1:31" x14ac:dyDescent="0.25">
      <c r="A50" s="347">
        <v>30.2</v>
      </c>
      <c r="B50" s="364">
        <f t="shared" si="22"/>
        <v>3.0199999999999998E-2</v>
      </c>
      <c r="C50" s="337">
        <f t="shared" si="0"/>
        <v>1.0000857224336441</v>
      </c>
      <c r="D50" s="338">
        <f t="shared" si="1"/>
        <v>1.3093228057197644E-2</v>
      </c>
      <c r="E50" s="338">
        <f t="shared" si="2"/>
        <v>1.0000000029968428</v>
      </c>
      <c r="F50" s="339">
        <f t="shared" si="3"/>
        <v>7.7418895837805165E-5</v>
      </c>
      <c r="G50" s="338">
        <f t="shared" si="4"/>
        <v>1</v>
      </c>
      <c r="H50" s="339">
        <f t="shared" si="5"/>
        <v>0</v>
      </c>
      <c r="I50" s="337">
        <f t="shared" si="6"/>
        <v>68.027288804167299</v>
      </c>
      <c r="J50" s="340">
        <f t="shared" si="7"/>
        <v>1.5560958141624017</v>
      </c>
      <c r="K50" s="348">
        <f t="shared" si="8"/>
        <v>1.0000812951280433</v>
      </c>
      <c r="L50" s="349">
        <f t="shared" si="9"/>
        <v>1.2750656532934184E-2</v>
      </c>
      <c r="M50" s="337">
        <f t="shared" si="10"/>
        <v>1.0000000413969119</v>
      </c>
      <c r="N50" s="340">
        <f t="shared" si="11"/>
        <v>2.8773915438539175E-4</v>
      </c>
      <c r="O50" s="341">
        <f t="shared" si="12"/>
        <v>1.0000000183259012</v>
      </c>
      <c r="P50" s="342">
        <f t="shared" si="13"/>
        <v>4.3289977507214133E-4</v>
      </c>
      <c r="Q50" s="343">
        <f t="shared" si="14"/>
        <v>57.185935203827341</v>
      </c>
      <c r="R50" s="344">
        <f t="shared" si="15"/>
        <v>-89.214204467167718</v>
      </c>
      <c r="S50" s="346">
        <f t="shared" si="16"/>
        <v>90.785795532832282</v>
      </c>
      <c r="U50" s="319">
        <f t="shared" si="23"/>
        <v>1000000000</v>
      </c>
      <c r="V50" s="319">
        <f t="shared" si="24"/>
        <v>912.04</v>
      </c>
      <c r="X50" s="345">
        <f t="shared" si="17"/>
        <v>61.054266878837581</v>
      </c>
      <c r="Y50" s="346">
        <f t="shared" si="18"/>
        <v>-88.443650204329799</v>
      </c>
      <c r="AA50" s="345">
        <f t="shared" si="19"/>
        <v>59.740789614152384</v>
      </c>
      <c r="AB50" s="346">
        <f t="shared" si="20"/>
        <v>-0.77055426283791306</v>
      </c>
      <c r="AD50">
        <f t="shared" si="25"/>
        <v>0</v>
      </c>
      <c r="AE50">
        <f t="shared" si="26"/>
        <v>0</v>
      </c>
    </row>
    <row r="51" spans="1:31" x14ac:dyDescent="0.25">
      <c r="A51" s="347">
        <v>33.113</v>
      </c>
      <c r="B51" s="364">
        <f t="shared" si="22"/>
        <v>3.3112999999999997E-2</v>
      </c>
      <c r="C51" s="337">
        <f t="shared" si="0"/>
        <v>1.0001030561468398</v>
      </c>
      <c r="D51" s="338">
        <f t="shared" si="1"/>
        <v>1.4355995064329661E-2</v>
      </c>
      <c r="E51" s="338">
        <f t="shared" si="2"/>
        <v>1.0000000036028578</v>
      </c>
      <c r="F51" s="339">
        <f t="shared" si="3"/>
        <v>8.4886486650381898E-5</v>
      </c>
      <c r="G51" s="338">
        <f t="shared" si="4"/>
        <v>1</v>
      </c>
      <c r="H51" s="339">
        <f t="shared" si="5"/>
        <v>0</v>
      </c>
      <c r="I51" s="337">
        <f t="shared" si="6"/>
        <v>74.587638286930598</v>
      </c>
      <c r="J51" s="340">
        <f t="shared" si="7"/>
        <v>1.5573888777383962</v>
      </c>
      <c r="K51" s="348">
        <f t="shared" si="8"/>
        <v>1.0000977336508827</v>
      </c>
      <c r="L51" s="349">
        <f t="shared" si="9"/>
        <v>1.3980392816920876E-2</v>
      </c>
      <c r="M51" s="337">
        <f t="shared" si="10"/>
        <v>1.0000000497681063</v>
      </c>
      <c r="N51" s="340">
        <f t="shared" si="11"/>
        <v>3.1549359490033691E-4</v>
      </c>
      <c r="O51" s="341">
        <f t="shared" si="12"/>
        <v>1.0000000220317262</v>
      </c>
      <c r="P51" s="342">
        <f t="shared" si="13"/>
        <v>4.7465596984701453E-4</v>
      </c>
      <c r="Q51" s="343">
        <f t="shared" si="14"/>
        <v>56.38625346326387</v>
      </c>
      <c r="R51" s="344">
        <f t="shared" si="15"/>
        <v>-89.293738878432364</v>
      </c>
      <c r="S51" s="346">
        <f t="shared" si="16"/>
        <v>90.706261121567636</v>
      </c>
      <c r="U51" s="319">
        <f t="shared" si="23"/>
        <v>1000000000</v>
      </c>
      <c r="V51" s="319">
        <f t="shared" si="24"/>
        <v>1096.470769</v>
      </c>
      <c r="X51" s="345">
        <f t="shared" si="17"/>
        <v>60.254735709708768</v>
      </c>
      <c r="Y51" s="346">
        <f t="shared" si="18"/>
        <v>-88.448868803200057</v>
      </c>
      <c r="AA51" s="345">
        <f t="shared" si="19"/>
        <v>59.740639042717731</v>
      </c>
      <c r="AB51" s="346">
        <f t="shared" si="20"/>
        <v>-0.8448700752322974</v>
      </c>
      <c r="AD51">
        <f t="shared" si="25"/>
        <v>0</v>
      </c>
      <c r="AE51">
        <f t="shared" si="26"/>
        <v>0</v>
      </c>
    </row>
    <row r="52" spans="1:31" x14ac:dyDescent="0.25">
      <c r="A52" s="347">
        <v>36.308</v>
      </c>
      <c r="B52" s="364">
        <f t="shared" si="22"/>
        <v>3.6308E-2</v>
      </c>
      <c r="C52" s="337">
        <f t="shared" si="0"/>
        <v>1.0001239016156869</v>
      </c>
      <c r="D52" s="338">
        <f t="shared" si="1"/>
        <v>1.5740954483812113E-2</v>
      </c>
      <c r="E52" s="338">
        <f t="shared" si="2"/>
        <v>1.0000000043316635</v>
      </c>
      <c r="F52" s="339">
        <f t="shared" si="3"/>
        <v>9.3076995615153717E-5</v>
      </c>
      <c r="G52" s="338">
        <f t="shared" si="4"/>
        <v>1</v>
      </c>
      <c r="H52" s="339">
        <f t="shared" si="5"/>
        <v>0</v>
      </c>
      <c r="I52" s="337">
        <f t="shared" si="6"/>
        <v>81.783197529588563</v>
      </c>
      <c r="J52" s="340">
        <f t="shared" si="7"/>
        <v>1.5585685715797846</v>
      </c>
      <c r="K52" s="348">
        <f t="shared" si="8"/>
        <v>1.0001175025861146</v>
      </c>
      <c r="L52" s="349">
        <f t="shared" si="9"/>
        <v>1.5329127930411659E-2</v>
      </c>
      <c r="M52" s="337">
        <f t="shared" si="10"/>
        <v>1.0000000598354704</v>
      </c>
      <c r="N52" s="340">
        <f t="shared" si="11"/>
        <v>3.4593487049680566E-4</v>
      </c>
      <c r="O52" s="341">
        <f t="shared" si="12"/>
        <v>1.000000026488425</v>
      </c>
      <c r="P52" s="342">
        <f t="shared" si="13"/>
        <v>5.204544742941871E-4</v>
      </c>
      <c r="Q52" s="343">
        <f t="shared" si="14"/>
        <v>55.586299386974801</v>
      </c>
      <c r="R52" s="344">
        <f t="shared" si="15"/>
        <v>-89.367304792626413</v>
      </c>
      <c r="S52" s="346">
        <f t="shared" si="16"/>
        <v>90.632695207373587</v>
      </c>
      <c r="U52" s="319">
        <f t="shared" si="23"/>
        <v>1000000000</v>
      </c>
      <c r="V52" s="319">
        <f t="shared" si="24"/>
        <v>1318.2708640000001</v>
      </c>
      <c r="X52" s="345">
        <f t="shared" si="17"/>
        <v>59.454962706697316</v>
      </c>
      <c r="Y52" s="346">
        <f t="shared" si="18"/>
        <v>-88.440927608350663</v>
      </c>
      <c r="AA52" s="345">
        <f t="shared" si="19"/>
        <v>59.740457969440115</v>
      </c>
      <c r="AB52" s="346">
        <f t="shared" si="20"/>
        <v>-0.92637718427575455</v>
      </c>
      <c r="AD52">
        <f t="shared" si="25"/>
        <v>0</v>
      </c>
      <c r="AE52">
        <f t="shared" si="26"/>
        <v>0</v>
      </c>
    </row>
    <row r="53" spans="1:31" x14ac:dyDescent="0.25">
      <c r="A53" s="347">
        <v>39.811</v>
      </c>
      <c r="B53" s="364">
        <f t="shared" si="22"/>
        <v>3.9810999999999999E-2</v>
      </c>
      <c r="C53" s="337">
        <f t="shared" si="0"/>
        <v>1.0001489611608574</v>
      </c>
      <c r="D53" s="338">
        <f t="shared" si="1"/>
        <v>1.7259355261310214E-2</v>
      </c>
      <c r="E53" s="338">
        <f t="shared" si="2"/>
        <v>1.0000000052078233</v>
      </c>
      <c r="F53" s="339">
        <f t="shared" si="3"/>
        <v>1.0205707475681626E-4</v>
      </c>
      <c r="G53" s="338">
        <f t="shared" si="4"/>
        <v>1</v>
      </c>
      <c r="H53" s="339">
        <f t="shared" si="5"/>
        <v>0</v>
      </c>
      <c r="I53" s="337">
        <f t="shared" si="6"/>
        <v>89.672521986263689</v>
      </c>
      <c r="J53" s="340">
        <f t="shared" si="7"/>
        <v>1.5596444075034488</v>
      </c>
      <c r="K53" s="348">
        <f t="shared" si="8"/>
        <v>1.0001412679960522</v>
      </c>
      <c r="L53" s="349">
        <f t="shared" si="9"/>
        <v>1.6807817676180826E-2</v>
      </c>
      <c r="M53" s="337">
        <f t="shared" si="10"/>
        <v>1.0000000719383091</v>
      </c>
      <c r="N53" s="340">
        <f t="shared" si="11"/>
        <v>3.7931070337743832E-4</v>
      </c>
      <c r="O53" s="341">
        <f t="shared" si="12"/>
        <v>1.0000000318462043</v>
      </c>
      <c r="P53" s="342">
        <f t="shared" si="13"/>
        <v>5.7066798375886806E-4</v>
      </c>
      <c r="Q53" s="343">
        <f t="shared" si="14"/>
        <v>54.786382049855725</v>
      </c>
      <c r="R53" s="344">
        <f t="shared" si="15"/>
        <v>-89.435495720991184</v>
      </c>
      <c r="S53" s="346">
        <f t="shared" si="16"/>
        <v>90.564504279008816</v>
      </c>
      <c r="U53" s="319">
        <f t="shared" si="23"/>
        <v>1000000000</v>
      </c>
      <c r="V53" s="319">
        <f t="shared" si="24"/>
        <v>1584.9157210000001</v>
      </c>
      <c r="X53" s="345">
        <f t="shared" si="17"/>
        <v>58.655263043256618</v>
      </c>
      <c r="Y53" s="346">
        <f t="shared" si="18"/>
        <v>-88.419758078920935</v>
      </c>
      <c r="AA53" s="345">
        <f t="shared" si="19"/>
        <v>59.740240295761737</v>
      </c>
      <c r="AB53" s="346">
        <f t="shared" si="20"/>
        <v>-1.0157376420702431</v>
      </c>
      <c r="AD53">
        <f t="shared" si="25"/>
        <v>0</v>
      </c>
      <c r="AE53">
        <f t="shared" si="26"/>
        <v>0</v>
      </c>
    </row>
    <row r="54" spans="1:31" x14ac:dyDescent="0.25">
      <c r="A54" s="347">
        <v>43.652000000000001</v>
      </c>
      <c r="B54" s="364">
        <f t="shared" si="22"/>
        <v>4.3652000000000003E-2</v>
      </c>
      <c r="C54" s="337">
        <f t="shared" si="0"/>
        <v>1.0001790888824194</v>
      </c>
      <c r="D54" s="338">
        <f t="shared" si="1"/>
        <v>1.8924172856254015E-2</v>
      </c>
      <c r="E54" s="338">
        <f t="shared" si="2"/>
        <v>1.0000000062612113</v>
      </c>
      <c r="F54" s="339">
        <f t="shared" si="3"/>
        <v>1.119036302568633E-4</v>
      </c>
      <c r="G54" s="338">
        <f t="shared" si="4"/>
        <v>1</v>
      </c>
      <c r="H54" s="339">
        <f t="shared" si="5"/>
        <v>0</v>
      </c>
      <c r="I54" s="337">
        <f t="shared" si="6"/>
        <v>98.323176518838252</v>
      </c>
      <c r="J54" s="340">
        <f t="shared" si="7"/>
        <v>1.5606256094096778</v>
      </c>
      <c r="K54" s="348">
        <f t="shared" si="8"/>
        <v>1.0001698398902552</v>
      </c>
      <c r="L54" s="349">
        <f t="shared" si="9"/>
        <v>1.8429099584532795E-2</v>
      </c>
      <c r="M54" s="337">
        <f t="shared" si="10"/>
        <v>1.0000000864892922</v>
      </c>
      <c r="N54" s="340">
        <f t="shared" si="11"/>
        <v>4.1590692680946702E-4</v>
      </c>
      <c r="O54" s="341">
        <f t="shared" si="12"/>
        <v>1.0000000382877476</v>
      </c>
      <c r="P54" s="342">
        <f t="shared" si="13"/>
        <v>6.2572653136229765E-4</v>
      </c>
      <c r="Q54" s="343">
        <f t="shared" si="14"/>
        <v>53.986438034897262</v>
      </c>
      <c r="R54" s="344">
        <f t="shared" si="15"/>
        <v>-89.498896125720321</v>
      </c>
      <c r="S54" s="346">
        <f t="shared" si="16"/>
        <v>90.501103874279679</v>
      </c>
      <c r="U54" s="319">
        <f t="shared" si="23"/>
        <v>1000000000</v>
      </c>
      <c r="V54" s="319">
        <f t="shared" si="24"/>
        <v>1905.497104</v>
      </c>
      <c r="X54" s="345">
        <f t="shared" si="17"/>
        <v>57.855580718247602</v>
      </c>
      <c r="Y54" s="346">
        <f t="shared" si="18"/>
        <v>-88.385181005357822</v>
      </c>
      <c r="AA54" s="345">
        <f t="shared" si="19"/>
        <v>59.739978605812283</v>
      </c>
      <c r="AB54" s="346">
        <f t="shared" si="20"/>
        <v>-1.1137151203625015</v>
      </c>
      <c r="AD54">
        <f t="shared" si="25"/>
        <v>0</v>
      </c>
      <c r="AE54">
        <f t="shared" si="26"/>
        <v>0</v>
      </c>
    </row>
    <row r="55" spans="1:31" x14ac:dyDescent="0.25">
      <c r="A55" s="347">
        <v>47.863</v>
      </c>
      <c r="B55" s="364">
        <f t="shared" si="22"/>
        <v>4.7863000000000003E-2</v>
      </c>
      <c r="C55" s="337">
        <f t="shared" si="0"/>
        <v>1.0002153041011628</v>
      </c>
      <c r="D55" s="338">
        <f t="shared" si="1"/>
        <v>2.0749239907941468E-2</v>
      </c>
      <c r="E55" s="338">
        <f t="shared" si="2"/>
        <v>1.0000000075274849</v>
      </c>
      <c r="F55" s="339">
        <f t="shared" si="3"/>
        <v>1.2269869537392947E-4</v>
      </c>
      <c r="G55" s="338">
        <f t="shared" si="4"/>
        <v>1</v>
      </c>
      <c r="H55" s="339">
        <f t="shared" si="5"/>
        <v>0</v>
      </c>
      <c r="I55" s="337">
        <f t="shared" si="6"/>
        <v>107.80723113275185</v>
      </c>
      <c r="J55" s="340">
        <f t="shared" si="7"/>
        <v>1.5615203781393765</v>
      </c>
      <c r="K55" s="348">
        <f t="shared" si="8"/>
        <v>1.000204184975668</v>
      </c>
      <c r="L55" s="349">
        <f t="shared" si="9"/>
        <v>2.020644643673598E-2</v>
      </c>
      <c r="M55" s="337">
        <f t="shared" si="10"/>
        <v>1.0000001039809734</v>
      </c>
      <c r="N55" s="340">
        <f t="shared" si="11"/>
        <v>4.5602842952782957E-4</v>
      </c>
      <c r="O55" s="341">
        <f t="shared" si="12"/>
        <v>1.0000000460311034</v>
      </c>
      <c r="P55" s="342">
        <f t="shared" si="13"/>
        <v>6.8608881915918022E-4</v>
      </c>
      <c r="Q55" s="343">
        <f t="shared" si="14"/>
        <v>53.186581766005141</v>
      </c>
      <c r="R55" s="344">
        <f t="shared" si="15"/>
        <v>-89.55803554910311</v>
      </c>
      <c r="S55" s="346">
        <f t="shared" si="16"/>
        <v>90.44196445089689</v>
      </c>
      <c r="U55" s="319">
        <f t="shared" si="23"/>
        <v>1000000000</v>
      </c>
      <c r="V55" s="319">
        <f t="shared" si="24"/>
        <v>2290.8667689999997</v>
      </c>
      <c r="X55" s="345">
        <f t="shared" si="17"/>
        <v>57.056039004989785</v>
      </c>
      <c r="Y55" s="346">
        <f t="shared" si="18"/>
        <v>-88.336911796566071</v>
      </c>
      <c r="AA55" s="345">
        <f t="shared" si="19"/>
        <v>59.739664050177979</v>
      </c>
      <c r="AB55" s="346">
        <f t="shared" si="20"/>
        <v>-1.221123752537048</v>
      </c>
      <c r="AD55">
        <f t="shared" si="25"/>
        <v>0</v>
      </c>
      <c r="AE55">
        <f t="shared" si="26"/>
        <v>0</v>
      </c>
    </row>
    <row r="56" spans="1:31" x14ac:dyDescent="0.25">
      <c r="A56" s="347">
        <v>52.481000000000002</v>
      </c>
      <c r="B56" s="364">
        <f t="shared" si="22"/>
        <v>5.2481E-2</v>
      </c>
      <c r="C56" s="337">
        <f t="shared" si="0"/>
        <v>1.0002588494334645</v>
      </c>
      <c r="D56" s="338">
        <f t="shared" si="1"/>
        <v>2.2750543287464366E-2</v>
      </c>
      <c r="E56" s="338">
        <f t="shared" si="2"/>
        <v>1.0000000090501184</v>
      </c>
      <c r="F56" s="339">
        <f t="shared" si="3"/>
        <v>1.3453712106183648E-4</v>
      </c>
      <c r="G56" s="338">
        <f t="shared" si="4"/>
        <v>1</v>
      </c>
      <c r="H56" s="339">
        <f t="shared" si="5"/>
        <v>0</v>
      </c>
      <c r="I56" s="337">
        <f t="shared" si="6"/>
        <v>118.20801758876004</v>
      </c>
      <c r="J56" s="340">
        <f t="shared" si="7"/>
        <v>1.562336562825984</v>
      </c>
      <c r="K56" s="348">
        <f t="shared" si="8"/>
        <v>1.0002454817367463</v>
      </c>
      <c r="L56" s="349">
        <f t="shared" si="9"/>
        <v>2.2155429561521212E-2</v>
      </c>
      <c r="M56" s="337">
        <f t="shared" si="10"/>
        <v>1.000000125013883</v>
      </c>
      <c r="N56" s="340">
        <f t="shared" si="11"/>
        <v>5.0002773905658611E-4</v>
      </c>
      <c r="O56" s="341">
        <f t="shared" si="12"/>
        <v>1.0000000553421196</v>
      </c>
      <c r="P56" s="342">
        <f t="shared" si="13"/>
        <v>7.5228522145354398E-4</v>
      </c>
      <c r="Q56" s="343">
        <f t="shared" si="14"/>
        <v>52.386581152542895</v>
      </c>
      <c r="R56" s="344">
        <f t="shared" si="15"/>
        <v>-89.613432674171662</v>
      </c>
      <c r="S56" s="346">
        <f t="shared" si="16"/>
        <v>90.386567325828338</v>
      </c>
      <c r="U56" s="319">
        <f t="shared" si="23"/>
        <v>1000000000</v>
      </c>
      <c r="V56" s="319">
        <f t="shared" si="24"/>
        <v>2754.255361</v>
      </c>
      <c r="X56" s="345">
        <f t="shared" si="17"/>
        <v>56.256416599478982</v>
      </c>
      <c r="Y56" s="346">
        <f t="shared" si="18"/>
        <v>-88.274528201685683</v>
      </c>
      <c r="AA56" s="345">
        <f t="shared" si="19"/>
        <v>59.739285842226543</v>
      </c>
      <c r="AB56" s="346">
        <f t="shared" si="20"/>
        <v>-1.3389044724859833</v>
      </c>
      <c r="AD56">
        <f t="shared" si="25"/>
        <v>0</v>
      </c>
      <c r="AE56">
        <f t="shared" si="26"/>
        <v>0</v>
      </c>
    </row>
    <row r="57" spans="1:31" x14ac:dyDescent="0.25">
      <c r="A57" s="347">
        <v>57.544000000000004</v>
      </c>
      <c r="B57" s="364">
        <f t="shared" si="22"/>
        <v>5.7544000000000005E-2</v>
      </c>
      <c r="C57" s="337">
        <f t="shared" si="0"/>
        <v>1.0003111943798098</v>
      </c>
      <c r="D57" s="338">
        <f t="shared" si="1"/>
        <v>2.4944486349337797E-2</v>
      </c>
      <c r="E57" s="338">
        <f t="shared" si="2"/>
        <v>1.0000000108805327</v>
      </c>
      <c r="F57" s="339">
        <f t="shared" si="3"/>
        <v>1.4751632181046815E-4</v>
      </c>
      <c r="G57" s="338">
        <f t="shared" si="4"/>
        <v>1</v>
      </c>
      <c r="H57" s="339">
        <f t="shared" si="5"/>
        <v>0</v>
      </c>
      <c r="I57" s="337">
        <f t="shared" si="6"/>
        <v>129.61112053851519</v>
      </c>
      <c r="J57" s="340">
        <f t="shared" si="7"/>
        <v>1.5630808628955706</v>
      </c>
      <c r="K57" s="348">
        <f t="shared" si="8"/>
        <v>1.0002951238448108</v>
      </c>
      <c r="L57" s="349">
        <f t="shared" si="9"/>
        <v>2.4292026730950617E-2</v>
      </c>
      <c r="M57" s="337">
        <f t="shared" si="10"/>
        <v>1.0000001502983213</v>
      </c>
      <c r="N57" s="340">
        <f t="shared" si="11"/>
        <v>5.4826691052487745E-4</v>
      </c>
      <c r="O57" s="341">
        <f t="shared" si="12"/>
        <v>1.0000000665352384</v>
      </c>
      <c r="P57" s="342">
        <f t="shared" si="13"/>
        <v>8.248604471067613E-4</v>
      </c>
      <c r="Q57" s="343">
        <f t="shared" si="14"/>
        <v>51.586650763392221</v>
      </c>
      <c r="R57" s="344">
        <f t="shared" si="15"/>
        <v>-89.66554210615439</v>
      </c>
      <c r="S57" s="346">
        <f t="shared" si="16"/>
        <v>90.33445789384561</v>
      </c>
      <c r="U57" s="319">
        <f t="shared" si="23"/>
        <v>1000000000</v>
      </c>
      <c r="V57" s="319">
        <f t="shared" si="24"/>
        <v>3311.3119360000005</v>
      </c>
      <c r="X57" s="345">
        <f t="shared" si="17"/>
        <v>55.456940824527059</v>
      </c>
      <c r="Y57" s="346">
        <f t="shared" si="18"/>
        <v>-88.197519354880725</v>
      </c>
      <c r="AA57" s="345">
        <f t="shared" si="19"/>
        <v>59.738831228027792</v>
      </c>
      <c r="AB57" s="346">
        <f t="shared" si="20"/>
        <v>-1.4680227512736688</v>
      </c>
      <c r="AD57">
        <f t="shared" si="25"/>
        <v>0</v>
      </c>
      <c r="AE57">
        <f t="shared" si="26"/>
        <v>0</v>
      </c>
    </row>
    <row r="58" spans="1:31" x14ac:dyDescent="0.25">
      <c r="A58" s="347">
        <v>63.095999999999997</v>
      </c>
      <c r="B58" s="364">
        <f t="shared" si="22"/>
        <v>6.3095999999999999E-2</v>
      </c>
      <c r="C58" s="337">
        <f t="shared" si="0"/>
        <v>1.0003741292318478</v>
      </c>
      <c r="D58" s="338">
        <f t="shared" si="1"/>
        <v>2.7350050280515306E-2</v>
      </c>
      <c r="E58" s="338">
        <f t="shared" si="2"/>
        <v>1.0000000130813849</v>
      </c>
      <c r="F58" s="339">
        <f t="shared" si="3"/>
        <v>1.6174909334242896E-4</v>
      </c>
      <c r="G58" s="338">
        <f t="shared" si="4"/>
        <v>1</v>
      </c>
      <c r="H58" s="339">
        <f t="shared" si="5"/>
        <v>0</v>
      </c>
      <c r="I58" s="337">
        <f t="shared" si="6"/>
        <v>142.11563864502847</v>
      </c>
      <c r="J58" s="340">
        <f t="shared" si="7"/>
        <v>1.5637597454458754</v>
      </c>
      <c r="K58" s="348">
        <f t="shared" si="8"/>
        <v>1.0003548092249006</v>
      </c>
      <c r="L58" s="349">
        <f t="shared" si="9"/>
        <v>2.6634727280951117E-2</v>
      </c>
      <c r="M58" s="337">
        <f t="shared" si="10"/>
        <v>1.0000001806998053</v>
      </c>
      <c r="N58" s="340">
        <f t="shared" si="11"/>
        <v>6.0116516553158689E-4</v>
      </c>
      <c r="O58" s="341">
        <f t="shared" si="12"/>
        <v>1.0000000799936153</v>
      </c>
      <c r="P58" s="342">
        <f t="shared" si="13"/>
        <v>9.0444521173371707E-4</v>
      </c>
      <c r="Q58" s="343">
        <f t="shared" si="14"/>
        <v>50.786630080297854</v>
      </c>
      <c r="R58" s="344">
        <f t="shared" si="15"/>
        <v>-89.714816257698203</v>
      </c>
      <c r="S58" s="346">
        <f t="shared" si="16"/>
        <v>90.285183742301797</v>
      </c>
      <c r="U58" s="319">
        <f t="shared" si="23"/>
        <v>1000000000</v>
      </c>
      <c r="V58" s="319">
        <f t="shared" si="24"/>
        <v>3981.1052159999995</v>
      </c>
      <c r="X58" s="345">
        <f t="shared" si="17"/>
        <v>54.65746669714342</v>
      </c>
      <c r="Y58" s="346">
        <f t="shared" si="18"/>
        <v>-88.105220452270288</v>
      </c>
      <c r="AA58" s="345">
        <f t="shared" si="19"/>
        <v>59.738284672317064</v>
      </c>
      <c r="AB58" s="346">
        <f t="shared" si="20"/>
        <v>-1.6095958054279209</v>
      </c>
      <c r="AD58">
        <f t="shared" si="25"/>
        <v>0</v>
      </c>
      <c r="AE58">
        <f t="shared" si="26"/>
        <v>0</v>
      </c>
    </row>
    <row r="59" spans="1:31" x14ac:dyDescent="0.25">
      <c r="A59" s="347">
        <v>69.183000000000007</v>
      </c>
      <c r="B59" s="364">
        <f t="shared" si="22"/>
        <v>6.9183000000000008E-2</v>
      </c>
      <c r="C59" s="337">
        <f t="shared" si="0"/>
        <v>1.0004497802107735</v>
      </c>
      <c r="D59" s="338">
        <f t="shared" si="1"/>
        <v>2.9987053548319934E-2</v>
      </c>
      <c r="E59" s="338">
        <f t="shared" si="2"/>
        <v>1.000000015727107</v>
      </c>
      <c r="F59" s="339">
        <f t="shared" si="3"/>
        <v>1.7735335845333572E-4</v>
      </c>
      <c r="G59" s="338">
        <f t="shared" si="4"/>
        <v>1</v>
      </c>
      <c r="H59" s="339">
        <f t="shared" si="5"/>
        <v>0</v>
      </c>
      <c r="I59" s="337">
        <f t="shared" si="6"/>
        <v>155.82517562464716</v>
      </c>
      <c r="J59" s="340">
        <f t="shared" si="7"/>
        <v>1.5643788344990666</v>
      </c>
      <c r="K59" s="348">
        <f t="shared" si="8"/>
        <v>1.0004265544253286</v>
      </c>
      <c r="L59" s="349">
        <f t="shared" si="9"/>
        <v>2.9202837416934645E-2</v>
      </c>
      <c r="M59" s="337">
        <f t="shared" si="10"/>
        <v>1.0000002172465068</v>
      </c>
      <c r="N59" s="340">
        <f t="shared" si="11"/>
        <v>6.591607809313388E-4</v>
      </c>
      <c r="O59" s="341">
        <f t="shared" si="12"/>
        <v>1.0000000961724116</v>
      </c>
      <c r="P59" s="342">
        <f t="shared" si="13"/>
        <v>9.9169890003191407E-4</v>
      </c>
      <c r="Q59" s="343">
        <f t="shared" si="14"/>
        <v>49.98668066765849</v>
      </c>
      <c r="R59" s="344">
        <f t="shared" si="15"/>
        <v>-89.761662846878991</v>
      </c>
      <c r="S59" s="346">
        <f t="shared" si="16"/>
        <v>90.238337153121009</v>
      </c>
      <c r="U59" s="319">
        <f t="shared" si="23"/>
        <v>1000000000</v>
      </c>
      <c r="V59" s="319">
        <f t="shared" si="24"/>
        <v>4786.2874890000012</v>
      </c>
      <c r="X59" s="345">
        <f t="shared" si="17"/>
        <v>53.858174227522746</v>
      </c>
      <c r="Y59" s="346">
        <f t="shared" si="18"/>
        <v>-87.996872673913145</v>
      </c>
      <c r="AA59" s="345">
        <f t="shared" si="19"/>
        <v>59.737627729298374</v>
      </c>
      <c r="AB59" s="346">
        <f t="shared" si="20"/>
        <v>-1.7647901729658464</v>
      </c>
      <c r="AD59">
        <f t="shared" si="25"/>
        <v>0</v>
      </c>
      <c r="AE59">
        <f t="shared" si="26"/>
        <v>0</v>
      </c>
    </row>
    <row r="60" spans="1:31" x14ac:dyDescent="0.25">
      <c r="A60" s="347">
        <v>75.858000000000004</v>
      </c>
      <c r="B60" s="364">
        <f t="shared" si="22"/>
        <v>7.5858000000000009E-2</v>
      </c>
      <c r="C60" s="337">
        <f t="shared" si="0"/>
        <v>1.0005407351401858</v>
      </c>
      <c r="D60" s="338">
        <f t="shared" si="1"/>
        <v>3.28783086696635E-2</v>
      </c>
      <c r="E60" s="338">
        <f t="shared" si="2"/>
        <v>1.0000000189083154</v>
      </c>
      <c r="F60" s="339">
        <f t="shared" si="3"/>
        <v>1.9446498470752238E-4</v>
      </c>
      <c r="G60" s="338">
        <f t="shared" si="4"/>
        <v>1</v>
      </c>
      <c r="H60" s="339">
        <f t="shared" si="5"/>
        <v>0</v>
      </c>
      <c r="I60" s="337">
        <f t="shared" si="6"/>
        <v>170.85910152289944</v>
      </c>
      <c r="J60" s="340">
        <f t="shared" si="7"/>
        <v>1.5649435176653934</v>
      </c>
      <c r="K60" s="348">
        <f t="shared" si="8"/>
        <v>1.0005128138204196</v>
      </c>
      <c r="L60" s="349">
        <f t="shared" si="9"/>
        <v>3.2018581103195415E-2</v>
      </c>
      <c r="M60" s="337">
        <f t="shared" si="10"/>
        <v>1.000000261190146</v>
      </c>
      <c r="N60" s="340">
        <f t="shared" si="11"/>
        <v>7.2275872765021872E-4</v>
      </c>
      <c r="O60" s="341">
        <f t="shared" si="12"/>
        <v>1.0000001156257519</v>
      </c>
      <c r="P60" s="342">
        <f t="shared" si="13"/>
        <v>1.0873812380120757E-3</v>
      </c>
      <c r="Q60" s="343">
        <f t="shared" si="14"/>
        <v>49.186629534722073</v>
      </c>
      <c r="R60" s="344">
        <f t="shared" si="15"/>
        <v>-89.806488959765971</v>
      </c>
      <c r="S60" s="346">
        <f t="shared" si="16"/>
        <v>90.193511040234029</v>
      </c>
      <c r="U60" s="319">
        <f t="shared" si="23"/>
        <v>1000000000</v>
      </c>
      <c r="V60" s="319">
        <f t="shared" si="24"/>
        <v>5754.4361640000006</v>
      </c>
      <c r="X60" s="345">
        <f t="shared" si="17"/>
        <v>53.058912869331692</v>
      </c>
      <c r="Y60" s="346">
        <f t="shared" si="18"/>
        <v>-87.871540300481868</v>
      </c>
      <c r="AA60" s="345">
        <f t="shared" si="19"/>
        <v>59.736837954553003</v>
      </c>
      <c r="AB60" s="346">
        <f t="shared" si="20"/>
        <v>-1.934948659284089</v>
      </c>
      <c r="AD60">
        <f t="shared" si="25"/>
        <v>0</v>
      </c>
      <c r="AE60">
        <f t="shared" si="26"/>
        <v>0</v>
      </c>
    </row>
    <row r="61" spans="1:31" x14ac:dyDescent="0.25">
      <c r="A61" s="347">
        <v>83.176000000000002</v>
      </c>
      <c r="B61" s="364">
        <f t="shared" si="22"/>
        <v>8.3176E-2</v>
      </c>
      <c r="C61" s="337">
        <f t="shared" si="0"/>
        <v>1.0006500610515863</v>
      </c>
      <c r="D61" s="338">
        <f t="shared" si="1"/>
        <v>3.604744366370681E-2</v>
      </c>
      <c r="E61" s="338">
        <f t="shared" si="2"/>
        <v>1.0000000227324437</v>
      </c>
      <c r="F61" s="339">
        <f t="shared" si="3"/>
        <v>2.1322496673780605E-4</v>
      </c>
      <c r="G61" s="338">
        <f t="shared" si="4"/>
        <v>1</v>
      </c>
      <c r="H61" s="339">
        <f t="shared" si="5"/>
        <v>0</v>
      </c>
      <c r="I61" s="337">
        <f t="shared" si="6"/>
        <v>187.34129138338551</v>
      </c>
      <c r="J61" s="340">
        <f t="shared" si="7"/>
        <v>1.5654584499101316</v>
      </c>
      <c r="K61" s="348">
        <f t="shared" si="8"/>
        <v>1.0006164963337754</v>
      </c>
      <c r="L61" s="349">
        <f t="shared" si="9"/>
        <v>3.5104979054226382E-2</v>
      </c>
      <c r="M61" s="337">
        <f t="shared" si="10"/>
        <v>1.0000003140147598</v>
      </c>
      <c r="N61" s="340">
        <f t="shared" si="11"/>
        <v>7.9248303163752124E-4</v>
      </c>
      <c r="O61" s="341">
        <f t="shared" si="12"/>
        <v>1.0000001390106055</v>
      </c>
      <c r="P61" s="342">
        <f t="shared" si="13"/>
        <v>1.1922806209311671E-3</v>
      </c>
      <c r="Q61" s="343">
        <f t="shared" si="14"/>
        <v>48.386672118278248</v>
      </c>
      <c r="R61" s="344">
        <f t="shared" si="15"/>
        <v>-89.84966322001668</v>
      </c>
      <c r="S61" s="346">
        <f t="shared" si="16"/>
        <v>90.15033677998332</v>
      </c>
      <c r="U61" s="319">
        <f t="shared" si="23"/>
        <v>1000000000</v>
      </c>
      <c r="V61" s="319">
        <f t="shared" si="24"/>
        <v>6918.2469760000004</v>
      </c>
      <c r="X61" s="345">
        <f t="shared" si="17"/>
        <v>52.259904650542779</v>
      </c>
      <c r="Y61" s="346">
        <f t="shared" si="18"/>
        <v>-87.728201076532841</v>
      </c>
      <c r="AA61" s="345">
        <f t="shared" si="19"/>
        <v>59.735888756898092</v>
      </c>
      <c r="AB61" s="346">
        <f t="shared" si="20"/>
        <v>-2.121462143483825</v>
      </c>
      <c r="AD61">
        <f t="shared" si="25"/>
        <v>0</v>
      </c>
      <c r="AE61">
        <f t="shared" si="26"/>
        <v>0</v>
      </c>
    </row>
    <row r="62" spans="1:31" x14ac:dyDescent="0.25">
      <c r="A62" s="347">
        <v>91.201000000000008</v>
      </c>
      <c r="B62" s="364">
        <f t="shared" si="22"/>
        <v>9.1201000000000004E-2</v>
      </c>
      <c r="C62" s="337">
        <f t="shared" si="0"/>
        <v>1.0007814995880653</v>
      </c>
      <c r="D62" s="338">
        <f t="shared" si="1"/>
        <v>3.9521917359997792E-2</v>
      </c>
      <c r="E62" s="338">
        <f t="shared" si="2"/>
        <v>1.000000027330606</v>
      </c>
      <c r="F62" s="339">
        <f t="shared" si="3"/>
        <v>2.337973710185999E-4</v>
      </c>
      <c r="G62" s="338">
        <f t="shared" si="4"/>
        <v>1</v>
      </c>
      <c r="H62" s="339">
        <f t="shared" si="5"/>
        <v>0</v>
      </c>
      <c r="I62" s="337">
        <f t="shared" si="6"/>
        <v>205.41589116791255</v>
      </c>
      <c r="J62" s="340">
        <f t="shared" si="7"/>
        <v>1.5659281350293659</v>
      </c>
      <c r="K62" s="348">
        <f t="shared" si="8"/>
        <v>1.0007411507931954</v>
      </c>
      <c r="L62" s="349">
        <f t="shared" si="9"/>
        <v>3.8488786127024534E-2</v>
      </c>
      <c r="M62" s="337">
        <f t="shared" si="10"/>
        <v>1.0000003775314943</v>
      </c>
      <c r="N62" s="340">
        <f t="shared" si="11"/>
        <v>8.6894346816288428E-4</v>
      </c>
      <c r="O62" s="341">
        <f t="shared" si="12"/>
        <v>1.0000001671287526</v>
      </c>
      <c r="P62" s="342">
        <f t="shared" si="13"/>
        <v>1.3073144544468169E-3</v>
      </c>
      <c r="Q62" s="343">
        <f t="shared" si="14"/>
        <v>47.586601950553728</v>
      </c>
      <c r="R62" s="344">
        <f t="shared" si="15"/>
        <v>-89.891562111500178</v>
      </c>
      <c r="S62" s="346">
        <f t="shared" si="16"/>
        <v>90.108437888499822</v>
      </c>
      <c r="U62" s="319">
        <f t="shared" si="23"/>
        <v>1000000000</v>
      </c>
      <c r="V62" s="319">
        <f t="shared" si="24"/>
        <v>8317.6224010000005</v>
      </c>
      <c r="X62" s="345">
        <f t="shared" si="17"/>
        <v>51.460975531140193</v>
      </c>
      <c r="Y62" s="346">
        <f t="shared" si="18"/>
        <v>-87.565615047734056</v>
      </c>
      <c r="AA62" s="345">
        <f t="shared" si="19"/>
        <v>59.734747708576151</v>
      </c>
      <c r="AB62" s="346">
        <f t="shared" si="20"/>
        <v>-2.3259470637661064</v>
      </c>
      <c r="AD62">
        <f t="shared" si="25"/>
        <v>0</v>
      </c>
      <c r="AE62">
        <f t="shared" si="26"/>
        <v>0</v>
      </c>
    </row>
    <row r="63" spans="1:31" x14ac:dyDescent="0.25">
      <c r="A63" s="347">
        <v>100</v>
      </c>
      <c r="B63" s="364">
        <f t="shared" si="22"/>
        <v>0.1</v>
      </c>
      <c r="C63" s="337">
        <f t="shared" si="0"/>
        <v>1.0009394966999459</v>
      </c>
      <c r="D63" s="338">
        <f t="shared" si="1"/>
        <v>4.3330399123764962E-2</v>
      </c>
      <c r="E63" s="338">
        <f t="shared" si="2"/>
        <v>1.000000032858676</v>
      </c>
      <c r="F63" s="339">
        <f t="shared" si="3"/>
        <v>2.5635395462436568E-4</v>
      </c>
      <c r="G63" s="338">
        <f t="shared" si="4"/>
        <v>1</v>
      </c>
      <c r="H63" s="339">
        <f t="shared" si="5"/>
        <v>0</v>
      </c>
      <c r="I63" s="337">
        <f t="shared" si="6"/>
        <v>225.23380408359898</v>
      </c>
      <c r="J63" s="340">
        <f t="shared" si="7"/>
        <v>1.5663564813221109</v>
      </c>
      <c r="K63" s="348">
        <f t="shared" si="8"/>
        <v>1.0008909941494479</v>
      </c>
      <c r="L63" s="349">
        <f t="shared" si="9"/>
        <v>4.2197940547834926E-2</v>
      </c>
      <c r="M63" s="337">
        <f t="shared" si="10"/>
        <v>1.0000004538935066</v>
      </c>
      <c r="N63" s="340">
        <f t="shared" si="11"/>
        <v>9.527783948933867E-4</v>
      </c>
      <c r="O63" s="341">
        <f t="shared" si="12"/>
        <v>1.000000200933379</v>
      </c>
      <c r="P63" s="342">
        <f t="shared" si="13"/>
        <v>1.4334431481826766E-3</v>
      </c>
      <c r="Q63" s="343">
        <f t="shared" si="14"/>
        <v>46.786539659452686</v>
      </c>
      <c r="R63" s="344">
        <f t="shared" si="15"/>
        <v>-89.932533216096189</v>
      </c>
      <c r="S63" s="346">
        <f t="shared" si="16"/>
        <v>90.067466783903811</v>
      </c>
      <c r="U63" s="319">
        <f t="shared" si="23"/>
        <v>1000000000</v>
      </c>
      <c r="V63" s="319">
        <f t="shared" si="24"/>
        <v>10000</v>
      </c>
      <c r="X63" s="345">
        <f t="shared" si="17"/>
        <v>50.662284651240483</v>
      </c>
      <c r="Y63" s="346">
        <f t="shared" si="18"/>
        <v>-87.382441975871842</v>
      </c>
      <c r="AA63" s="345">
        <f t="shared" si="19"/>
        <v>59.733376297374825</v>
      </c>
      <c r="AB63" s="346">
        <f t="shared" si="20"/>
        <v>-2.5500912402243454</v>
      </c>
      <c r="AD63">
        <f t="shared" si="25"/>
        <v>0</v>
      </c>
      <c r="AE63">
        <f t="shared" si="26"/>
        <v>0</v>
      </c>
    </row>
    <row r="64" spans="1:31" x14ac:dyDescent="0.25">
      <c r="A64" s="347">
        <v>109.65</v>
      </c>
      <c r="B64" s="364">
        <f t="shared" si="22"/>
        <v>0.10965000000000001</v>
      </c>
      <c r="C64" s="337">
        <f t="shared" si="0"/>
        <v>1.0011294611628083</v>
      </c>
      <c r="D64" s="338">
        <f t="shared" si="1"/>
        <v>4.7505770546950196E-2</v>
      </c>
      <c r="E64" s="338">
        <f t="shared" si="2"/>
        <v>1.0000000395063884</v>
      </c>
      <c r="F64" s="339">
        <f t="shared" si="3"/>
        <v>2.8109210999987063E-4</v>
      </c>
      <c r="G64" s="338">
        <f t="shared" si="4"/>
        <v>1</v>
      </c>
      <c r="H64" s="339">
        <f t="shared" si="5"/>
        <v>0</v>
      </c>
      <c r="I64" s="337">
        <f t="shared" si="6"/>
        <v>246.96845658673104</v>
      </c>
      <c r="J64" s="340">
        <f t="shared" si="7"/>
        <v>1.566747215639666</v>
      </c>
      <c r="K64" s="348">
        <f t="shared" si="8"/>
        <v>1.0010711567323451</v>
      </c>
      <c r="L64" s="349">
        <f t="shared" si="9"/>
        <v>4.6264488718959967E-2</v>
      </c>
      <c r="M64" s="337">
        <f t="shared" si="10"/>
        <v>1.0000005457216981</v>
      </c>
      <c r="N64" s="340">
        <f t="shared" si="11"/>
        <v>1.0447214460440326E-3</v>
      </c>
      <c r="O64" s="341">
        <f t="shared" si="12"/>
        <v>1.0000002415847413</v>
      </c>
      <c r="P64" s="342">
        <f t="shared" si="13"/>
        <v>1.5717704569860361E-3</v>
      </c>
      <c r="Q64" s="343">
        <f t="shared" si="14"/>
        <v>45.986295284872654</v>
      </c>
      <c r="R64" s="344">
        <f t="shared" si="15"/>
        <v>-89.972931884381481</v>
      </c>
      <c r="S64" s="346">
        <f t="shared" si="16"/>
        <v>90.027068115618519</v>
      </c>
      <c r="U64" s="319">
        <f t="shared" si="23"/>
        <v>1000000000</v>
      </c>
      <c r="V64" s="319">
        <f t="shared" si="24"/>
        <v>12023.122500000001</v>
      </c>
      <c r="X64" s="345">
        <f t="shared" si="17"/>
        <v>49.863688877239824</v>
      </c>
      <c r="Y64" s="346">
        <f t="shared" si="18"/>
        <v>-87.177101304338407</v>
      </c>
      <c r="AA64" s="345">
        <f t="shared" si="19"/>
        <v>59.73172769679546</v>
      </c>
      <c r="AB64" s="346">
        <f t="shared" si="20"/>
        <v>-2.7958305800430696</v>
      </c>
      <c r="AD64">
        <f t="shared" si="25"/>
        <v>0</v>
      </c>
      <c r="AE64">
        <f t="shared" si="26"/>
        <v>0</v>
      </c>
    </row>
    <row r="65" spans="1:31" x14ac:dyDescent="0.25">
      <c r="A65" s="347">
        <v>120.23</v>
      </c>
      <c r="B65" s="364">
        <f t="shared" si="22"/>
        <v>0.12023</v>
      </c>
      <c r="C65" s="337">
        <f t="shared" si="0"/>
        <v>1.0013577824024924</v>
      </c>
      <c r="D65" s="338">
        <f t="shared" si="1"/>
        <v>5.2081625733969017E-2</v>
      </c>
      <c r="E65" s="338">
        <f t="shared" si="2"/>
        <v>1.0000000474980466</v>
      </c>
      <c r="F65" s="339">
        <f t="shared" si="3"/>
        <v>3.0821435663683206E-4</v>
      </c>
      <c r="G65" s="338">
        <f t="shared" si="4"/>
        <v>1</v>
      </c>
      <c r="H65" s="339">
        <f t="shared" si="5"/>
        <v>0</v>
      </c>
      <c r="I65" s="337">
        <f t="shared" si="6"/>
        <v>270.79778003474496</v>
      </c>
      <c r="J65" s="340">
        <f t="shared" si="7"/>
        <v>1.5671035259430151</v>
      </c>
      <c r="K65" s="348">
        <f t="shared" si="8"/>
        <v>1.0012876992715583</v>
      </c>
      <c r="L65" s="349">
        <f t="shared" si="9"/>
        <v>5.0721178621840307E-2</v>
      </c>
      <c r="M65" s="337">
        <f t="shared" si="10"/>
        <v>1.0000006561144763</v>
      </c>
      <c r="N65" s="340">
        <f t="shared" si="11"/>
        <v>1.1455253097475454E-3</v>
      </c>
      <c r="O65" s="341">
        <f t="shared" si="12"/>
        <v>1.000000290454488</v>
      </c>
      <c r="P65" s="342">
        <f t="shared" si="13"/>
        <v>1.7234288057283106E-3</v>
      </c>
      <c r="Q65" s="343">
        <f t="shared" si="14"/>
        <v>45.18611966826596</v>
      </c>
      <c r="R65" s="344">
        <f t="shared" si="15"/>
        <v>-90.013085657848393</v>
      </c>
      <c r="S65" s="346">
        <f t="shared" si="16"/>
        <v>89.986914342151607</v>
      </c>
      <c r="U65" s="319">
        <f t="shared" si="23"/>
        <v>1000000000</v>
      </c>
      <c r="V65" s="319">
        <f t="shared" si="24"/>
        <v>14455.252900000001</v>
      </c>
      <c r="X65" s="345">
        <f t="shared" si="17"/>
        <v>49.065494325540193</v>
      </c>
      <c r="Y65" s="346">
        <f t="shared" si="18"/>
        <v>-86.947942494570711</v>
      </c>
      <c r="AA65" s="345">
        <f t="shared" si="19"/>
        <v>59.729746631888396</v>
      </c>
      <c r="AB65" s="346">
        <f t="shared" si="20"/>
        <v>-3.0651431632776731</v>
      </c>
      <c r="AD65">
        <f t="shared" si="25"/>
        <v>0</v>
      </c>
      <c r="AE65">
        <f t="shared" si="26"/>
        <v>0</v>
      </c>
    </row>
    <row r="66" spans="1:31" x14ac:dyDescent="0.25">
      <c r="A66" s="347">
        <v>131.83000000000001</v>
      </c>
      <c r="B66" s="364">
        <f t="shared" si="22"/>
        <v>0.13183</v>
      </c>
      <c r="C66" s="337">
        <f t="shared" si="0"/>
        <v>1.0016322002539151</v>
      </c>
      <c r="D66" s="338">
        <f t="shared" si="1"/>
        <v>5.7096116802002959E-2</v>
      </c>
      <c r="E66" s="338">
        <f t="shared" si="2"/>
        <v>1.0000000571055814</v>
      </c>
      <c r="F66" s="339">
        <f t="shared" si="3"/>
        <v>3.3795141291845075E-4</v>
      </c>
      <c r="G66" s="338">
        <f t="shared" si="4"/>
        <v>1</v>
      </c>
      <c r="H66" s="339">
        <f t="shared" si="5"/>
        <v>0</v>
      </c>
      <c r="I66" s="337">
        <f t="shared" si="6"/>
        <v>296.92448132909192</v>
      </c>
      <c r="J66" s="340">
        <f t="shared" si="7"/>
        <v>1.5674284607100706</v>
      </c>
      <c r="K66" s="348">
        <f t="shared" si="8"/>
        <v>1.0015479637430995</v>
      </c>
      <c r="L66" s="349">
        <f t="shared" si="9"/>
        <v>5.5605207503574894E-2</v>
      </c>
      <c r="M66" s="337">
        <f t="shared" si="10"/>
        <v>1.0000007888281515</v>
      </c>
      <c r="N66" s="340">
        <f t="shared" si="11"/>
        <v>1.2560474775255045E-3</v>
      </c>
      <c r="O66" s="341">
        <f t="shared" si="12"/>
        <v>1.0000003492055234</v>
      </c>
      <c r="P66" s="342">
        <f t="shared" si="13"/>
        <v>1.8897082995995955E-3</v>
      </c>
      <c r="Q66" s="343">
        <f t="shared" si="14"/>
        <v>44.385977375879044</v>
      </c>
      <c r="R66" s="344">
        <f t="shared" si="15"/>
        <v>-90.05333374047936</v>
      </c>
      <c r="S66" s="346">
        <f t="shared" si="16"/>
        <v>89.94666625952064</v>
      </c>
      <c r="U66" s="319">
        <f t="shared" si="23"/>
        <v>1000000000</v>
      </c>
      <c r="V66" s="319">
        <f t="shared" si="24"/>
        <v>17379.148900000004</v>
      </c>
      <c r="X66" s="345">
        <f t="shared" si="17"/>
        <v>48.267732465108246</v>
      </c>
      <c r="Y66" s="346">
        <f t="shared" si="18"/>
        <v>-86.693058096861733</v>
      </c>
      <c r="AA66" s="345">
        <f t="shared" si="19"/>
        <v>59.727366199933428</v>
      </c>
      <c r="AB66" s="346">
        <f t="shared" si="20"/>
        <v>-3.3602756436176207</v>
      </c>
      <c r="AD66">
        <f t="shared" si="25"/>
        <v>0</v>
      </c>
      <c r="AE66">
        <f t="shared" si="26"/>
        <v>0</v>
      </c>
    </row>
    <row r="67" spans="1:31" x14ac:dyDescent="0.25">
      <c r="A67" s="347">
        <v>144.54</v>
      </c>
      <c r="B67" s="364">
        <f t="shared" si="22"/>
        <v>0.14454</v>
      </c>
      <c r="C67" s="337">
        <f t="shared" si="0"/>
        <v>1.0019617765339299</v>
      </c>
      <c r="D67" s="338">
        <f t="shared" si="1"/>
        <v>6.2587135329533319E-2</v>
      </c>
      <c r="E67" s="338">
        <f t="shared" si="2"/>
        <v>1.0000000686477255</v>
      </c>
      <c r="F67" s="339">
        <f t="shared" si="3"/>
        <v>3.7053399717335196E-4</v>
      </c>
      <c r="G67" s="338">
        <f t="shared" si="4"/>
        <v>1</v>
      </c>
      <c r="H67" s="339">
        <f t="shared" si="5"/>
        <v>0</v>
      </c>
      <c r="I67" s="337">
        <f t="shared" si="6"/>
        <v>325.55126760086938</v>
      </c>
      <c r="J67" s="340">
        <f t="shared" si="7"/>
        <v>1.5677246091513253</v>
      </c>
      <c r="K67" s="348">
        <f t="shared" si="8"/>
        <v>1.0018605466435144</v>
      </c>
      <c r="L67" s="349">
        <f t="shared" si="9"/>
        <v>6.0953531828728855E-2</v>
      </c>
      <c r="M67" s="337">
        <f t="shared" si="10"/>
        <v>1.0000009482655281</v>
      </c>
      <c r="N67" s="340">
        <f t="shared" si="11"/>
        <v>1.37714543809761E-3</v>
      </c>
      <c r="O67" s="341">
        <f t="shared" si="12"/>
        <v>1.0000004197869612</v>
      </c>
      <c r="P67" s="342">
        <f t="shared" si="13"/>
        <v>2.0718990457615455E-3</v>
      </c>
      <c r="Q67" s="343">
        <f t="shared" si="14"/>
        <v>43.58636070751583</v>
      </c>
      <c r="R67" s="344">
        <f t="shared" si="15"/>
        <v>-90.093987890182632</v>
      </c>
      <c r="S67" s="346">
        <f t="shared" si="16"/>
        <v>89.906012109817368</v>
      </c>
      <c r="U67" s="319">
        <f t="shared" si="23"/>
        <v>1000000000</v>
      </c>
      <c r="V67" s="319">
        <f t="shared" si="24"/>
        <v>20891.811599999997</v>
      </c>
      <c r="X67" s="345">
        <f t="shared" si="17"/>
        <v>47.470973837829796</v>
      </c>
      <c r="Y67" s="346">
        <f t="shared" si="18"/>
        <v>-86.410528143082104</v>
      </c>
      <c r="AA67" s="345">
        <f t="shared" si="19"/>
        <v>59.724508158848664</v>
      </c>
      <c r="AB67" s="346">
        <f t="shared" si="20"/>
        <v>-3.6834597471005264</v>
      </c>
      <c r="AD67">
        <f t="shared" si="25"/>
        <v>0</v>
      </c>
      <c r="AE67">
        <f t="shared" si="26"/>
        <v>0</v>
      </c>
    </row>
    <row r="68" spans="1:31" x14ac:dyDescent="0.25">
      <c r="A68" s="347">
        <v>158.49</v>
      </c>
      <c r="B68" s="364">
        <f t="shared" si="22"/>
        <v>0.15849000000000002</v>
      </c>
      <c r="C68" s="337">
        <f t="shared" si="0"/>
        <v>1.0023582571704102</v>
      </c>
      <c r="D68" s="338">
        <f t="shared" si="1"/>
        <v>6.8609503669717936E-2</v>
      </c>
      <c r="E68" s="338">
        <f t="shared" si="2"/>
        <v>1.0000000825379691</v>
      </c>
      <c r="F68" s="339">
        <f t="shared" si="3"/>
        <v>4.0629536922784631E-4</v>
      </c>
      <c r="G68" s="338">
        <f t="shared" si="4"/>
        <v>1</v>
      </c>
      <c r="H68" s="339">
        <f t="shared" si="5"/>
        <v>0</v>
      </c>
      <c r="I68" s="337">
        <f t="shared" si="6"/>
        <v>356.97093840776557</v>
      </c>
      <c r="J68" s="340">
        <f t="shared" si="7"/>
        <v>1.5679949746389183</v>
      </c>
      <c r="K68" s="348">
        <f t="shared" si="8"/>
        <v>1.0022365912356113</v>
      </c>
      <c r="L68" s="349">
        <f t="shared" si="9"/>
        <v>6.6819616270002297E-2</v>
      </c>
      <c r="M68" s="337">
        <f t="shared" si="10"/>
        <v>1.0000011401383435</v>
      </c>
      <c r="N68" s="340">
        <f t="shared" si="11"/>
        <v>1.5100577872205344E-3</v>
      </c>
      <c r="O68" s="341">
        <f t="shared" si="12"/>
        <v>1.0000005047273846</v>
      </c>
      <c r="P68" s="342">
        <f t="shared" si="13"/>
        <v>2.2718645316755787E-3</v>
      </c>
      <c r="Q68" s="343">
        <f t="shared" si="14"/>
        <v>42.785912259228773</v>
      </c>
      <c r="R68" s="344">
        <f t="shared" si="15"/>
        <v>-90.135456618761296</v>
      </c>
      <c r="S68" s="346">
        <f t="shared" si="16"/>
        <v>89.864543381238704</v>
      </c>
      <c r="U68" s="319">
        <f t="shared" si="23"/>
        <v>1000000000</v>
      </c>
      <c r="V68" s="319">
        <f t="shared" si="24"/>
        <v>25119.080100000003</v>
      </c>
      <c r="X68" s="345">
        <f t="shared" si="17"/>
        <v>46.67396237116823</v>
      </c>
      <c r="Y68" s="346">
        <f t="shared" si="18"/>
        <v>-86.097532379987115</v>
      </c>
      <c r="AA68" s="345">
        <f t="shared" si="19"/>
        <v>59.721071177223173</v>
      </c>
      <c r="AB68" s="346">
        <f t="shared" si="20"/>
        <v>-4.0379242387741829</v>
      </c>
      <c r="AD68">
        <f t="shared" si="25"/>
        <v>0</v>
      </c>
      <c r="AE68">
        <f t="shared" si="26"/>
        <v>0</v>
      </c>
    </row>
    <row r="69" spans="1:31" x14ac:dyDescent="0.25">
      <c r="A69" s="347">
        <v>173.78</v>
      </c>
      <c r="B69" s="364">
        <f t="shared" si="22"/>
        <v>0.17377999999999999</v>
      </c>
      <c r="C69" s="337">
        <f t="shared" si="0"/>
        <v>1.0028345474246705</v>
      </c>
      <c r="D69" s="338">
        <f t="shared" si="1"/>
        <v>7.5204627927302412E-2</v>
      </c>
      <c r="E69" s="338">
        <f t="shared" si="2"/>
        <v>1.000000099231517</v>
      </c>
      <c r="F69" s="339">
        <f t="shared" si="3"/>
        <v>4.4549188263384861E-4</v>
      </c>
      <c r="G69" s="338">
        <f t="shared" si="4"/>
        <v>1</v>
      </c>
      <c r="H69" s="339">
        <f t="shared" si="5"/>
        <v>0</v>
      </c>
      <c r="I69" s="337">
        <f t="shared" si="6"/>
        <v>391.40872438752859</v>
      </c>
      <c r="J69" s="340">
        <f t="shared" si="7"/>
        <v>1.5682414499472614</v>
      </c>
      <c r="K69" s="348">
        <f t="shared" si="8"/>
        <v>1.0026883418812971</v>
      </c>
      <c r="L69" s="349">
        <f t="shared" si="9"/>
        <v>7.324388047596328E-2</v>
      </c>
      <c r="M69" s="337">
        <f t="shared" si="10"/>
        <v>1.0000013707345403</v>
      </c>
      <c r="N69" s="340">
        <f t="shared" si="11"/>
        <v>1.655737282614174E-3</v>
      </c>
      <c r="O69" s="341">
        <f t="shared" si="12"/>
        <v>1.000000606810485</v>
      </c>
      <c r="P69" s="342">
        <f t="shared" si="13"/>
        <v>2.4910382150379758E-3</v>
      </c>
      <c r="Q69" s="343">
        <f t="shared" si="14"/>
        <v>41.985744625022249</v>
      </c>
      <c r="R69" s="344">
        <f t="shared" si="15"/>
        <v>-90.178026926072476</v>
      </c>
      <c r="S69" s="346">
        <f t="shared" si="16"/>
        <v>89.821973073927524</v>
      </c>
      <c r="U69" s="319">
        <f t="shared" si="23"/>
        <v>1000000000</v>
      </c>
      <c r="V69" s="319">
        <f t="shared" si="24"/>
        <v>30199.488400000002</v>
      </c>
      <c r="X69" s="345">
        <f t="shared" si="17"/>
        <v>45.87792176979562</v>
      </c>
      <c r="Y69" s="346">
        <f t="shared" si="18"/>
        <v>-85.751917969283582</v>
      </c>
      <c r="AA69" s="345">
        <f t="shared" si="19"/>
        <v>59.716944144389252</v>
      </c>
      <c r="AB69" s="346">
        <f t="shared" si="20"/>
        <v>-4.4261089567888998</v>
      </c>
      <c r="AD69">
        <f t="shared" si="25"/>
        <v>0</v>
      </c>
      <c r="AE69">
        <f t="shared" si="26"/>
        <v>0</v>
      </c>
    </row>
    <row r="70" spans="1:31" x14ac:dyDescent="0.25">
      <c r="A70" s="347">
        <v>190.55</v>
      </c>
      <c r="B70" s="364">
        <f t="shared" si="22"/>
        <v>0.19055000000000002</v>
      </c>
      <c r="C70" s="337">
        <f t="shared" si="0"/>
        <v>1.0034070454359516</v>
      </c>
      <c r="D70" s="338">
        <f t="shared" si="1"/>
        <v>8.2430579005301527E-2</v>
      </c>
      <c r="E70" s="338">
        <f t="shared" si="2"/>
        <v>1.0000001193075552</v>
      </c>
      <c r="F70" s="339">
        <f t="shared" si="3"/>
        <v>4.8848243238422363E-4</v>
      </c>
      <c r="G70" s="338">
        <f t="shared" si="4"/>
        <v>1</v>
      </c>
      <c r="H70" s="339">
        <f t="shared" si="5"/>
        <v>0</v>
      </c>
      <c r="I70" s="337">
        <f t="shared" si="6"/>
        <v>429.17994862564484</v>
      </c>
      <c r="J70" s="340">
        <f t="shared" si="7"/>
        <v>1.5684662997094267</v>
      </c>
      <c r="K70" s="348">
        <f t="shared" si="8"/>
        <v>1.0032313580168288</v>
      </c>
      <c r="L70" s="349">
        <f t="shared" si="9"/>
        <v>8.0283006264713033E-2</v>
      </c>
      <c r="M70" s="337">
        <f t="shared" si="10"/>
        <v>1.0000016480546792</v>
      </c>
      <c r="N70" s="340">
        <f t="shared" si="11"/>
        <v>1.8155177861226548E-3</v>
      </c>
      <c r="O70" s="341">
        <f t="shared" si="12"/>
        <v>1.0000007295781537</v>
      </c>
      <c r="P70" s="342">
        <f t="shared" si="13"/>
        <v>2.7314269358943303E-3</v>
      </c>
      <c r="Q70" s="343">
        <f t="shared" si="14"/>
        <v>41.185308364886325</v>
      </c>
      <c r="R70" s="344">
        <f t="shared" si="15"/>
        <v>-90.22207899968717</v>
      </c>
      <c r="S70" s="346">
        <f t="shared" si="16"/>
        <v>89.77792100031283</v>
      </c>
      <c r="U70" s="319">
        <f t="shared" si="23"/>
        <v>1000000000</v>
      </c>
      <c r="V70" s="319">
        <f t="shared" si="24"/>
        <v>36309.302500000005</v>
      </c>
      <c r="X70" s="345">
        <f t="shared" si="17"/>
        <v>45.082443585943039</v>
      </c>
      <c r="Y70" s="346">
        <f t="shared" si="18"/>
        <v>-85.370643460586933</v>
      </c>
      <c r="AA70" s="345">
        <f t="shared" si="19"/>
        <v>59.711986068105922</v>
      </c>
      <c r="AB70" s="346">
        <f t="shared" si="20"/>
        <v>-4.8514355391002368</v>
      </c>
      <c r="AD70">
        <f t="shared" si="25"/>
        <v>0</v>
      </c>
      <c r="AE70">
        <f t="shared" si="26"/>
        <v>0</v>
      </c>
    </row>
    <row r="71" spans="1:31" x14ac:dyDescent="0.25">
      <c r="A71" s="347">
        <v>208.93</v>
      </c>
      <c r="B71" s="364">
        <f t="shared" si="22"/>
        <v>0.20893</v>
      </c>
      <c r="C71" s="337">
        <f t="shared" si="0"/>
        <v>1.0040946105796136</v>
      </c>
      <c r="D71" s="338">
        <f t="shared" si="1"/>
        <v>9.0340330903430452E-2</v>
      </c>
      <c r="E71" s="338">
        <f t="shared" si="2"/>
        <v>1.0000001434338459</v>
      </c>
      <c r="F71" s="339">
        <f t="shared" si="3"/>
        <v>5.3560027791396041E-4</v>
      </c>
      <c r="G71" s="338">
        <f t="shared" si="4"/>
        <v>1</v>
      </c>
      <c r="H71" s="339">
        <f t="shared" si="5"/>
        <v>0</v>
      </c>
      <c r="I71" s="337">
        <f t="shared" si="6"/>
        <v>470.57741130531002</v>
      </c>
      <c r="J71" s="340">
        <f t="shared" si="7"/>
        <v>1.5686712763173005</v>
      </c>
      <c r="K71" s="348">
        <f t="shared" si="8"/>
        <v>1.0038835366950685</v>
      </c>
      <c r="L71" s="349">
        <f t="shared" si="9"/>
        <v>8.7988749176316397E-2</v>
      </c>
      <c r="M71" s="337">
        <f t="shared" si="10"/>
        <v>1.0000019813228429</v>
      </c>
      <c r="N71" s="340">
        <f t="shared" si="11"/>
        <v>1.990637873412407E-3</v>
      </c>
      <c r="O71" s="341">
        <f t="shared" si="12"/>
        <v>1.0000008771139806</v>
      </c>
      <c r="P71" s="342">
        <f t="shared" si="13"/>
        <v>2.9948941958425949E-3</v>
      </c>
      <c r="Q71" s="343">
        <f t="shared" si="14"/>
        <v>40.385166214116985</v>
      </c>
      <c r="R71" s="344">
        <f t="shared" si="15"/>
        <v>-90.267941698436303</v>
      </c>
      <c r="S71" s="346">
        <f t="shared" si="16"/>
        <v>89.732058301563697</v>
      </c>
      <c r="U71" s="319">
        <f t="shared" si="23"/>
        <v>1000000000</v>
      </c>
      <c r="V71" s="319">
        <f t="shared" si="24"/>
        <v>43651.744900000005</v>
      </c>
      <c r="X71" s="345">
        <f t="shared" si="17"/>
        <v>44.288252305613717</v>
      </c>
      <c r="Y71" s="346">
        <f t="shared" si="18"/>
        <v>-84.950914849699345</v>
      </c>
      <c r="AA71" s="345">
        <f t="shared" si="19"/>
        <v>59.706035197665884</v>
      </c>
      <c r="AB71" s="346">
        <f t="shared" si="20"/>
        <v>-5.3170268487369396</v>
      </c>
      <c r="AD71">
        <f t="shared" si="25"/>
        <v>0</v>
      </c>
      <c r="AE71">
        <f t="shared" si="26"/>
        <v>0</v>
      </c>
    </row>
    <row r="72" spans="1:31" x14ac:dyDescent="0.25">
      <c r="A72" s="347">
        <v>229.09</v>
      </c>
      <c r="B72" s="364">
        <f t="shared" si="22"/>
        <v>0.22909000000000002</v>
      </c>
      <c r="C72" s="337">
        <f t="shared" si="0"/>
        <v>1.0049208965815504</v>
      </c>
      <c r="D72" s="338">
        <f t="shared" si="1"/>
        <v>9.9003046457404709E-2</v>
      </c>
      <c r="E72" s="338">
        <f t="shared" si="2"/>
        <v>1.0000001724496406</v>
      </c>
      <c r="F72" s="339">
        <f t="shared" si="3"/>
        <v>5.8728121999619297E-4</v>
      </c>
      <c r="G72" s="338">
        <f t="shared" si="4"/>
        <v>1</v>
      </c>
      <c r="H72" s="339">
        <f t="shared" si="5"/>
        <v>0</v>
      </c>
      <c r="I72" s="337">
        <f t="shared" si="6"/>
        <v>515.98400516896152</v>
      </c>
      <c r="J72" s="340">
        <f t="shared" si="7"/>
        <v>1.568858281010558</v>
      </c>
      <c r="K72" s="348">
        <f t="shared" si="8"/>
        <v>1.0046673270526296</v>
      </c>
      <c r="L72" s="349">
        <f t="shared" si="9"/>
        <v>9.6428686352897142E-2</v>
      </c>
      <c r="M72" s="337">
        <f t="shared" si="10"/>
        <v>1.0000023821319579</v>
      </c>
      <c r="N72" s="340">
        <f t="shared" si="11"/>
        <v>2.1827172189961943E-3</v>
      </c>
      <c r="O72" s="341">
        <f t="shared" si="12"/>
        <v>1.0000010545503073</v>
      </c>
      <c r="P72" s="342">
        <f t="shared" si="13"/>
        <v>3.2838768825437883E-3</v>
      </c>
      <c r="Q72" s="343">
        <f t="shared" si="14"/>
        <v>39.5846922958346</v>
      </c>
      <c r="R72" s="344">
        <f t="shared" si="15"/>
        <v>-90.316022263226785</v>
      </c>
      <c r="S72" s="346">
        <f t="shared" si="16"/>
        <v>89.683977736773215</v>
      </c>
      <c r="U72" s="319">
        <f t="shared" si="23"/>
        <v>1000000000</v>
      </c>
      <c r="V72" s="319">
        <f t="shared" si="24"/>
        <v>52482.2281</v>
      </c>
      <c r="X72" s="345">
        <f t="shared" si="17"/>
        <v>43.494924498822805</v>
      </c>
      <c r="Y72" s="346">
        <f t="shared" si="18"/>
        <v>-84.489061985104343</v>
      </c>
      <c r="AA72" s="345">
        <f t="shared" si="19"/>
        <v>59.698889086174425</v>
      </c>
      <c r="AB72" s="346">
        <f t="shared" si="20"/>
        <v>-5.8269602781224394</v>
      </c>
      <c r="AD72">
        <f t="shared" si="25"/>
        <v>0</v>
      </c>
      <c r="AE72">
        <f t="shared" si="26"/>
        <v>0</v>
      </c>
    </row>
    <row r="73" spans="1:31" x14ac:dyDescent="0.25">
      <c r="A73" s="347">
        <v>251.19</v>
      </c>
      <c r="B73" s="364">
        <f t="shared" si="22"/>
        <v>0.25119000000000002</v>
      </c>
      <c r="C73" s="337">
        <f t="shared" si="0"/>
        <v>1.0059131891826401</v>
      </c>
      <c r="D73" s="338">
        <f t="shared" si="1"/>
        <v>0.10848223160250486</v>
      </c>
      <c r="E73" s="338">
        <f t="shared" si="2"/>
        <v>1.0000002073264509</v>
      </c>
      <c r="F73" s="339">
        <f t="shared" si="3"/>
        <v>6.4393542372362595E-4</v>
      </c>
      <c r="G73" s="338">
        <f t="shared" si="4"/>
        <v>1</v>
      </c>
      <c r="H73" s="339">
        <f t="shared" si="5"/>
        <v>0</v>
      </c>
      <c r="I73" s="337">
        <f t="shared" si="6"/>
        <v>565.76010001201314</v>
      </c>
      <c r="J73" s="340">
        <f t="shared" si="7"/>
        <v>1.5690287922503514</v>
      </c>
      <c r="K73" s="348">
        <f t="shared" si="8"/>
        <v>1.0056086299142706</v>
      </c>
      <c r="L73" s="349">
        <f t="shared" si="9"/>
        <v>0.10566494995221265</v>
      </c>
      <c r="M73" s="337">
        <f t="shared" si="10"/>
        <v>1.0000028639019045</v>
      </c>
      <c r="N73" s="340">
        <f t="shared" si="11"/>
        <v>2.3932802049173585E-3</v>
      </c>
      <c r="O73" s="341">
        <f t="shared" si="12"/>
        <v>1.0000012678283741</v>
      </c>
      <c r="P73" s="342">
        <f t="shared" si="13"/>
        <v>3.6006685496383921E-3</v>
      </c>
      <c r="Q73" s="343">
        <f t="shared" si="14"/>
        <v>38.784326784394622</v>
      </c>
      <c r="R73" s="344">
        <f t="shared" si="15"/>
        <v>-90.366679366169777</v>
      </c>
      <c r="S73" s="346">
        <f t="shared" si="16"/>
        <v>89.633320633830223</v>
      </c>
      <c r="U73" s="319">
        <f t="shared" si="23"/>
        <v>1000000000</v>
      </c>
      <c r="V73" s="319">
        <f t="shared" si="24"/>
        <v>63096.416100000002</v>
      </c>
      <c r="X73" s="345">
        <f t="shared" si="17"/>
        <v>42.70313304403723</v>
      </c>
      <c r="Y73" s="346">
        <f t="shared" si="18"/>
        <v>-83.981697006628167</v>
      </c>
      <c r="AA73" s="345">
        <f t="shared" si="19"/>
        <v>59.690315029520022</v>
      </c>
      <c r="AB73" s="346">
        <f t="shared" si="20"/>
        <v>-6.3849823595415947</v>
      </c>
      <c r="AD73">
        <f t="shared" si="25"/>
        <v>0</v>
      </c>
      <c r="AE73">
        <f t="shared" si="26"/>
        <v>0</v>
      </c>
    </row>
    <row r="74" spans="1:31" x14ac:dyDescent="0.25">
      <c r="A74" s="347">
        <v>275.42</v>
      </c>
      <c r="B74" s="364">
        <f t="shared" si="22"/>
        <v>0.27542</v>
      </c>
      <c r="C74" s="337">
        <f t="shared" si="0"/>
        <v>1.0071047715882344</v>
      </c>
      <c r="D74" s="338">
        <f t="shared" si="1"/>
        <v>0.11885251560341228</v>
      </c>
      <c r="E74" s="338">
        <f t="shared" si="2"/>
        <v>1.0000002492533249</v>
      </c>
      <c r="F74" s="339">
        <f t="shared" si="3"/>
        <v>7.0604995996947581E-4</v>
      </c>
      <c r="G74" s="338">
        <f t="shared" si="4"/>
        <v>1</v>
      </c>
      <c r="H74" s="339">
        <f t="shared" si="5"/>
        <v>0</v>
      </c>
      <c r="I74" s="337">
        <f t="shared" si="6"/>
        <v>620.33363510420565</v>
      </c>
      <c r="J74" s="340">
        <f t="shared" si="7"/>
        <v>1.5691842903414124</v>
      </c>
      <c r="K74" s="348">
        <f t="shared" si="8"/>
        <v>1.0067390445756099</v>
      </c>
      <c r="L74" s="349">
        <f t="shared" si="9"/>
        <v>0.11577059507286766</v>
      </c>
      <c r="M74" s="337">
        <f t="shared" si="10"/>
        <v>1.0000034430574443</v>
      </c>
      <c r="N74" s="340">
        <f t="shared" si="11"/>
        <v>2.6241370259004505E-3</v>
      </c>
      <c r="O74" s="341">
        <f t="shared" si="12"/>
        <v>1.0000015242198366</v>
      </c>
      <c r="P74" s="342">
        <f t="shared" si="13"/>
        <v>3.9479927983733336E-3</v>
      </c>
      <c r="Q74" s="343">
        <f t="shared" si="14"/>
        <v>37.983935001589593</v>
      </c>
      <c r="R74" s="344">
        <f t="shared" si="15"/>
        <v>-90.420319875820638</v>
      </c>
      <c r="S74" s="346">
        <f t="shared" si="16"/>
        <v>89.579680124179362</v>
      </c>
      <c r="U74" s="319">
        <f t="shared" si="23"/>
        <v>1000000000</v>
      </c>
      <c r="V74" s="319">
        <f t="shared" si="24"/>
        <v>75856.176400000011</v>
      </c>
      <c r="X74" s="345">
        <f t="shared" si="17"/>
        <v>41.913026146531749</v>
      </c>
      <c r="Y74" s="346">
        <f t="shared" si="18"/>
        <v>-83.424822697175614</v>
      </c>
      <c r="AA74" s="345">
        <f t="shared" si="19"/>
        <v>59.680030144220467</v>
      </c>
      <c r="AB74" s="346">
        <f t="shared" si="20"/>
        <v>-6.9954971786450111</v>
      </c>
      <c r="AD74">
        <f t="shared" si="25"/>
        <v>0</v>
      </c>
      <c r="AE74">
        <f t="shared" si="26"/>
        <v>0</v>
      </c>
    </row>
    <row r="75" spans="1:31" x14ac:dyDescent="0.25">
      <c r="A75" s="347">
        <v>302</v>
      </c>
      <c r="B75" s="364">
        <f t="shared" si="22"/>
        <v>0.30199999999999999</v>
      </c>
      <c r="C75" s="337">
        <f t="shared" si="0"/>
        <v>1.0085361776170279</v>
      </c>
      <c r="D75" s="338">
        <f t="shared" si="1"/>
        <v>0.13019903782774717</v>
      </c>
      <c r="E75" s="338">
        <f t="shared" si="2"/>
        <v>1.0000002996842279</v>
      </c>
      <c r="F75" s="339">
        <f t="shared" si="3"/>
        <v>7.7418880525001866E-4</v>
      </c>
      <c r="G75" s="338">
        <f t="shared" si="4"/>
        <v>1</v>
      </c>
      <c r="H75" s="339">
        <f t="shared" si="5"/>
        <v>0</v>
      </c>
      <c r="I75" s="337">
        <f t="shared" si="6"/>
        <v>680.20011923297886</v>
      </c>
      <c r="J75" s="340">
        <f t="shared" si="7"/>
        <v>1.569326170686494</v>
      </c>
      <c r="K75" s="348">
        <f t="shared" si="8"/>
        <v>1.0080970620423597</v>
      </c>
      <c r="L75" s="349">
        <f t="shared" si="9"/>
        <v>0.12682903104671525</v>
      </c>
      <c r="M75" s="337">
        <f t="shared" si="10"/>
        <v>1.0000041396827082</v>
      </c>
      <c r="N75" s="340">
        <f t="shared" si="11"/>
        <v>2.8773836822947796E-3</v>
      </c>
      <c r="O75" s="341">
        <f t="shared" si="12"/>
        <v>1.0000018326165876</v>
      </c>
      <c r="P75" s="342">
        <f t="shared" si="13"/>
        <v>4.3290032825670953E-3</v>
      </c>
      <c r="Q75" s="343">
        <f t="shared" si="14"/>
        <v>37.183071405727397</v>
      </c>
      <c r="R75" s="344">
        <f t="shared" si="15"/>
        <v>-90.477391336169816</v>
      </c>
      <c r="S75" s="346">
        <f t="shared" si="16"/>
        <v>89.522608663830184</v>
      </c>
      <c r="U75" s="319">
        <f t="shared" si="23"/>
        <v>1000000000</v>
      </c>
      <c r="V75" s="319">
        <f t="shared" si="24"/>
        <v>91204</v>
      </c>
      <c r="X75" s="345">
        <f t="shared" si="17"/>
        <v>41.124501350464058</v>
      </c>
      <c r="Y75" s="346">
        <f t="shared" si="18"/>
        <v>-82.813860096716624</v>
      </c>
      <c r="AA75" s="345">
        <f t="shared" si="19"/>
        <v>59.667691344425961</v>
      </c>
      <c r="AB75" s="346">
        <f t="shared" si="20"/>
        <v>-7.6635312394532003</v>
      </c>
      <c r="AD75">
        <f t="shared" si="25"/>
        <v>0</v>
      </c>
      <c r="AE75">
        <f t="shared" si="26"/>
        <v>0</v>
      </c>
    </row>
    <row r="76" spans="1:31" x14ac:dyDescent="0.25">
      <c r="A76" s="347">
        <v>331.13</v>
      </c>
      <c r="B76" s="364">
        <f t="shared" si="22"/>
        <v>0.33112999999999998</v>
      </c>
      <c r="C76" s="337">
        <f t="shared" si="0"/>
        <v>1.010253577783764</v>
      </c>
      <c r="D76" s="338">
        <f t="shared" si="1"/>
        <v>0.1425954023047277</v>
      </c>
      <c r="E76" s="338">
        <f t="shared" si="2"/>
        <v>1.0000003602857177</v>
      </c>
      <c r="F76" s="339">
        <f t="shared" si="3"/>
        <v>8.488646646535045E-4</v>
      </c>
      <c r="G76" s="338">
        <f t="shared" si="4"/>
        <v>1</v>
      </c>
      <c r="H76" s="339">
        <f t="shared" si="5"/>
        <v>0</v>
      </c>
      <c r="I76" s="337">
        <f t="shared" si="6"/>
        <v>745.81001503211235</v>
      </c>
      <c r="J76" s="340">
        <f t="shared" si="7"/>
        <v>1.5694555023496899</v>
      </c>
      <c r="K76" s="348">
        <f t="shared" si="8"/>
        <v>1.0097265398924535</v>
      </c>
      <c r="L76" s="349">
        <f t="shared" si="9"/>
        <v>0.13891256797684606</v>
      </c>
      <c r="M76" s="337">
        <f t="shared" si="10"/>
        <v>1.0000049767983672</v>
      </c>
      <c r="N76" s="340">
        <f t="shared" si="11"/>
        <v>3.1549255860628934E-3</v>
      </c>
      <c r="O76" s="341">
        <f t="shared" si="12"/>
        <v>1.000002203210874</v>
      </c>
      <c r="P76" s="342">
        <f t="shared" si="13"/>
        <v>4.7465669904227783E-3</v>
      </c>
      <c r="Q76" s="343">
        <f t="shared" si="14"/>
        <v>36.382481435370551</v>
      </c>
      <c r="R76" s="344">
        <f t="shared" si="15"/>
        <v>-90.538273199134409</v>
      </c>
      <c r="S76" s="346">
        <f t="shared" si="16"/>
        <v>89.461726800865591</v>
      </c>
      <c r="U76" s="319">
        <f t="shared" si="23"/>
        <v>1000000000</v>
      </c>
      <c r="V76" s="319">
        <f t="shared" si="24"/>
        <v>109647.0769</v>
      </c>
      <c r="X76" s="345">
        <f t="shared" si="17"/>
        <v>40.33869238414632</v>
      </c>
      <c r="Y76" s="346">
        <f t="shared" si="18"/>
        <v>-82.144836566447637</v>
      </c>
      <c r="AA76" s="345">
        <f t="shared" si="19"/>
        <v>59.65291034038686</v>
      </c>
      <c r="AB76" s="346">
        <f t="shared" si="20"/>
        <v>-8.3934366326867522</v>
      </c>
      <c r="AD76">
        <f t="shared" si="25"/>
        <v>0</v>
      </c>
      <c r="AE76">
        <f t="shared" si="26"/>
        <v>0</v>
      </c>
    </row>
    <row r="77" spans="1:31" x14ac:dyDescent="0.25">
      <c r="A77" s="347">
        <v>363.08</v>
      </c>
      <c r="B77" s="364">
        <f t="shared" si="22"/>
        <v>0.36307999999999996</v>
      </c>
      <c r="C77" s="337">
        <f t="shared" ref="C77:C140" si="27">SQRT(1+(A77/pole1)^2)</f>
        <v>1.0123150983258224</v>
      </c>
      <c r="D77" s="338">
        <f t="shared" ref="D77:D140" si="28">ATAN(A77/pole1)</f>
        <v>0.15614113933885096</v>
      </c>
      <c r="E77" s="338">
        <f t="shared" ref="E77:E140" si="29">SQRT(1+(A77/Zero1)^2)</f>
        <v>1.0000004331662642</v>
      </c>
      <c r="F77" s="339">
        <f t="shared" ref="F77:F140" si="30">ATAN(A77/Zero1)</f>
        <v>9.3076969005404279E-4</v>
      </c>
      <c r="G77" s="338">
        <f t="shared" ref="G77:G140" si="31">IF(VIN_nom&gt;Vout, 1, SQRT(1+(A77/z_RHP)^2))</f>
        <v>1</v>
      </c>
      <c r="H77" s="339">
        <f t="shared" ref="H77:H140" si="32">IF(VIN_nom&gt;Vout, 0, -ATAN(A77/z_RHP))</f>
        <v>0</v>
      </c>
      <c r="I77" s="337">
        <f t="shared" ref="I77:I140" si="33">SQRT(1+(A77/Pole2)^2)</f>
        <v>817.77144717602494</v>
      </c>
      <c r="J77" s="340">
        <f t="shared" ref="J77:J140" si="34">ATAN(A77/Pole2)</f>
        <v>1.5695734909369383</v>
      </c>
      <c r="K77" s="348">
        <f t="shared" ref="K77:K140" si="35">SQRT(1+(A77/Zero2)^2)</f>
        <v>1.0116827061429463</v>
      </c>
      <c r="L77" s="349">
        <f t="shared" ref="L77:L140" si="36">ATAN(A77/Zero2)</f>
        <v>0.15211897049361534</v>
      </c>
      <c r="M77" s="337">
        <f t="shared" ref="M77:M140" si="37">SQRT(1+(A77/pole4)^2)</f>
        <v>1.0000059835293074</v>
      </c>
      <c r="N77" s="340">
        <f t="shared" ref="N77:N140" si="38">ATAN(A77/pole4)</f>
        <v>3.4593350436102344E-3</v>
      </c>
      <c r="O77" s="341">
        <f t="shared" ref="O77:O140" si="39">SQRT((1-(V77/pterm2))^2+(A77/pterm1)^2)</f>
        <v>1.0000026488977962</v>
      </c>
      <c r="P77" s="342">
        <f t="shared" ref="P77:P140" si="40">IF((ATAN((A77/pterm1)/(1-A77^2/pterm2))&gt;0),ATAN((A77/pterm1)/(1-A77^2/pterm2)),PI()+ATAN((A77/pterm1)/(1-A77^2/pterm2)))</f>
        <v>5.2045543558337636E-3</v>
      </c>
      <c r="Q77" s="343">
        <f t="shared" ref="Q77:Q140" si="41">20*LOG10(((E77*K77*G77)/(C77*I77*O77*M77))*Adc)</f>
        <v>35.581499564780835</v>
      </c>
      <c r="R77" s="344">
        <f t="shared" ref="R77:R140" si="42">((F77+L77+H77)-(D77+J77+P77+N77))*radconv</f>
        <v>-90.603465190969757</v>
      </c>
      <c r="S77" s="346">
        <f t="shared" ref="S77:S140" si="43">IF(R77&gt;0,R77,R77+180)</f>
        <v>89.396534809030243</v>
      </c>
      <c r="U77" s="319">
        <f t="shared" si="23"/>
        <v>1000000000</v>
      </c>
      <c r="V77" s="319">
        <f t="shared" si="24"/>
        <v>131827.0864</v>
      </c>
      <c r="X77" s="345">
        <f t="shared" ref="X77:X140" si="44">20*LOG10((K77/(I77*M77))*AEA)</f>
        <v>39.555420093472009</v>
      </c>
      <c r="Y77" s="346">
        <f t="shared" ref="Y77:Y140" si="45">(L77-(J77+N77))*radconv</f>
        <v>-81.412367064090233</v>
      </c>
      <c r="AA77" s="345">
        <f t="shared" ref="AA77:AA140" si="46">20*LOG10((E77*G77/(C77*O77))*Acs*Am)</f>
        <v>59.635200760471456</v>
      </c>
      <c r="AB77" s="346">
        <f t="shared" ref="AB77:AB140" si="47">(F77+H77-(D77+P77))*radconv</f>
        <v>-9.1910981268795364</v>
      </c>
      <c r="AD77">
        <f t="shared" si="25"/>
        <v>0</v>
      </c>
      <c r="AE77">
        <f t="shared" ref="AE77:AE89" si="48">IF(AD77&gt;0,S75,0)</f>
        <v>0</v>
      </c>
    </row>
    <row r="78" spans="1:31" x14ac:dyDescent="0.25">
      <c r="A78" s="347">
        <v>398.11</v>
      </c>
      <c r="B78" s="364">
        <f t="shared" ref="B78:B141" si="49">A78/1000</f>
        <v>0.39811000000000002</v>
      </c>
      <c r="C78" s="337">
        <f t="shared" si="27"/>
        <v>1.0147878847888501</v>
      </c>
      <c r="D78" s="338">
        <f t="shared" si="28"/>
        <v>0.17092642025924085</v>
      </c>
      <c r="E78" s="338">
        <f t="shared" si="29"/>
        <v>1.0000005207821934</v>
      </c>
      <c r="F78" s="339">
        <f t="shared" si="30"/>
        <v>1.0205703967815435E-3</v>
      </c>
      <c r="G78" s="338">
        <f t="shared" si="31"/>
        <v>1</v>
      </c>
      <c r="H78" s="339">
        <f t="shared" si="32"/>
        <v>0</v>
      </c>
      <c r="I78" s="337">
        <f t="shared" si="33"/>
        <v>896.67001730720006</v>
      </c>
      <c r="J78" s="340">
        <f t="shared" si="34"/>
        <v>1.5696810890954187</v>
      </c>
      <c r="K78" s="348">
        <f t="shared" si="35"/>
        <v>1.014029385607301</v>
      </c>
      <c r="L78" s="349">
        <f t="shared" si="36"/>
        <v>0.16653711781143804</v>
      </c>
      <c r="M78" s="337">
        <f t="shared" si="37"/>
        <v>1.0000071938052995</v>
      </c>
      <c r="N78" s="340">
        <f t="shared" si="38"/>
        <v>3.7930890245292657E-3</v>
      </c>
      <c r="O78" s="341">
        <f t="shared" si="39"/>
        <v>1.0000031847003348</v>
      </c>
      <c r="P78" s="342">
        <f t="shared" si="40"/>
        <v>5.7066925098735411E-3</v>
      </c>
      <c r="Q78" s="343">
        <f t="shared" si="41"/>
        <v>34.780404155540147</v>
      </c>
      <c r="R78" s="344">
        <f t="shared" si="42"/>
        <v>-90.673413207327073</v>
      </c>
      <c r="S78" s="346">
        <f t="shared" si="43"/>
        <v>89.326586792672927</v>
      </c>
      <c r="U78" s="319">
        <f t="shared" ref="U78:U141" si="50">IF(Q78&lt;0,A78,1000000000)</f>
        <v>1000000000</v>
      </c>
      <c r="V78" s="319">
        <f t="shared" ref="V78:V141" si="51">A78^2</f>
        <v>158491.57210000002</v>
      </c>
      <c r="X78" s="345">
        <f t="shared" si="44"/>
        <v>38.775519765872126</v>
      </c>
      <c r="Y78" s="346">
        <f t="shared" si="45"/>
        <v>-80.611555688332714</v>
      </c>
      <c r="AA78" s="345">
        <f t="shared" si="46"/>
        <v>59.614005678830644</v>
      </c>
      <c r="AB78" s="346">
        <f t="shared" si="47"/>
        <v>-10.061857518994357</v>
      </c>
      <c r="AD78">
        <f t="shared" ref="AD78:AD141" si="52">SUM((Q79&lt;0)*(Q78&gt;0))*A78</f>
        <v>0</v>
      </c>
      <c r="AE78">
        <f t="shared" si="48"/>
        <v>0</v>
      </c>
    </row>
    <row r="79" spans="1:31" x14ac:dyDescent="0.25">
      <c r="A79" s="347">
        <v>436.52</v>
      </c>
      <c r="B79" s="364">
        <f t="shared" si="49"/>
        <v>0.43651999999999996</v>
      </c>
      <c r="C79" s="337">
        <f t="shared" si="27"/>
        <v>1.017752908994437</v>
      </c>
      <c r="D79" s="338">
        <f t="shared" si="28"/>
        <v>0.18705180593699386</v>
      </c>
      <c r="E79" s="338">
        <f t="shared" si="29"/>
        <v>1.0000006261209324</v>
      </c>
      <c r="F79" s="339">
        <f t="shared" si="30"/>
        <v>1.1190358401384818E-3</v>
      </c>
      <c r="G79" s="338">
        <f t="shared" si="31"/>
        <v>1</v>
      </c>
      <c r="H79" s="339">
        <f t="shared" si="32"/>
        <v>0</v>
      </c>
      <c r="I79" s="337">
        <f t="shared" si="33"/>
        <v>983.18141971635248</v>
      </c>
      <c r="J79" s="340">
        <f t="shared" si="34"/>
        <v>1.5697792203358403</v>
      </c>
      <c r="K79" s="348">
        <f t="shared" si="35"/>
        <v>1.0168435782409635</v>
      </c>
      <c r="L79" s="349">
        <f t="shared" si="36"/>
        <v>0.18226631892443312</v>
      </c>
      <c r="M79" s="337">
        <f t="shared" si="37"/>
        <v>1.000008648892184</v>
      </c>
      <c r="N79" s="340">
        <f t="shared" si="38"/>
        <v>4.1590455271539855E-3</v>
      </c>
      <c r="O79" s="341">
        <f t="shared" si="39"/>
        <v>1.0000038288902644</v>
      </c>
      <c r="P79" s="342">
        <f t="shared" si="40"/>
        <v>6.2572820190049429E-3</v>
      </c>
      <c r="Q79" s="343">
        <f t="shared" si="41"/>
        <v>33.979097165718471</v>
      </c>
      <c r="R79" s="344">
        <f t="shared" si="42"/>
        <v>-90.748607980667344</v>
      </c>
      <c r="S79" s="346">
        <f t="shared" si="43"/>
        <v>89.251392019332656</v>
      </c>
      <c r="U79" s="319">
        <f t="shared" si="50"/>
        <v>1000000000</v>
      </c>
      <c r="V79" s="319">
        <f t="shared" si="51"/>
        <v>190549.71039999998</v>
      </c>
      <c r="X79" s="345">
        <f t="shared" si="44"/>
        <v>37.99955903026158</v>
      </c>
      <c r="Y79" s="346">
        <f t="shared" si="45"/>
        <v>-79.736929117446522</v>
      </c>
      <c r="AA79" s="345">
        <f t="shared" si="46"/>
        <v>59.588659424619522</v>
      </c>
      <c r="AB79" s="346">
        <f t="shared" si="47"/>
        <v>-11.01167886322081</v>
      </c>
      <c r="AD79">
        <f t="shared" si="52"/>
        <v>0</v>
      </c>
      <c r="AE79">
        <f t="shared" si="48"/>
        <v>0</v>
      </c>
    </row>
    <row r="80" spans="1:31" x14ac:dyDescent="0.25">
      <c r="A80" s="347">
        <v>478.63</v>
      </c>
      <c r="B80" s="364">
        <f t="shared" si="49"/>
        <v>0.47863</v>
      </c>
      <c r="C80" s="337">
        <f t="shared" si="27"/>
        <v>1.0213057602002091</v>
      </c>
      <c r="D80" s="338">
        <f t="shared" si="28"/>
        <v>0.20461785334818441</v>
      </c>
      <c r="E80" s="338">
        <f t="shared" si="29"/>
        <v>1.0000007527482166</v>
      </c>
      <c r="F80" s="339">
        <f t="shared" si="30"/>
        <v>1.2269863441555394E-3</v>
      </c>
      <c r="G80" s="338">
        <f t="shared" si="31"/>
        <v>1</v>
      </c>
      <c r="H80" s="339">
        <f t="shared" si="32"/>
        <v>0</v>
      </c>
      <c r="I80" s="337">
        <f t="shared" si="33"/>
        <v>1078.0263950623184</v>
      </c>
      <c r="J80" s="340">
        <f t="shared" si="34"/>
        <v>1.5698687055900784</v>
      </c>
      <c r="K80" s="348">
        <f t="shared" si="35"/>
        <v>1.0202162340818017</v>
      </c>
      <c r="L80" s="349">
        <f t="shared" si="36"/>
        <v>0.1994062577174367</v>
      </c>
      <c r="M80" s="337">
        <f t="shared" si="37"/>
        <v>1.0000103980438089</v>
      </c>
      <c r="N80" s="340">
        <f t="shared" si="38"/>
        <v>4.5602529996041381E-3</v>
      </c>
      <c r="O80" s="341">
        <f t="shared" si="39"/>
        <v>1.0000046032772778</v>
      </c>
      <c r="P80" s="342">
        <f t="shared" si="40"/>
        <v>6.860910212827238E-3</v>
      </c>
      <c r="Q80" s="343">
        <f t="shared" si="41"/>
        <v>33.177654722470336</v>
      </c>
      <c r="R80" s="344">
        <f t="shared" si="42"/>
        <v>-90.829537068097693</v>
      </c>
      <c r="S80" s="346">
        <f t="shared" si="43"/>
        <v>89.170462931902307</v>
      </c>
      <c r="U80" s="319">
        <f t="shared" si="50"/>
        <v>1000000000</v>
      </c>
      <c r="V80" s="319">
        <f t="shared" si="51"/>
        <v>229086.67689999999</v>
      </c>
      <c r="X80" s="345">
        <f t="shared" si="44"/>
        <v>37.228390792842106</v>
      </c>
      <c r="Y80" s="346">
        <f t="shared" si="45"/>
        <v>-78.782997584681837</v>
      </c>
      <c r="AA80" s="345">
        <f t="shared" si="46"/>
        <v>59.55838521879086</v>
      </c>
      <c r="AB80" s="346">
        <f t="shared" si="47"/>
        <v>-12.046539483415868</v>
      </c>
      <c r="AD80">
        <f t="shared" si="52"/>
        <v>0</v>
      </c>
      <c r="AE80">
        <f t="shared" si="48"/>
        <v>0</v>
      </c>
    </row>
    <row r="81" spans="1:31" x14ac:dyDescent="0.25">
      <c r="A81" s="347">
        <v>524.80999999999995</v>
      </c>
      <c r="B81" s="364">
        <f t="shared" si="49"/>
        <v>0.52481</v>
      </c>
      <c r="C81" s="337">
        <f t="shared" si="27"/>
        <v>1.0255615959053022</v>
      </c>
      <c r="D81" s="338">
        <f t="shared" si="28"/>
        <v>0.223735193156819</v>
      </c>
      <c r="E81" s="338">
        <f t="shared" si="29"/>
        <v>1.0000009050114487</v>
      </c>
      <c r="F81" s="339">
        <f t="shared" si="30"/>
        <v>1.3453704070184877E-3</v>
      </c>
      <c r="G81" s="338">
        <f t="shared" si="31"/>
        <v>1</v>
      </c>
      <c r="H81" s="339">
        <f t="shared" si="32"/>
        <v>0</v>
      </c>
      <c r="I81" s="337">
        <f t="shared" si="33"/>
        <v>1182.0382998136988</v>
      </c>
      <c r="J81" s="340">
        <f t="shared" si="34"/>
        <v>1.5699503304177551</v>
      </c>
      <c r="K81" s="348">
        <f t="shared" si="35"/>
        <v>1.0242569860526163</v>
      </c>
      <c r="L81" s="349">
        <f t="shared" si="36"/>
        <v>0.21806692244753975</v>
      </c>
      <c r="M81" s="337">
        <f t="shared" si="37"/>
        <v>1.0000125013109336</v>
      </c>
      <c r="N81" s="340">
        <f t="shared" si="38"/>
        <v>5.0002361343148474E-3</v>
      </c>
      <c r="O81" s="341">
        <f t="shared" si="39"/>
        <v>1.0000055344532641</v>
      </c>
      <c r="P81" s="342">
        <f t="shared" si="40"/>
        <v>7.522881244451796E-3</v>
      </c>
      <c r="Q81" s="343">
        <f t="shared" si="41"/>
        <v>32.375801341838198</v>
      </c>
      <c r="R81" s="344">
        <f t="shared" si="42"/>
        <v>-90.916733796719583</v>
      </c>
      <c r="S81" s="346">
        <f t="shared" si="43"/>
        <v>89.083266203280417</v>
      </c>
      <c r="U81" s="319">
        <f t="shared" si="50"/>
        <v>1000000000</v>
      </c>
      <c r="V81" s="319">
        <f t="shared" si="51"/>
        <v>275425.53609999997</v>
      </c>
      <c r="X81" s="345">
        <f t="shared" si="44"/>
        <v>36.462663540716896</v>
      </c>
      <c r="Y81" s="346">
        <f t="shared" si="45"/>
        <v>-77.743706186355965</v>
      </c>
      <c r="AA81" s="345">
        <f t="shared" si="46"/>
        <v>59.522259090283931</v>
      </c>
      <c r="AB81" s="346">
        <f t="shared" si="47"/>
        <v>-13.17302761036362</v>
      </c>
      <c r="AD81">
        <f t="shared" si="52"/>
        <v>0</v>
      </c>
      <c r="AE81">
        <f t="shared" si="48"/>
        <v>0</v>
      </c>
    </row>
    <row r="82" spans="1:31" x14ac:dyDescent="0.25">
      <c r="A82" s="347">
        <v>575.44000000000005</v>
      </c>
      <c r="B82" s="364">
        <f t="shared" si="49"/>
        <v>0.57544000000000006</v>
      </c>
      <c r="C82" s="337">
        <f t="shared" si="27"/>
        <v>1.0306544329483864</v>
      </c>
      <c r="D82" s="338">
        <f t="shared" si="28"/>
        <v>0.24450483152590771</v>
      </c>
      <c r="E82" s="338">
        <f t="shared" si="29"/>
        <v>1.000001088052684</v>
      </c>
      <c r="F82" s="339">
        <f t="shared" si="30"/>
        <v>1.4751621587689976E-3</v>
      </c>
      <c r="G82" s="338">
        <f t="shared" si="31"/>
        <v>1</v>
      </c>
      <c r="H82" s="339">
        <f t="shared" si="32"/>
        <v>0</v>
      </c>
      <c r="I82" s="337">
        <f t="shared" si="33"/>
        <v>1296.0730136550762</v>
      </c>
      <c r="J82" s="340">
        <f t="shared" si="34"/>
        <v>1.5700247652480686</v>
      </c>
      <c r="K82" s="348">
        <f t="shared" si="35"/>
        <v>1.0290935228493823</v>
      </c>
      <c r="L82" s="349">
        <f t="shared" si="36"/>
        <v>0.23834949630296681</v>
      </c>
      <c r="M82" s="337">
        <f t="shared" si="37"/>
        <v>1.0000150297203245</v>
      </c>
      <c r="N82" s="340">
        <f t="shared" si="38"/>
        <v>5.4826147198563449E-3</v>
      </c>
      <c r="O82" s="341">
        <f t="shared" si="39"/>
        <v>1.0000066538726422</v>
      </c>
      <c r="P82" s="342">
        <f t="shared" si="40"/>
        <v>8.2486427391476411E-3</v>
      </c>
      <c r="Q82" s="343">
        <f t="shared" si="41"/>
        <v>31.573704537103744</v>
      </c>
      <c r="R82" s="344">
        <f t="shared" si="42"/>
        <v>-91.010690147503368</v>
      </c>
      <c r="S82" s="346">
        <f t="shared" si="43"/>
        <v>88.989309852496632</v>
      </c>
      <c r="U82" s="319">
        <f t="shared" si="50"/>
        <v>1000000000</v>
      </c>
      <c r="V82" s="319">
        <f t="shared" si="51"/>
        <v>331131.19360000006</v>
      </c>
      <c r="X82" s="345">
        <f t="shared" si="44"/>
        <v>35.703601390088849</v>
      </c>
      <c r="Y82" s="346">
        <f t="shared" si="45"/>
        <v>-76.613503364190905</v>
      </c>
      <c r="AA82" s="345">
        <f t="shared" si="46"/>
        <v>59.479224436177525</v>
      </c>
      <c r="AB82" s="346">
        <f t="shared" si="47"/>
        <v>-14.397186783312453</v>
      </c>
      <c r="AD82">
        <f t="shared" si="52"/>
        <v>0</v>
      </c>
      <c r="AE82">
        <f t="shared" si="48"/>
        <v>0</v>
      </c>
    </row>
    <row r="83" spans="1:31" x14ac:dyDescent="0.25">
      <c r="A83" s="347">
        <v>630.96</v>
      </c>
      <c r="B83" s="364">
        <f t="shared" si="49"/>
        <v>0.63096000000000008</v>
      </c>
      <c r="C83" s="337">
        <f t="shared" si="27"/>
        <v>1.0367448305334286</v>
      </c>
      <c r="D83" s="338">
        <f t="shared" si="28"/>
        <v>0.26703507339645127</v>
      </c>
      <c r="E83" s="338">
        <f t="shared" si="29"/>
        <v>1.0000013081376271</v>
      </c>
      <c r="F83" s="339">
        <f t="shared" si="30"/>
        <v>1.6174895369310824E-3</v>
      </c>
      <c r="G83" s="338">
        <f t="shared" si="31"/>
        <v>1</v>
      </c>
      <c r="H83" s="339">
        <f t="shared" si="32"/>
        <v>0</v>
      </c>
      <c r="I83" s="337">
        <f t="shared" si="33"/>
        <v>1421.1215552332008</v>
      </c>
      <c r="J83" s="340">
        <f t="shared" si="34"/>
        <v>1.570092657162385</v>
      </c>
      <c r="K83" s="348">
        <f t="shared" si="35"/>
        <v>1.0348789465143751</v>
      </c>
      <c r="L83" s="349">
        <f t="shared" si="36"/>
        <v>0.26036300545452351</v>
      </c>
      <c r="M83" s="337">
        <f t="shared" si="37"/>
        <v>1.000018069818907</v>
      </c>
      <c r="N83" s="340">
        <f t="shared" si="38"/>
        <v>6.0115799607881829E-3</v>
      </c>
      <c r="O83" s="341">
        <f t="shared" si="39"/>
        <v>1.0000079998657043</v>
      </c>
      <c r="P83" s="342">
        <f t="shared" si="40"/>
        <v>9.0445025647003154E-3</v>
      </c>
      <c r="Q83" s="343">
        <f t="shared" si="41"/>
        <v>30.771151257541455</v>
      </c>
      <c r="R83" s="344">
        <f t="shared" si="42"/>
        <v>-91.111938798531568</v>
      </c>
      <c r="S83" s="346">
        <f t="shared" si="43"/>
        <v>88.888061201468432</v>
      </c>
      <c r="U83" s="319">
        <f t="shared" si="50"/>
        <v>1000000000</v>
      </c>
      <c r="V83" s="319">
        <f t="shared" si="51"/>
        <v>398110.52160000004</v>
      </c>
      <c r="X83" s="345">
        <f t="shared" si="44"/>
        <v>34.95223394989118</v>
      </c>
      <c r="Y83" s="346">
        <f t="shared" si="45"/>
        <v>-75.386419592099855</v>
      </c>
      <c r="AA83" s="345">
        <f t="shared" si="46"/>
        <v>59.428038596812904</v>
      </c>
      <c r="AB83" s="346">
        <f t="shared" si="47"/>
        <v>-15.725519206431706</v>
      </c>
      <c r="AD83">
        <f t="shared" si="52"/>
        <v>0</v>
      </c>
      <c r="AE83">
        <f t="shared" si="48"/>
        <v>0</v>
      </c>
    </row>
    <row r="84" spans="1:31" x14ac:dyDescent="0.25">
      <c r="A84" s="347">
        <v>691.83</v>
      </c>
      <c r="B84" s="364">
        <f t="shared" si="49"/>
        <v>0.69183000000000006</v>
      </c>
      <c r="C84" s="337">
        <f t="shared" si="27"/>
        <v>1.0440192873594307</v>
      </c>
      <c r="D84" s="338">
        <f t="shared" si="28"/>
        <v>0.2914205109245267</v>
      </c>
      <c r="E84" s="338">
        <f t="shared" si="29"/>
        <v>1.000001572709484</v>
      </c>
      <c r="F84" s="339">
        <f t="shared" si="30"/>
        <v>1.7735317436283608E-3</v>
      </c>
      <c r="G84" s="338">
        <f t="shared" si="31"/>
        <v>1</v>
      </c>
      <c r="H84" s="339">
        <f t="shared" si="32"/>
        <v>0</v>
      </c>
      <c r="I84" s="337">
        <f t="shared" si="33"/>
        <v>1558.219989553854</v>
      </c>
      <c r="J84" s="340">
        <f t="shared" si="34"/>
        <v>1.5701545688432941</v>
      </c>
      <c r="K84" s="348">
        <f t="shared" si="35"/>
        <v>1.0417912842472252</v>
      </c>
      <c r="L84" s="349">
        <f t="shared" si="36"/>
        <v>0.2842039420844778</v>
      </c>
      <c r="M84" s="337">
        <f t="shared" si="37"/>
        <v>1.0000217244170735</v>
      </c>
      <c r="N84" s="340">
        <f t="shared" si="38"/>
        <v>6.59151329952898E-3</v>
      </c>
      <c r="O84" s="341">
        <f t="shared" si="39"/>
        <v>1.0000096179698934</v>
      </c>
      <c r="P84" s="342">
        <f t="shared" si="40"/>
        <v>9.9170555011234701E-3</v>
      </c>
      <c r="Q84" s="343">
        <f t="shared" si="41"/>
        <v>29.968247357119616</v>
      </c>
      <c r="R84" s="344">
        <f t="shared" si="42"/>
        <v>-91.220964453576116</v>
      </c>
      <c r="S84" s="346">
        <f t="shared" si="43"/>
        <v>88.779035546423884</v>
      </c>
      <c r="U84" s="319">
        <f t="shared" si="50"/>
        <v>1000000000</v>
      </c>
      <c r="V84" s="319">
        <f t="shared" si="51"/>
        <v>478628.74890000006</v>
      </c>
      <c r="X84" s="345">
        <f t="shared" si="44"/>
        <v>34.210074674306064</v>
      </c>
      <c r="Y84" s="346">
        <f t="shared" si="45"/>
        <v>-74.057209552773216</v>
      </c>
      <c r="AA84" s="345">
        <f t="shared" si="46"/>
        <v>59.367293971976181</v>
      </c>
      <c r="AB84" s="346">
        <f t="shared" si="47"/>
        <v>-17.163754900802914</v>
      </c>
      <c r="AD84">
        <f t="shared" si="52"/>
        <v>0</v>
      </c>
      <c r="AE84">
        <f t="shared" si="48"/>
        <v>0</v>
      </c>
    </row>
    <row r="85" spans="1:31" x14ac:dyDescent="0.25">
      <c r="A85" s="347">
        <v>758.58</v>
      </c>
      <c r="B85" s="364">
        <f t="shared" si="49"/>
        <v>0.75858000000000003</v>
      </c>
      <c r="C85" s="337">
        <f t="shared" si="27"/>
        <v>1.0526995143374807</v>
      </c>
      <c r="D85" s="338">
        <f t="shared" si="28"/>
        <v>0.3177567125661846</v>
      </c>
      <c r="E85" s="338">
        <f t="shared" si="29"/>
        <v>1.0000018908297739</v>
      </c>
      <c r="F85" s="339">
        <f t="shared" si="30"/>
        <v>1.944647420257252E-3</v>
      </c>
      <c r="G85" s="338">
        <f t="shared" si="31"/>
        <v>1</v>
      </c>
      <c r="H85" s="339">
        <f t="shared" si="32"/>
        <v>0</v>
      </c>
      <c r="I85" s="337">
        <f t="shared" si="33"/>
        <v>1708.5620437435821</v>
      </c>
      <c r="J85" s="340">
        <f t="shared" si="34"/>
        <v>1.5702110392656814</v>
      </c>
      <c r="K85" s="348">
        <f t="shared" si="35"/>
        <v>1.0500424095651311</v>
      </c>
      <c r="L85" s="349">
        <f t="shared" si="36"/>
        <v>0.3099707671609464</v>
      </c>
      <c r="M85" s="337">
        <f t="shared" si="37"/>
        <v>1.000026118676923</v>
      </c>
      <c r="N85" s="340">
        <f t="shared" si="38"/>
        <v>7.2274626872861902E-3</v>
      </c>
      <c r="O85" s="341">
        <f t="shared" si="39"/>
        <v>1.0000115636285307</v>
      </c>
      <c r="P85" s="342">
        <f t="shared" si="40"/>
        <v>1.0873900045429855E-2</v>
      </c>
      <c r="Q85" s="343">
        <f t="shared" si="41"/>
        <v>29.164759788793386</v>
      </c>
      <c r="R85" s="344">
        <f t="shared" si="42"/>
        <v>-91.338279008581225</v>
      </c>
      <c r="S85" s="346">
        <f t="shared" si="43"/>
        <v>88.661720991418775</v>
      </c>
      <c r="U85" s="319">
        <f t="shared" si="50"/>
        <v>1000000000</v>
      </c>
      <c r="V85" s="319">
        <f t="shared" si="51"/>
        <v>575443.61640000006</v>
      </c>
      <c r="X85" s="345">
        <f t="shared" si="44"/>
        <v>33.478519254738295</v>
      </c>
      <c r="Y85" s="346">
        <f t="shared" si="45"/>
        <v>-72.620551955570619</v>
      </c>
      <c r="AA85" s="345">
        <f t="shared" si="46"/>
        <v>59.295361823217718</v>
      </c>
      <c r="AB85" s="346">
        <f t="shared" si="47"/>
        <v>-18.717727053010609</v>
      </c>
      <c r="AD85">
        <f t="shared" si="52"/>
        <v>0</v>
      </c>
      <c r="AE85">
        <f t="shared" si="48"/>
        <v>0</v>
      </c>
    </row>
    <row r="86" spans="1:31" x14ac:dyDescent="0.25">
      <c r="A86" s="347">
        <v>831.76</v>
      </c>
      <c r="B86" s="364">
        <f t="shared" si="49"/>
        <v>0.83175999999999994</v>
      </c>
      <c r="C86" s="337">
        <f t="shared" si="27"/>
        <v>1.0630402006765003</v>
      </c>
      <c r="D86" s="338">
        <f t="shared" si="28"/>
        <v>0.34611376641845648</v>
      </c>
      <c r="E86" s="338">
        <f t="shared" si="29"/>
        <v>1.0000022732418072</v>
      </c>
      <c r="F86" s="339">
        <f t="shared" si="30"/>
        <v>2.1322464682845925E-3</v>
      </c>
      <c r="G86" s="338">
        <f t="shared" si="31"/>
        <v>1</v>
      </c>
      <c r="H86" s="339">
        <f t="shared" si="32"/>
        <v>0</v>
      </c>
      <c r="I86" s="337">
        <f t="shared" si="33"/>
        <v>1873.3864912824197</v>
      </c>
      <c r="J86" s="340">
        <f t="shared" si="34"/>
        <v>1.570262534087336</v>
      </c>
      <c r="K86" s="348">
        <f t="shared" si="35"/>
        <v>1.0598760651736838</v>
      </c>
      <c r="L86" s="349">
        <f t="shared" si="36"/>
        <v>0.33773818092826602</v>
      </c>
      <c r="M86" s="337">
        <f t="shared" si="37"/>
        <v>1.0000314009879081</v>
      </c>
      <c r="N86" s="340">
        <f t="shared" si="38"/>
        <v>7.9246660806621093E-3</v>
      </c>
      <c r="O86" s="341">
        <f t="shared" si="39"/>
        <v>1.0000139025830745</v>
      </c>
      <c r="P86" s="342">
        <f t="shared" si="40"/>
        <v>1.1922921770377227E-2</v>
      </c>
      <c r="Q86" s="343">
        <f t="shared" si="41"/>
        <v>28.360823891816334</v>
      </c>
      <c r="R86" s="344">
        <f t="shared" si="42"/>
        <v>-91.464316028639331</v>
      </c>
      <c r="S86" s="346">
        <f t="shared" si="43"/>
        <v>88.535683971360669</v>
      </c>
      <c r="U86" s="319">
        <f t="shared" si="50"/>
        <v>1000000000</v>
      </c>
      <c r="V86" s="319">
        <f t="shared" si="51"/>
        <v>691824.69759999996</v>
      </c>
      <c r="X86" s="345">
        <f t="shared" si="44"/>
        <v>32.759505668744843</v>
      </c>
      <c r="Y86" s="346">
        <f t="shared" si="45"/>
        <v>-71.072493584791047</v>
      </c>
      <c r="AA86" s="345">
        <f t="shared" si="46"/>
        <v>59.21043951223411</v>
      </c>
      <c r="AB86" s="346">
        <f t="shared" si="47"/>
        <v>-20.391822443848294</v>
      </c>
      <c r="AD86">
        <f t="shared" si="52"/>
        <v>0</v>
      </c>
      <c r="AE86">
        <f t="shared" si="48"/>
        <v>0</v>
      </c>
    </row>
    <row r="87" spans="1:31" x14ac:dyDescent="0.25">
      <c r="A87" s="347">
        <v>912.01</v>
      </c>
      <c r="B87" s="364">
        <f t="shared" si="49"/>
        <v>0.91200999999999999</v>
      </c>
      <c r="C87" s="337">
        <f t="shared" si="27"/>
        <v>1.0753422672682622</v>
      </c>
      <c r="D87" s="338">
        <f t="shared" si="28"/>
        <v>0.37655626722960017</v>
      </c>
      <c r="E87" s="338">
        <f t="shared" si="29"/>
        <v>1.0000027330568995</v>
      </c>
      <c r="F87" s="339">
        <f t="shared" si="30"/>
        <v>2.3379694929161099E-3</v>
      </c>
      <c r="G87" s="338">
        <f t="shared" si="31"/>
        <v>1</v>
      </c>
      <c r="H87" s="339">
        <f t="shared" si="32"/>
        <v>0</v>
      </c>
      <c r="I87" s="337">
        <f t="shared" si="33"/>
        <v>2054.1348140837222</v>
      </c>
      <c r="J87" s="340">
        <f t="shared" si="34"/>
        <v>1.5703095038110091</v>
      </c>
      <c r="K87" s="348">
        <f t="shared" si="35"/>
        <v>1.0715806498294473</v>
      </c>
      <c r="L87" s="349">
        <f t="shared" si="36"/>
        <v>0.36757679735418175</v>
      </c>
      <c r="M87" s="337">
        <f t="shared" si="37"/>
        <v>1.0000377524439237</v>
      </c>
      <c r="N87" s="340">
        <f t="shared" si="38"/>
        <v>8.6892181761128954E-3</v>
      </c>
      <c r="O87" s="341">
        <f t="shared" si="39"/>
        <v>1.0000167150759653</v>
      </c>
      <c r="P87" s="342">
        <f t="shared" si="40"/>
        <v>1.3073296882675424E-2</v>
      </c>
      <c r="Q87" s="343">
        <f t="shared" si="41"/>
        <v>27.556172110562617</v>
      </c>
      <c r="R87" s="344">
        <f t="shared" si="42"/>
        <v>-91.599537408331372</v>
      </c>
      <c r="S87" s="346">
        <f t="shared" si="43"/>
        <v>88.400462591668628</v>
      </c>
      <c r="U87" s="319">
        <f t="shared" si="50"/>
        <v>1000000000</v>
      </c>
      <c r="V87" s="319">
        <f t="shared" si="51"/>
        <v>831762.24009999994</v>
      </c>
      <c r="X87" s="345">
        <f t="shared" si="44"/>
        <v>32.054814883100185</v>
      </c>
      <c r="Y87" s="346">
        <f t="shared" si="45"/>
        <v>-69.409363570394532</v>
      </c>
      <c r="AA87" s="345">
        <f t="shared" si="46"/>
        <v>59.110478516625058</v>
      </c>
      <c r="AB87" s="346">
        <f t="shared" si="47"/>
        <v>-22.190173837936854</v>
      </c>
      <c r="AD87">
        <f t="shared" si="52"/>
        <v>0</v>
      </c>
      <c r="AE87">
        <f t="shared" si="48"/>
        <v>0</v>
      </c>
    </row>
    <row r="88" spans="1:31" x14ac:dyDescent="0.25">
      <c r="A88" s="347">
        <v>1000</v>
      </c>
      <c r="B88" s="364">
        <f t="shared" si="49"/>
        <v>1</v>
      </c>
      <c r="C88" s="337">
        <f t="shared" si="27"/>
        <v>1.0899484416219505</v>
      </c>
      <c r="D88" s="338">
        <f t="shared" si="28"/>
        <v>0.40911158744961124</v>
      </c>
      <c r="E88" s="338">
        <f t="shared" si="29"/>
        <v>1.0000032858622481</v>
      </c>
      <c r="F88" s="339">
        <f t="shared" si="30"/>
        <v>2.5635339867875829E-3</v>
      </c>
      <c r="G88" s="338">
        <f t="shared" si="31"/>
        <v>1</v>
      </c>
      <c r="H88" s="339">
        <f t="shared" si="32"/>
        <v>0</v>
      </c>
      <c r="I88" s="337">
        <f t="shared" si="33"/>
        <v>2252.316063565881</v>
      </c>
      <c r="J88" s="340">
        <f t="shared" si="34"/>
        <v>1.5703523393594605</v>
      </c>
      <c r="K88" s="348">
        <f t="shared" si="35"/>
        <v>1.0854852449236867</v>
      </c>
      <c r="L88" s="349">
        <f t="shared" si="36"/>
        <v>0.39952213925482821</v>
      </c>
      <c r="M88" s="337">
        <f t="shared" si="37"/>
        <v>1.0000453883309077</v>
      </c>
      <c r="N88" s="340">
        <f t="shared" si="38"/>
        <v>9.5274985409318225E-3</v>
      </c>
      <c r="O88" s="341">
        <f t="shared" si="39"/>
        <v>1.0000200965189063</v>
      </c>
      <c r="P88" s="342">
        <f t="shared" si="40"/>
        <v>1.4334632299132679E-2</v>
      </c>
      <c r="Q88" s="343">
        <f t="shared" si="41"/>
        <v>26.750869867955412</v>
      </c>
      <c r="R88" s="344">
        <f t="shared" si="42"/>
        <v>-91.744316117289614</v>
      </c>
      <c r="S88" s="346">
        <f t="shared" si="43"/>
        <v>88.255683882710386</v>
      </c>
      <c r="U88" s="319">
        <f t="shared" si="50"/>
        <v>1000000000</v>
      </c>
      <c r="V88" s="319">
        <f t="shared" si="51"/>
        <v>1000000</v>
      </c>
      <c r="X88" s="345">
        <f t="shared" si="44"/>
        <v>31.366721975468067</v>
      </c>
      <c r="Y88" s="346">
        <f t="shared" si="45"/>
        <v>-67.629514525443483</v>
      </c>
      <c r="AA88" s="345">
        <f t="shared" si="46"/>
        <v>58.993269181649964</v>
      </c>
      <c r="AB88" s="346">
        <f t="shared" si="47"/>
        <v>-24.114801591846138</v>
      </c>
      <c r="AD88">
        <f t="shared" si="52"/>
        <v>0</v>
      </c>
      <c r="AE88">
        <f t="shared" si="48"/>
        <v>0</v>
      </c>
    </row>
    <row r="89" spans="1:31" x14ac:dyDescent="0.25">
      <c r="A89" s="347">
        <v>1096.5</v>
      </c>
      <c r="B89" s="364">
        <f t="shared" si="49"/>
        <v>1.0965</v>
      </c>
      <c r="C89" s="337">
        <f t="shared" si="27"/>
        <v>1.1072577842641318</v>
      </c>
      <c r="D89" s="338">
        <f t="shared" si="28"/>
        <v>0.44378720947295236</v>
      </c>
      <c r="E89" s="338">
        <f t="shared" si="29"/>
        <v>1.0000039506311196</v>
      </c>
      <c r="F89" s="339">
        <f t="shared" si="30"/>
        <v>2.8109137707769635E-3</v>
      </c>
      <c r="G89" s="338">
        <f t="shared" si="31"/>
        <v>1</v>
      </c>
      <c r="H89" s="339">
        <f t="shared" si="32"/>
        <v>0</v>
      </c>
      <c r="I89" s="337">
        <f t="shared" si="33"/>
        <v>2469.6645227405293</v>
      </c>
      <c r="J89" s="340">
        <f t="shared" si="34"/>
        <v>1.5703914134886083</v>
      </c>
      <c r="K89" s="348">
        <f t="shared" si="35"/>
        <v>1.1019737220748866</v>
      </c>
      <c r="L89" s="349">
        <f t="shared" si="36"/>
        <v>0.43359160403879177</v>
      </c>
      <c r="M89" s="337">
        <f t="shared" si="37"/>
        <v>1.0000545706957191</v>
      </c>
      <c r="N89" s="340">
        <f t="shared" si="38"/>
        <v>1.0446838201160177E-2</v>
      </c>
      <c r="O89" s="341">
        <f t="shared" si="39"/>
        <v>1.0000241630724149</v>
      </c>
      <c r="P89" s="342">
        <f t="shared" si="40"/>
        <v>1.5717969307893525E-2</v>
      </c>
      <c r="Q89" s="343">
        <f t="shared" si="41"/>
        <v>25.944678522738553</v>
      </c>
      <c r="R89" s="344">
        <f t="shared" si="42"/>
        <v>-91.899044988849255</v>
      </c>
      <c r="S89" s="346">
        <f t="shared" si="43"/>
        <v>88.100955011150745</v>
      </c>
      <c r="U89" s="319">
        <f t="shared" si="50"/>
        <v>1000000000</v>
      </c>
      <c r="V89" s="319">
        <f t="shared" si="51"/>
        <v>1202312.25</v>
      </c>
      <c r="X89" s="345">
        <f t="shared" si="44"/>
        <v>30.697415924534702</v>
      </c>
      <c r="Y89" s="346">
        <f t="shared" si="45"/>
        <v>-65.732391046043418</v>
      </c>
      <c r="AA89" s="345">
        <f t="shared" si="46"/>
        <v>58.856383887366476</v>
      </c>
      <c r="AB89" s="346">
        <f t="shared" si="47"/>
        <v>-26.166653942805855</v>
      </c>
      <c r="AD89">
        <f t="shared" si="52"/>
        <v>0</v>
      </c>
      <c r="AE89">
        <f t="shared" si="48"/>
        <v>0</v>
      </c>
    </row>
    <row r="90" spans="1:31" x14ac:dyDescent="0.25">
      <c r="A90" s="347">
        <v>1202.3</v>
      </c>
      <c r="B90" s="364">
        <f t="shared" si="49"/>
        <v>1.2022999999999999</v>
      </c>
      <c r="C90" s="337">
        <f t="shared" si="27"/>
        <v>1.1277148743382517</v>
      </c>
      <c r="D90" s="338">
        <f t="shared" si="28"/>
        <v>0.48053235403157302</v>
      </c>
      <c r="E90" s="338">
        <f t="shared" si="29"/>
        <v>1.0000047497935025</v>
      </c>
      <c r="F90" s="339">
        <f t="shared" si="30"/>
        <v>3.0821339043006703E-3</v>
      </c>
      <c r="G90" s="338">
        <f t="shared" si="31"/>
        <v>1</v>
      </c>
      <c r="H90" s="339">
        <f t="shared" si="32"/>
        <v>0</v>
      </c>
      <c r="I90" s="337">
        <f t="shared" si="33"/>
        <v>2707.9595209630834</v>
      </c>
      <c r="J90" s="340">
        <f t="shared" si="34"/>
        <v>1.5704270450478885</v>
      </c>
      <c r="K90" s="348">
        <f t="shared" si="35"/>
        <v>1.1214747751300729</v>
      </c>
      <c r="L90" s="349">
        <f t="shared" si="36"/>
        <v>0.46974663035976871</v>
      </c>
      <c r="M90" s="337">
        <f t="shared" si="37"/>
        <v>1.0000656093168705</v>
      </c>
      <c r="N90" s="340">
        <f t="shared" si="38"/>
        <v>1.1454757083351174E-2</v>
      </c>
      <c r="O90" s="341">
        <f t="shared" si="39"/>
        <v>1.0000290520955752</v>
      </c>
      <c r="P90" s="342">
        <f t="shared" si="40"/>
        <v>1.7234637049788004E-2</v>
      </c>
      <c r="Q90" s="343">
        <f t="shared" si="41"/>
        <v>25.137817117063072</v>
      </c>
      <c r="R90" s="344">
        <f t="shared" si="42"/>
        <v>-92.064006201038083</v>
      </c>
      <c r="S90" s="346">
        <f t="shared" si="43"/>
        <v>87.935993798961917</v>
      </c>
      <c r="U90" s="319">
        <f t="shared" si="50"/>
        <v>1000000000</v>
      </c>
      <c r="V90" s="319">
        <f t="shared" si="51"/>
        <v>1445525.2899999998</v>
      </c>
      <c r="X90" s="345">
        <f t="shared" si="44"/>
        <v>30.049601373394154</v>
      </c>
      <c r="Y90" s="346">
        <f t="shared" si="45"/>
        <v>-63.720651663373602</v>
      </c>
      <c r="AA90" s="345">
        <f t="shared" si="46"/>
        <v>58.697337032831541</v>
      </c>
      <c r="AB90" s="346">
        <f t="shared" si="47"/>
        <v>-28.343354537664471</v>
      </c>
      <c r="AD90">
        <f t="shared" si="52"/>
        <v>0</v>
      </c>
      <c r="AE90">
        <f t="shared" ref="AE90:AE153" si="53">IF(AD90&gt;0,S90,0)</f>
        <v>0</v>
      </c>
    </row>
    <row r="91" spans="1:31" x14ac:dyDescent="0.25">
      <c r="A91" s="347">
        <v>1318.3</v>
      </c>
      <c r="B91" s="364">
        <f t="shared" si="49"/>
        <v>1.3183</v>
      </c>
      <c r="C91" s="337">
        <f t="shared" si="27"/>
        <v>1.1518274430442621</v>
      </c>
      <c r="D91" s="338">
        <f t="shared" si="28"/>
        <v>0.51926208187681222</v>
      </c>
      <c r="E91" s="338">
        <f t="shared" si="29"/>
        <v>1.0000057105420044</v>
      </c>
      <c r="F91" s="339">
        <f t="shared" si="30"/>
        <v>3.379501391989934E-3</v>
      </c>
      <c r="G91" s="338">
        <f t="shared" si="31"/>
        <v>1</v>
      </c>
      <c r="H91" s="339">
        <f t="shared" si="32"/>
        <v>0</v>
      </c>
      <c r="I91" s="337">
        <f t="shared" si="33"/>
        <v>2969.2281423385143</v>
      </c>
      <c r="J91" s="340">
        <f t="shared" si="34"/>
        <v>1.5704595389258051</v>
      </c>
      <c r="K91" s="348">
        <f t="shared" si="35"/>
        <v>1.1444790814142933</v>
      </c>
      <c r="L91" s="349">
        <f t="shared" si="36"/>
        <v>0.50791602046967921</v>
      </c>
      <c r="M91" s="337">
        <f t="shared" si="37"/>
        <v>1.0000788797352502</v>
      </c>
      <c r="N91" s="340">
        <f t="shared" si="38"/>
        <v>1.2559820905463563E-2</v>
      </c>
      <c r="O91" s="341">
        <f t="shared" si="39"/>
        <v>1.0000349301599283</v>
      </c>
      <c r="P91" s="342">
        <f t="shared" si="40"/>
        <v>1.8897543045789979E-2</v>
      </c>
      <c r="Q91" s="343">
        <f t="shared" si="41"/>
        <v>24.330235881882061</v>
      </c>
      <c r="R91" s="344">
        <f t="shared" si="42"/>
        <v>-92.239528037028066</v>
      </c>
      <c r="S91" s="346">
        <f t="shared" si="43"/>
        <v>87.760471962971934</v>
      </c>
      <c r="U91" s="319">
        <f t="shared" si="50"/>
        <v>1000000000</v>
      </c>
      <c r="V91" s="319">
        <f t="shared" si="51"/>
        <v>1737914.89</v>
      </c>
      <c r="X91" s="345">
        <f t="shared" si="44"/>
        <v>29.425825106639074</v>
      </c>
      <c r="Y91" s="346">
        <f t="shared" si="45"/>
        <v>-61.598883956227127</v>
      </c>
      <c r="AA91" s="345">
        <f t="shared" si="46"/>
        <v>58.513532064405609</v>
      </c>
      <c r="AB91" s="346">
        <f t="shared" si="47"/>
        <v>-30.640644080800925</v>
      </c>
      <c r="AD91">
        <f t="shared" si="52"/>
        <v>0</v>
      </c>
      <c r="AE91">
        <f t="shared" si="53"/>
        <v>0</v>
      </c>
    </row>
    <row r="92" spans="1:31" x14ac:dyDescent="0.25">
      <c r="A92" s="347">
        <v>1445.4</v>
      </c>
      <c r="B92" s="364">
        <f t="shared" si="49"/>
        <v>1.4454</v>
      </c>
      <c r="C92" s="337">
        <f t="shared" si="27"/>
        <v>1.1801441282754013</v>
      </c>
      <c r="D92" s="338">
        <f t="shared" si="28"/>
        <v>0.55981356294797791</v>
      </c>
      <c r="E92" s="338">
        <f t="shared" si="29"/>
        <v>1.0000068647492191</v>
      </c>
      <c r="F92" s="339">
        <f t="shared" si="30"/>
        <v>3.7053231839032186E-3</v>
      </c>
      <c r="G92" s="338">
        <f t="shared" si="31"/>
        <v>1</v>
      </c>
      <c r="H92" s="339">
        <f t="shared" si="32"/>
        <v>0</v>
      </c>
      <c r="I92" s="337">
        <f t="shared" si="33"/>
        <v>3255.4974709947614</v>
      </c>
      <c r="J92" s="340">
        <f t="shared" si="34"/>
        <v>1.5704891540740957</v>
      </c>
      <c r="K92" s="348">
        <f t="shared" si="35"/>
        <v>1.1715184557164011</v>
      </c>
      <c r="L92" s="349">
        <f t="shared" si="36"/>
        <v>0.5479523012047407</v>
      </c>
      <c r="M92" s="337">
        <f t="shared" si="37"/>
        <v>1.0000948221021624</v>
      </c>
      <c r="N92" s="340">
        <f t="shared" si="38"/>
        <v>1.3770592585366063E-2</v>
      </c>
      <c r="O92" s="341">
        <f t="shared" si="39"/>
        <v>1.0000419925798458</v>
      </c>
      <c r="P92" s="342">
        <f t="shared" si="40"/>
        <v>2.0719596785643824E-2</v>
      </c>
      <c r="Q92" s="343">
        <f t="shared" si="41"/>
        <v>23.522443167926887</v>
      </c>
      <c r="R92" s="344">
        <f t="shared" si="42"/>
        <v>-92.425843548112155</v>
      </c>
      <c r="S92" s="346">
        <f t="shared" si="43"/>
        <v>87.574156451887845</v>
      </c>
      <c r="U92" s="319">
        <f t="shared" si="50"/>
        <v>1000000000</v>
      </c>
      <c r="V92" s="319">
        <f t="shared" si="51"/>
        <v>2089181.1600000001</v>
      </c>
      <c r="X92" s="345">
        <f t="shared" si="44"/>
        <v>28.829036273645123</v>
      </c>
      <c r="Y92" s="346">
        <f t="shared" si="45"/>
        <v>-59.376042970386308</v>
      </c>
      <c r="AA92" s="345">
        <f t="shared" si="46"/>
        <v>58.302528183444394</v>
      </c>
      <c r="AB92" s="346">
        <f t="shared" si="47"/>
        <v>-33.049800577725861</v>
      </c>
      <c r="AD92">
        <f t="shared" si="52"/>
        <v>0</v>
      </c>
      <c r="AE92">
        <f t="shared" si="53"/>
        <v>0</v>
      </c>
    </row>
    <row r="93" spans="1:31" x14ac:dyDescent="0.25">
      <c r="A93" s="347">
        <v>1584.9</v>
      </c>
      <c r="B93" s="364">
        <f t="shared" si="49"/>
        <v>1.5849000000000002</v>
      </c>
      <c r="C93" s="337">
        <f t="shared" si="27"/>
        <v>1.2133456110153469</v>
      </c>
      <c r="D93" s="338">
        <f t="shared" si="28"/>
        <v>0.60206567957091983</v>
      </c>
      <c r="E93" s="338">
        <f t="shared" si="29"/>
        <v>1.0000082537631989</v>
      </c>
      <c r="F93" s="339">
        <f t="shared" si="30"/>
        <v>4.0629315595332545E-3</v>
      </c>
      <c r="G93" s="338">
        <f t="shared" si="31"/>
        <v>1</v>
      </c>
      <c r="H93" s="339">
        <f t="shared" si="32"/>
        <v>0</v>
      </c>
      <c r="I93" s="337">
        <f t="shared" si="33"/>
        <v>3569.6955173756878</v>
      </c>
      <c r="J93" s="340">
        <f t="shared" si="34"/>
        <v>1.5705161908538305</v>
      </c>
      <c r="K93" s="348">
        <f t="shared" si="35"/>
        <v>1.2032532905243927</v>
      </c>
      <c r="L93" s="349">
        <f t="shared" si="36"/>
        <v>0.58974915707290887</v>
      </c>
      <c r="M93" s="337">
        <f t="shared" si="37"/>
        <v>1.0001140074005155</v>
      </c>
      <c r="N93" s="340">
        <f t="shared" si="38"/>
        <v>1.5099441722331044E-2</v>
      </c>
      <c r="O93" s="341">
        <f t="shared" si="39"/>
        <v>1.0000504928089475</v>
      </c>
      <c r="P93" s="342">
        <f t="shared" si="40"/>
        <v>2.2719444647865034E-2</v>
      </c>
      <c r="Q93" s="343">
        <f t="shared" si="41"/>
        <v>22.713107542496388</v>
      </c>
      <c r="R93" s="344">
        <f t="shared" si="42"/>
        <v>-92.623708000224255</v>
      </c>
      <c r="S93" s="346">
        <f t="shared" si="43"/>
        <v>87.376291999775745</v>
      </c>
      <c r="U93" s="319">
        <f t="shared" si="50"/>
        <v>1000000000</v>
      </c>
      <c r="V93" s="319">
        <f t="shared" si="51"/>
        <v>2511908.0100000002</v>
      </c>
      <c r="X93" s="345">
        <f t="shared" si="44"/>
        <v>28.260751883975658</v>
      </c>
      <c r="Y93" s="346">
        <f t="shared" si="45"/>
        <v>-57.05894607010412</v>
      </c>
      <c r="AA93" s="345">
        <f t="shared" si="46"/>
        <v>58.06147694768336</v>
      </c>
      <c r="AB93" s="346">
        <f t="shared" si="47"/>
        <v>-35.564761930120149</v>
      </c>
      <c r="AD93">
        <f t="shared" si="52"/>
        <v>0</v>
      </c>
      <c r="AE93">
        <f t="shared" si="53"/>
        <v>0</v>
      </c>
    </row>
    <row r="94" spans="1:31" x14ac:dyDescent="0.25">
      <c r="A94" s="347">
        <v>1737.8</v>
      </c>
      <c r="B94" s="364">
        <f t="shared" si="49"/>
        <v>1.7378</v>
      </c>
      <c r="C94" s="337">
        <f t="shared" si="27"/>
        <v>1.2520834440421076</v>
      </c>
      <c r="D94" s="338">
        <f t="shared" si="28"/>
        <v>0.64571648106832558</v>
      </c>
      <c r="E94" s="338">
        <f t="shared" si="29"/>
        <v>1.0000099231029536</v>
      </c>
      <c r="F94" s="339">
        <f t="shared" si="30"/>
        <v>4.4548896501747041E-3</v>
      </c>
      <c r="G94" s="338">
        <f t="shared" si="31"/>
        <v>1</v>
      </c>
      <c r="H94" s="339">
        <f t="shared" si="32"/>
        <v>0</v>
      </c>
      <c r="I94" s="337">
        <f t="shared" si="33"/>
        <v>3914.0745972282175</v>
      </c>
      <c r="J94" s="340">
        <f t="shared" si="34"/>
        <v>1.5705408385598008</v>
      </c>
      <c r="K94" s="348">
        <f t="shared" si="35"/>
        <v>1.240318948684761</v>
      </c>
      <c r="L94" s="349">
        <f t="shared" si="36"/>
        <v>0.63302063498530048</v>
      </c>
      <c r="M94" s="337">
        <f t="shared" si="37"/>
        <v>1.0001370641546823</v>
      </c>
      <c r="N94" s="340">
        <f t="shared" si="38"/>
        <v>1.6555875152205447E-2</v>
      </c>
      <c r="O94" s="341">
        <f t="shared" si="39"/>
        <v>1.0000607100583332</v>
      </c>
      <c r="P94" s="342">
        <f t="shared" si="40"/>
        <v>2.4911435793673282E-2</v>
      </c>
      <c r="Q94" s="343">
        <f t="shared" si="41"/>
        <v>21.903425986822498</v>
      </c>
      <c r="R94" s="344">
        <f t="shared" si="42"/>
        <v>-92.83343563620042</v>
      </c>
      <c r="S94" s="346">
        <f t="shared" si="43"/>
        <v>87.16656436379958</v>
      </c>
      <c r="U94" s="319">
        <f t="shared" si="50"/>
        <v>1000000000</v>
      </c>
      <c r="V94" s="319">
        <f t="shared" si="51"/>
        <v>3019948.84</v>
      </c>
      <c r="X94" s="345">
        <f t="shared" si="44"/>
        <v>27.724119559856973</v>
      </c>
      <c r="Y94" s="346">
        <f t="shared" si="45"/>
        <v>-54.664532707894836</v>
      </c>
      <c r="AA94" s="345">
        <f t="shared" si="46"/>
        <v>57.788427716128155</v>
      </c>
      <c r="AB94" s="346">
        <f t="shared" si="47"/>
        <v>-38.168902928305592</v>
      </c>
      <c r="AD94">
        <f t="shared" si="52"/>
        <v>0</v>
      </c>
      <c r="AE94">
        <f t="shared" si="53"/>
        <v>0</v>
      </c>
    </row>
    <row r="95" spans="1:31" x14ac:dyDescent="0.25">
      <c r="A95" s="347">
        <v>1905.5</v>
      </c>
      <c r="B95" s="364">
        <f t="shared" si="49"/>
        <v>1.9055</v>
      </c>
      <c r="C95" s="337">
        <f t="shared" si="27"/>
        <v>1.2971391147639362</v>
      </c>
      <c r="D95" s="338">
        <f t="shared" si="28"/>
        <v>0.69050049563864713</v>
      </c>
      <c r="E95" s="338">
        <f t="shared" si="29"/>
        <v>1.0000119306850648</v>
      </c>
      <c r="F95" s="339">
        <f t="shared" si="30"/>
        <v>4.8847858598275165E-3</v>
      </c>
      <c r="G95" s="338">
        <f t="shared" si="31"/>
        <v>1</v>
      </c>
      <c r="H95" s="339">
        <f t="shared" si="32"/>
        <v>0</v>
      </c>
      <c r="I95" s="337">
        <f t="shared" si="33"/>
        <v>4291.7879526173137</v>
      </c>
      <c r="J95" s="340">
        <f t="shared" si="34"/>
        <v>1.5705633236689061</v>
      </c>
      <c r="K95" s="348">
        <f t="shared" si="35"/>
        <v>1.2834779977970239</v>
      </c>
      <c r="L95" s="349">
        <f t="shared" si="36"/>
        <v>0.6775148659025505</v>
      </c>
      <c r="M95" s="337">
        <f t="shared" si="37"/>
        <v>1.0001647920255248</v>
      </c>
      <c r="N95" s="340">
        <f t="shared" si="38"/>
        <v>1.8153203483881733E-2</v>
      </c>
      <c r="O95" s="341">
        <f t="shared" si="39"/>
        <v>1.000072999750343</v>
      </c>
      <c r="P95" s="342">
        <f t="shared" si="40"/>
        <v>2.7315658315768612E-2</v>
      </c>
      <c r="Q95" s="343">
        <f t="shared" si="41"/>
        <v>21.092948063608418</v>
      </c>
      <c r="R95" s="344">
        <f t="shared" si="42"/>
        <v>-93.055968055587542</v>
      </c>
      <c r="S95" s="346">
        <f t="shared" si="43"/>
        <v>86.944031944412458</v>
      </c>
      <c r="U95" s="319">
        <f t="shared" si="50"/>
        <v>1000000000</v>
      </c>
      <c r="V95" s="319">
        <f t="shared" si="51"/>
        <v>3630930.25</v>
      </c>
      <c r="X95" s="345">
        <f t="shared" si="44"/>
        <v>27.22079658891618</v>
      </c>
      <c r="Y95" s="346">
        <f t="shared" si="45"/>
        <v>-52.208009534604273</v>
      </c>
      <c r="AA95" s="345">
        <f t="shared" si="46"/>
        <v>57.481272763854861</v>
      </c>
      <c r="AB95" s="346">
        <f t="shared" si="47"/>
        <v>-40.847958520983255</v>
      </c>
      <c r="AD95">
        <f t="shared" si="52"/>
        <v>0</v>
      </c>
      <c r="AE95">
        <f t="shared" si="53"/>
        <v>0</v>
      </c>
    </row>
    <row r="96" spans="1:31" x14ac:dyDescent="0.25">
      <c r="A96" s="347">
        <v>2089.3000000000002</v>
      </c>
      <c r="B96" s="364">
        <f t="shared" si="49"/>
        <v>2.0893000000000002</v>
      </c>
      <c r="C96" s="337">
        <f t="shared" si="27"/>
        <v>1.3492956308765669</v>
      </c>
      <c r="D96" s="338">
        <f t="shared" si="28"/>
        <v>0.73604821329970327</v>
      </c>
      <c r="E96" s="338">
        <f t="shared" si="29"/>
        <v>1.0000143432827633</v>
      </c>
      <c r="F96" s="339">
        <f t="shared" si="30"/>
        <v>5.355952076695405E-3</v>
      </c>
      <c r="G96" s="338">
        <f t="shared" si="31"/>
        <v>1</v>
      </c>
      <c r="H96" s="339">
        <f t="shared" si="32"/>
        <v>0</v>
      </c>
      <c r="I96" s="337">
        <f t="shared" si="33"/>
        <v>4705.7635940493965</v>
      </c>
      <c r="J96" s="340">
        <f t="shared" si="34"/>
        <v>1.5705838214304557</v>
      </c>
      <c r="K96" s="348">
        <f t="shared" si="35"/>
        <v>1.3334974783402813</v>
      </c>
      <c r="L96" s="349">
        <f t="shared" si="36"/>
        <v>0.72287381179527199</v>
      </c>
      <c r="M96" s="337">
        <f t="shared" si="37"/>
        <v>1.0001981128562194</v>
      </c>
      <c r="N96" s="340">
        <f t="shared" si="38"/>
        <v>1.9903776249480039E-2</v>
      </c>
      <c r="O96" s="341">
        <f t="shared" si="39"/>
        <v>1.0000877720070698</v>
      </c>
      <c r="P96" s="342">
        <f t="shared" si="40"/>
        <v>2.9950772693197729E-2</v>
      </c>
      <c r="Q96" s="343">
        <f t="shared" si="41"/>
        <v>20.282378608877117</v>
      </c>
      <c r="R96" s="344">
        <f t="shared" si="42"/>
        <v>-93.292243844585144</v>
      </c>
      <c r="S96" s="346">
        <f t="shared" si="43"/>
        <v>86.707756155414856</v>
      </c>
      <c r="U96" s="319">
        <f t="shared" si="50"/>
        <v>1000000000</v>
      </c>
      <c r="V96" s="319">
        <f t="shared" si="51"/>
        <v>4365174.4900000012</v>
      </c>
      <c r="X96" s="345">
        <f t="shared" si="44"/>
        <v>26.752745649970564</v>
      </c>
      <c r="Y96" s="346">
        <f t="shared" si="45"/>
        <v>-49.710608235360958</v>
      </c>
      <c r="AA96" s="345">
        <f t="shared" si="46"/>
        <v>57.138754248069176</v>
      </c>
      <c r="AB96" s="346">
        <f t="shared" si="47"/>
        <v>-43.581635609224193</v>
      </c>
      <c r="AD96">
        <f t="shared" si="52"/>
        <v>0</v>
      </c>
      <c r="AE96">
        <f t="shared" si="53"/>
        <v>0</v>
      </c>
    </row>
    <row r="97" spans="1:31" x14ac:dyDescent="0.25">
      <c r="A97" s="347">
        <v>2290.9</v>
      </c>
      <c r="B97" s="364">
        <f t="shared" si="49"/>
        <v>2.2909000000000002</v>
      </c>
      <c r="C97" s="337">
        <f t="shared" si="27"/>
        <v>1.4094682822350746</v>
      </c>
      <c r="D97" s="338">
        <f t="shared" si="28"/>
        <v>0.78202575392618967</v>
      </c>
      <c r="E97" s="338">
        <f t="shared" si="29"/>
        <v>1.0000172448168414</v>
      </c>
      <c r="F97" s="339">
        <f t="shared" si="30"/>
        <v>5.872745358898257E-3</v>
      </c>
      <c r="G97" s="338">
        <f t="shared" si="31"/>
        <v>1</v>
      </c>
      <c r="H97" s="339">
        <f t="shared" si="32"/>
        <v>0</v>
      </c>
      <c r="I97" s="337">
        <f t="shared" si="33"/>
        <v>5159.8304583600702</v>
      </c>
      <c r="J97" s="340">
        <f t="shared" si="34"/>
        <v>1.5706025219762441</v>
      </c>
      <c r="K97" s="348">
        <f t="shared" si="35"/>
        <v>1.3912741659024526</v>
      </c>
      <c r="L97" s="349">
        <f t="shared" si="36"/>
        <v>0.76877112233814637</v>
      </c>
      <c r="M97" s="337">
        <f t="shared" si="37"/>
        <v>1.000238185113437</v>
      </c>
      <c r="N97" s="340">
        <f t="shared" si="38"/>
        <v>2.1823741487376123E-2</v>
      </c>
      <c r="O97" s="341">
        <f t="shared" si="39"/>
        <v>1.0001055426401433</v>
      </c>
      <c r="P97" s="342">
        <f t="shared" si="40"/>
        <v>3.2841182032920122E-2</v>
      </c>
      <c r="Q97" s="343">
        <f t="shared" si="41"/>
        <v>19.471241538801802</v>
      </c>
      <c r="R97" s="344">
        <f t="shared" si="42"/>
        <v>-93.543916239625574</v>
      </c>
      <c r="S97" s="346">
        <f t="shared" si="43"/>
        <v>86.456083760374426</v>
      </c>
      <c r="U97" s="319">
        <f t="shared" si="50"/>
        <v>1000000000</v>
      </c>
      <c r="V97" s="319">
        <f t="shared" si="51"/>
        <v>5248222.8100000005</v>
      </c>
      <c r="X97" s="345">
        <f t="shared" si="44"/>
        <v>26.32070157974006</v>
      </c>
      <c r="Y97" s="346">
        <f t="shared" si="45"/>
        <v>-47.191963414666525</v>
      </c>
      <c r="AA97" s="345">
        <f t="shared" si="46"/>
        <v>56.759661248224369</v>
      </c>
      <c r="AB97" s="346">
        <f t="shared" si="47"/>
        <v>-46.351952824959035</v>
      </c>
      <c r="AD97">
        <f t="shared" si="52"/>
        <v>0</v>
      </c>
      <c r="AE97">
        <f t="shared" si="53"/>
        <v>0</v>
      </c>
    </row>
    <row r="98" spans="1:31" x14ac:dyDescent="0.25">
      <c r="A98" s="347">
        <v>2511.9</v>
      </c>
      <c r="B98" s="364">
        <f t="shared" si="49"/>
        <v>2.5119000000000002</v>
      </c>
      <c r="C98" s="337">
        <f t="shared" si="27"/>
        <v>1.478558222444754</v>
      </c>
      <c r="D98" s="338">
        <f t="shared" si="28"/>
        <v>0.82802135369156338</v>
      </c>
      <c r="E98" s="338">
        <f t="shared" si="29"/>
        <v>1.0000207324323107</v>
      </c>
      <c r="F98" s="339">
        <f t="shared" si="30"/>
        <v>6.4392661262306708E-3</v>
      </c>
      <c r="G98" s="338">
        <f t="shared" si="31"/>
        <v>1</v>
      </c>
      <c r="H98" s="339">
        <f t="shared" si="32"/>
        <v>0</v>
      </c>
      <c r="I98" s="337">
        <f t="shared" si="33"/>
        <v>5657.5922508219273</v>
      </c>
      <c r="J98" s="340">
        <f t="shared" si="34"/>
        <v>1.5706195731582129</v>
      </c>
      <c r="K98" s="348">
        <f t="shared" si="35"/>
        <v>1.4576939513511153</v>
      </c>
      <c r="L98" s="349">
        <f t="shared" si="36"/>
        <v>0.81479844315388827</v>
      </c>
      <c r="M98" s="337">
        <f t="shared" si="37"/>
        <v>1.0002863496025045</v>
      </c>
      <c r="N98" s="340">
        <f t="shared" si="38"/>
        <v>2.3928279884602811E-2</v>
      </c>
      <c r="O98" s="341">
        <f t="shared" si="39"/>
        <v>1.0001269094644036</v>
      </c>
      <c r="P98" s="342">
        <f t="shared" si="40"/>
        <v>3.6009866228570796E-2</v>
      </c>
      <c r="Q98" s="343">
        <f t="shared" si="41"/>
        <v>18.660153918910588</v>
      </c>
      <c r="R98" s="344">
        <f t="shared" si="42"/>
        <v>-93.812749868417697</v>
      </c>
      <c r="S98" s="346">
        <f t="shared" si="43"/>
        <v>86.187250131582303</v>
      </c>
      <c r="U98" s="319">
        <f t="shared" si="50"/>
        <v>1000000000</v>
      </c>
      <c r="V98" s="319">
        <f t="shared" si="51"/>
        <v>6309641.6100000003</v>
      </c>
      <c r="X98" s="345">
        <f t="shared" si="44"/>
        <v>25.925431706637188</v>
      </c>
      <c r="Y98" s="346">
        <f t="shared" si="45"/>
        <v>-44.676350315502205</v>
      </c>
      <c r="AA98" s="345">
        <f t="shared" si="46"/>
        <v>56.343843501436027</v>
      </c>
      <c r="AB98" s="346">
        <f t="shared" si="47"/>
        <v>-49.136399552915499</v>
      </c>
      <c r="AD98">
        <f t="shared" si="52"/>
        <v>0</v>
      </c>
      <c r="AE98">
        <f t="shared" si="53"/>
        <v>0</v>
      </c>
    </row>
    <row r="99" spans="1:31" x14ac:dyDescent="0.25">
      <c r="A99" s="347">
        <v>2754.2</v>
      </c>
      <c r="B99" s="364">
        <f t="shared" si="49"/>
        <v>2.7542</v>
      </c>
      <c r="C99" s="337">
        <f t="shared" si="27"/>
        <v>1.55756287050603</v>
      </c>
      <c r="D99" s="338">
        <f t="shared" si="28"/>
        <v>0.87365495533083415</v>
      </c>
      <c r="E99" s="338">
        <f t="shared" si="29"/>
        <v>1.0000249250249538</v>
      </c>
      <c r="F99" s="339">
        <f t="shared" si="30"/>
        <v>7.060383452871721E-3</v>
      </c>
      <c r="G99" s="338">
        <f t="shared" si="31"/>
        <v>1</v>
      </c>
      <c r="H99" s="339">
        <f t="shared" si="32"/>
        <v>0</v>
      </c>
      <c r="I99" s="337">
        <f t="shared" si="33"/>
        <v>6203.3283714599338</v>
      </c>
      <c r="J99" s="340">
        <f t="shared" si="34"/>
        <v>1.5706351230113065</v>
      </c>
      <c r="K99" s="348">
        <f t="shared" si="35"/>
        <v>1.5337373918964046</v>
      </c>
      <c r="L99" s="349">
        <f t="shared" si="36"/>
        <v>0.86057434200439542</v>
      </c>
      <c r="M99" s="337">
        <f t="shared" si="37"/>
        <v>1.0003442470841239</v>
      </c>
      <c r="N99" s="340">
        <f t="shared" si="38"/>
        <v>2.6235409586265815E-2</v>
      </c>
      <c r="O99" s="341">
        <f t="shared" si="39"/>
        <v>1.0001526049990015</v>
      </c>
      <c r="P99" s="342">
        <f t="shared" si="40"/>
        <v>3.9484120154041812E-2</v>
      </c>
      <c r="Q99" s="343">
        <f t="shared" si="41"/>
        <v>17.849151884280733</v>
      </c>
      <c r="R99" s="344">
        <f t="shared" si="42"/>
        <v>-94.101149260243062</v>
      </c>
      <c r="S99" s="346">
        <f t="shared" si="43"/>
        <v>85.898850739756938</v>
      </c>
      <c r="U99" s="319">
        <f t="shared" si="50"/>
        <v>1000000000</v>
      </c>
      <c r="V99" s="319">
        <f t="shared" si="51"/>
        <v>7585617.6399999987</v>
      </c>
      <c r="X99" s="345">
        <f t="shared" si="44"/>
        <v>25.566759514930059</v>
      </c>
      <c r="Y99" s="346">
        <f t="shared" si="45"/>
        <v>-42.186664240754389</v>
      </c>
      <c r="AA99" s="345">
        <f t="shared" si="46"/>
        <v>55.891513658513297</v>
      </c>
      <c r="AB99" s="346">
        <f t="shared" si="47"/>
        <v>-51.91448501948868</v>
      </c>
      <c r="AD99">
        <f t="shared" si="52"/>
        <v>0</v>
      </c>
      <c r="AE99">
        <f t="shared" si="53"/>
        <v>0</v>
      </c>
    </row>
    <row r="100" spans="1:31" x14ac:dyDescent="0.25">
      <c r="A100" s="347">
        <v>3020</v>
      </c>
      <c r="B100" s="364">
        <f t="shared" si="49"/>
        <v>3.02</v>
      </c>
      <c r="C100" s="337">
        <f t="shared" si="27"/>
        <v>1.6475806979436602</v>
      </c>
      <c r="D100" s="338">
        <f t="shared" si="28"/>
        <v>0.91857843511504289</v>
      </c>
      <c r="E100" s="338">
        <f t="shared" si="29"/>
        <v>1.0000299679782436</v>
      </c>
      <c r="F100" s="339">
        <f t="shared" si="30"/>
        <v>7.7417349299732019E-3</v>
      </c>
      <c r="G100" s="338">
        <f t="shared" si="31"/>
        <v>1</v>
      </c>
      <c r="H100" s="339">
        <f t="shared" si="32"/>
        <v>0</v>
      </c>
      <c r="I100" s="337">
        <f t="shared" si="33"/>
        <v>6801.9939150557811</v>
      </c>
      <c r="J100" s="340">
        <f t="shared" si="34"/>
        <v>1.5706493110791977</v>
      </c>
      <c r="K100" s="348">
        <f t="shared" si="35"/>
        <v>1.6204840788615451</v>
      </c>
      <c r="L100" s="349">
        <f t="shared" si="36"/>
        <v>0.90574496094635404</v>
      </c>
      <c r="M100" s="337">
        <f t="shared" si="37"/>
        <v>1.0004138834779148</v>
      </c>
      <c r="N100" s="340">
        <f t="shared" si="38"/>
        <v>2.8765979166438992E-2</v>
      </c>
      <c r="O100" s="341">
        <f t="shared" si="39"/>
        <v>1.0001835262161349</v>
      </c>
      <c r="P100" s="342">
        <f t="shared" si="40"/>
        <v>4.3295558585903109E-2</v>
      </c>
      <c r="Q100" s="343">
        <f t="shared" si="41"/>
        <v>17.037946232620442</v>
      </c>
      <c r="R100" s="344">
        <f t="shared" si="42"/>
        <v>-94.412133875041349</v>
      </c>
      <c r="S100" s="346">
        <f t="shared" si="43"/>
        <v>85.587866124958651</v>
      </c>
      <c r="U100" s="319">
        <f t="shared" si="50"/>
        <v>1000000000</v>
      </c>
      <c r="V100" s="319">
        <f t="shared" si="51"/>
        <v>9120400</v>
      </c>
      <c r="X100" s="345">
        <f t="shared" si="44"/>
        <v>25.2438007860125</v>
      </c>
      <c r="Y100" s="346">
        <f t="shared" si="45"/>
        <v>-39.744382287713478</v>
      </c>
      <c r="AA100" s="345">
        <f t="shared" si="46"/>
        <v>55.403266735770565</v>
      </c>
      <c r="AB100" s="346">
        <f t="shared" si="47"/>
        <v>-54.667751587327871</v>
      </c>
      <c r="AD100">
        <f t="shared" si="52"/>
        <v>0</v>
      </c>
      <c r="AE100">
        <f t="shared" si="53"/>
        <v>0</v>
      </c>
    </row>
    <row r="101" spans="1:31" x14ac:dyDescent="0.25">
      <c r="A101" s="347">
        <v>3311.3</v>
      </c>
      <c r="B101" s="364">
        <f t="shared" si="49"/>
        <v>3.3113000000000001</v>
      </c>
      <c r="C101" s="337">
        <f t="shared" si="27"/>
        <v>1.7496368601768701</v>
      </c>
      <c r="D101" s="338">
        <f t="shared" si="28"/>
        <v>0.96240622027019529</v>
      </c>
      <c r="E101" s="338">
        <f t="shared" si="29"/>
        <v>1.0000360279292466</v>
      </c>
      <c r="F101" s="339">
        <f t="shared" si="30"/>
        <v>8.4884448049460642E-3</v>
      </c>
      <c r="G101" s="338">
        <f t="shared" si="31"/>
        <v>1</v>
      </c>
      <c r="H101" s="339">
        <f t="shared" si="32"/>
        <v>0</v>
      </c>
      <c r="I101" s="337">
        <f t="shared" si="33"/>
        <v>7458.0935132391551</v>
      </c>
      <c r="J101" s="340">
        <f t="shared" si="34"/>
        <v>1.5706622442708278</v>
      </c>
      <c r="K101" s="348">
        <f t="shared" si="35"/>
        <v>1.7189440177965827</v>
      </c>
      <c r="L101" s="349">
        <f t="shared" si="36"/>
        <v>0.94991465068427883</v>
      </c>
      <c r="M101" s="337">
        <f t="shared" si="37"/>
        <v>1.0004975572935104</v>
      </c>
      <c r="N101" s="340">
        <f t="shared" si="38"/>
        <v>3.1538899104058465E-2</v>
      </c>
      <c r="O101" s="341">
        <f t="shared" si="39"/>
        <v>1.0002207034451642</v>
      </c>
      <c r="P101" s="342">
        <f t="shared" si="40"/>
        <v>4.7472952213089378E-2</v>
      </c>
      <c r="Q101" s="343">
        <f t="shared" si="41"/>
        <v>16.227432662216636</v>
      </c>
      <c r="R101" s="344">
        <f t="shared" si="42"/>
        <v>-94.748725512332172</v>
      </c>
      <c r="S101" s="346">
        <f t="shared" si="43"/>
        <v>85.251274487667828</v>
      </c>
      <c r="U101" s="319">
        <f t="shared" si="50"/>
        <v>1000000000</v>
      </c>
      <c r="V101" s="319">
        <f t="shared" si="51"/>
        <v>10964707.690000001</v>
      </c>
      <c r="X101" s="345">
        <f t="shared" si="44"/>
        <v>24.955581916688544</v>
      </c>
      <c r="Y101" s="346">
        <f t="shared" si="45"/>
        <v>-37.373263107268002</v>
      </c>
      <c r="AA101" s="345">
        <f t="shared" si="46"/>
        <v>54.880972034690714</v>
      </c>
      <c r="AB101" s="346">
        <f t="shared" si="47"/>
        <v>-57.375462405064177</v>
      </c>
      <c r="AD101">
        <f t="shared" si="52"/>
        <v>0</v>
      </c>
      <c r="AE101">
        <f t="shared" si="53"/>
        <v>0</v>
      </c>
    </row>
    <row r="102" spans="1:31" x14ac:dyDescent="0.25">
      <c r="A102" s="347">
        <v>3630.8</v>
      </c>
      <c r="B102" s="364">
        <f t="shared" si="49"/>
        <v>3.6308000000000002</v>
      </c>
      <c r="C102" s="337">
        <f t="shared" si="27"/>
        <v>1.8649894985875808</v>
      </c>
      <c r="D102" s="338">
        <f t="shared" si="28"/>
        <v>1.0048722539469632</v>
      </c>
      <c r="E102" s="338">
        <f t="shared" si="29"/>
        <v>1.0000433156976891</v>
      </c>
      <c r="F102" s="339">
        <f t="shared" si="30"/>
        <v>9.3074308168756264E-3</v>
      </c>
      <c r="G102" s="338">
        <f t="shared" si="31"/>
        <v>1</v>
      </c>
      <c r="H102" s="339">
        <f t="shared" si="32"/>
        <v>0</v>
      </c>
      <c r="I102" s="337">
        <f t="shared" si="33"/>
        <v>8177.7084187220216</v>
      </c>
      <c r="J102" s="340">
        <f t="shared" si="34"/>
        <v>1.5706740431487589</v>
      </c>
      <c r="K102" s="348">
        <f t="shared" si="35"/>
        <v>1.830352367953092</v>
      </c>
      <c r="L102" s="349">
        <f t="shared" si="36"/>
        <v>0.9928047177052709</v>
      </c>
      <c r="M102" s="337">
        <f t="shared" si="37"/>
        <v>1.0005981758137132</v>
      </c>
      <c r="N102" s="340">
        <f t="shared" si="38"/>
        <v>3.4579698878115454E-2</v>
      </c>
      <c r="O102" s="341">
        <f t="shared" si="39"/>
        <v>1.0002654424491806</v>
      </c>
      <c r="P102" s="342">
        <f t="shared" si="40"/>
        <v>5.2055141165369086E-2</v>
      </c>
      <c r="Q102" s="343">
        <f t="shared" si="41"/>
        <v>15.417048061129226</v>
      </c>
      <c r="R102" s="344">
        <f t="shared" si="42"/>
        <v>-95.114946856993313</v>
      </c>
      <c r="S102" s="346">
        <f t="shared" si="43"/>
        <v>84.885053143006687</v>
      </c>
      <c r="U102" s="319">
        <f t="shared" si="50"/>
        <v>1000000000</v>
      </c>
      <c r="V102" s="319">
        <f t="shared" si="51"/>
        <v>13182708.640000001</v>
      </c>
      <c r="X102" s="345">
        <f t="shared" si="44"/>
        <v>24.700091944342148</v>
      </c>
      <c r="Y102" s="346">
        <f t="shared" si="45"/>
        <v>-35.090744300630007</v>
      </c>
      <c r="AA102" s="345">
        <f t="shared" si="46"/>
        <v>54.326077405949711</v>
      </c>
      <c r="AB102" s="346">
        <f t="shared" si="47"/>
        <v>-60.024202556363306</v>
      </c>
      <c r="AD102">
        <f t="shared" si="52"/>
        <v>0</v>
      </c>
      <c r="AE102">
        <f t="shared" si="53"/>
        <v>0</v>
      </c>
    </row>
    <row r="103" spans="1:31" x14ac:dyDescent="0.25">
      <c r="A103" s="347">
        <v>3981.1</v>
      </c>
      <c r="B103" s="364">
        <f t="shared" si="49"/>
        <v>3.9811000000000001</v>
      </c>
      <c r="C103" s="337">
        <f t="shared" si="27"/>
        <v>1.9948546592227785</v>
      </c>
      <c r="D103" s="338">
        <f t="shared" si="28"/>
        <v>1.0457077468591232</v>
      </c>
      <c r="E103" s="338">
        <f t="shared" si="29"/>
        <v>1.0000520768769006</v>
      </c>
      <c r="F103" s="339">
        <f t="shared" si="30"/>
        <v>1.0205353203114668E-2</v>
      </c>
      <c r="G103" s="338">
        <f t="shared" si="31"/>
        <v>1</v>
      </c>
      <c r="H103" s="339">
        <f t="shared" si="32"/>
        <v>0</v>
      </c>
      <c r="I103" s="337">
        <f t="shared" si="33"/>
        <v>8966.6946526448319</v>
      </c>
      <c r="J103" s="340">
        <f t="shared" si="34"/>
        <v>1.5706848029791751</v>
      </c>
      <c r="K103" s="348">
        <f t="shared" si="35"/>
        <v>1.955903752108489</v>
      </c>
      <c r="L103" s="349">
        <f t="shared" si="36"/>
        <v>1.0341314171415448</v>
      </c>
      <c r="M103" s="337">
        <f t="shared" si="37"/>
        <v>1.0007191245474276</v>
      </c>
      <c r="N103" s="340">
        <f t="shared" si="38"/>
        <v>3.7912896529292854E-2</v>
      </c>
      <c r="O103" s="341">
        <f t="shared" si="39"/>
        <v>1.0003192688462876</v>
      </c>
      <c r="P103" s="342">
        <f t="shared" si="40"/>
        <v>5.7079573158807309E-2</v>
      </c>
      <c r="Q103" s="343">
        <f t="shared" si="41"/>
        <v>14.607149834367355</v>
      </c>
      <c r="R103" s="344">
        <f t="shared" si="42"/>
        <v>-95.514829031928443</v>
      </c>
      <c r="S103" s="346">
        <f t="shared" si="43"/>
        <v>84.485170968071557</v>
      </c>
      <c r="U103" s="319">
        <f t="shared" si="50"/>
        <v>1000000000</v>
      </c>
      <c r="V103" s="319">
        <f t="shared" si="51"/>
        <v>15849157.209999999</v>
      </c>
      <c r="X103" s="345">
        <f t="shared" si="44"/>
        <v>24.475282390143324</v>
      </c>
      <c r="Y103" s="346">
        <f t="shared" si="45"/>
        <v>-32.914493489805608</v>
      </c>
      <c r="AA103" s="345">
        <f t="shared" si="46"/>
        <v>53.740988733386658</v>
      </c>
      <c r="AB103" s="346">
        <f t="shared" si="47"/>
        <v>-62.600335542122821</v>
      </c>
      <c r="AD103">
        <f t="shared" si="52"/>
        <v>0</v>
      </c>
      <c r="AE103">
        <f t="shared" si="53"/>
        <v>0</v>
      </c>
    </row>
    <row r="104" spans="1:31" x14ac:dyDescent="0.25">
      <c r="A104" s="347">
        <v>4365.2</v>
      </c>
      <c r="B104" s="364">
        <f t="shared" si="49"/>
        <v>4.3651999999999997</v>
      </c>
      <c r="C104" s="337">
        <f t="shared" si="27"/>
        <v>2.1405836532740028</v>
      </c>
      <c r="D104" s="338">
        <f t="shared" si="28"/>
        <v>1.0847177159860018</v>
      </c>
      <c r="E104" s="338">
        <f t="shared" si="29"/>
        <v>1.0000626101528303</v>
      </c>
      <c r="F104" s="339">
        <f t="shared" si="30"/>
        <v>1.1189896005971811E-2</v>
      </c>
      <c r="G104" s="338">
        <f t="shared" si="31"/>
        <v>1</v>
      </c>
      <c r="H104" s="339">
        <f t="shared" si="32"/>
        <v>0</v>
      </c>
      <c r="I104" s="337">
        <f t="shared" si="33"/>
        <v>9831.8091624861318</v>
      </c>
      <c r="J104" s="340">
        <f t="shared" si="34"/>
        <v>1.5706946161142683</v>
      </c>
      <c r="K104" s="348">
        <f t="shared" si="35"/>
        <v>2.0969230460340254</v>
      </c>
      <c r="L104" s="349">
        <f t="shared" si="36"/>
        <v>1.0736841702049982</v>
      </c>
      <c r="M104" s="337">
        <f t="shared" si="37"/>
        <v>1.000864519261802</v>
      </c>
      <c r="N104" s="340">
        <f t="shared" si="38"/>
        <v>4.1566738937988582E-2</v>
      </c>
      <c r="O104" s="341">
        <f t="shared" si="39"/>
        <v>1.0003840435982201</v>
      </c>
      <c r="P104" s="342">
        <f t="shared" si="40"/>
        <v>6.2589487178414366E-2</v>
      </c>
      <c r="Q104" s="343">
        <f t="shared" si="41"/>
        <v>13.797677175524214</v>
      </c>
      <c r="R104" s="344">
        <f t="shared" si="42"/>
        <v>-95.952926475374369</v>
      </c>
      <c r="S104" s="346">
        <f t="shared" si="43"/>
        <v>84.047073524625631</v>
      </c>
      <c r="U104" s="319">
        <f t="shared" si="50"/>
        <v>1000000000</v>
      </c>
      <c r="V104" s="319">
        <f t="shared" si="51"/>
        <v>19054971.039999999</v>
      </c>
      <c r="X104" s="345">
        <f t="shared" si="44"/>
        <v>24.278699577406382</v>
      </c>
      <c r="Y104" s="346">
        <f t="shared" si="45"/>
        <v>-30.858199669045746</v>
      </c>
      <c r="AA104" s="345">
        <f t="shared" si="46"/>
        <v>53.128098887280466</v>
      </c>
      <c r="AB104" s="346">
        <f t="shared" si="47"/>
        <v>-65.094726806328609</v>
      </c>
      <c r="AD104">
        <f t="shared" si="52"/>
        <v>0</v>
      </c>
      <c r="AE104">
        <f t="shared" si="53"/>
        <v>0</v>
      </c>
    </row>
    <row r="105" spans="1:31" x14ac:dyDescent="0.25">
      <c r="A105" s="347">
        <v>4786.3</v>
      </c>
      <c r="B105" s="364">
        <f t="shared" si="49"/>
        <v>4.7862999999999998</v>
      </c>
      <c r="C105" s="337">
        <f t="shared" si="27"/>
        <v>2.3035940575137608</v>
      </c>
      <c r="D105" s="338">
        <f t="shared" si="28"/>
        <v>1.1217525990922834</v>
      </c>
      <c r="E105" s="338">
        <f t="shared" si="29"/>
        <v>1.0000752720170496</v>
      </c>
      <c r="F105" s="339">
        <f t="shared" si="30"/>
        <v>1.2269253912852026E-2</v>
      </c>
      <c r="G105" s="338">
        <f t="shared" si="31"/>
        <v>1</v>
      </c>
      <c r="H105" s="339">
        <f t="shared" si="32"/>
        <v>0</v>
      </c>
      <c r="I105" s="337">
        <f t="shared" si="33"/>
        <v>10780.259358897902</v>
      </c>
      <c r="J105" s="340">
        <f t="shared" si="34"/>
        <v>1.5707035646480743</v>
      </c>
      <c r="K105" s="348">
        <f t="shared" si="35"/>
        <v>2.2547985338839882</v>
      </c>
      <c r="L105" s="349">
        <f t="shared" si="36"/>
        <v>1.1112979135448486</v>
      </c>
      <c r="M105" s="337">
        <f t="shared" si="37"/>
        <v>1.0010392697460462</v>
      </c>
      <c r="N105" s="340">
        <f t="shared" si="38"/>
        <v>4.5571273309836277E-2</v>
      </c>
      <c r="O105" s="341">
        <f t="shared" si="39"/>
        <v>1.0004619963958394</v>
      </c>
      <c r="P105" s="342">
        <f t="shared" si="40"/>
        <v>6.8631062517999442E-2</v>
      </c>
      <c r="Q105" s="343">
        <f t="shared" si="41"/>
        <v>12.988708658445578</v>
      </c>
      <c r="R105" s="344">
        <f t="shared" si="42"/>
        <v>-96.434029975174752</v>
      </c>
      <c r="S105" s="346">
        <f t="shared" si="43"/>
        <v>83.565970024825248</v>
      </c>
      <c r="U105" s="319">
        <f t="shared" si="50"/>
        <v>1000000000</v>
      </c>
      <c r="V105" s="319">
        <f t="shared" si="51"/>
        <v>22908667.690000001</v>
      </c>
      <c r="X105" s="345">
        <f t="shared" si="44"/>
        <v>24.107772790383287</v>
      </c>
      <c r="Y105" s="346">
        <f t="shared" si="45"/>
        <v>-28.93304655342606</v>
      </c>
      <c r="AA105" s="345">
        <f t="shared" si="46"/>
        <v>52.490057157224911</v>
      </c>
      <c r="AB105" s="346">
        <f t="shared" si="47"/>
        <v>-67.500983421748685</v>
      </c>
      <c r="AD105">
        <f t="shared" si="52"/>
        <v>0</v>
      </c>
      <c r="AE105">
        <f t="shared" si="53"/>
        <v>0</v>
      </c>
    </row>
    <row r="106" spans="1:31" x14ac:dyDescent="0.25">
      <c r="A106" s="347">
        <v>5248.1</v>
      </c>
      <c r="B106" s="364">
        <f t="shared" si="49"/>
        <v>5.2481</v>
      </c>
      <c r="C106" s="337">
        <f t="shared" si="27"/>
        <v>2.4854896297476348</v>
      </c>
      <c r="D106" s="338">
        <f t="shared" si="28"/>
        <v>1.1567301332821767</v>
      </c>
      <c r="E106" s="338">
        <f t="shared" si="29"/>
        <v>1.0000904970909483</v>
      </c>
      <c r="F106" s="339">
        <f t="shared" si="30"/>
        <v>1.3452900557560101E-2</v>
      </c>
      <c r="G106" s="338">
        <f t="shared" si="31"/>
        <v>1</v>
      </c>
      <c r="H106" s="339">
        <f t="shared" si="32"/>
        <v>0</v>
      </c>
      <c r="I106" s="337">
        <f t="shared" si="33"/>
        <v>11820.378810454682</v>
      </c>
      <c r="J106" s="340">
        <f t="shared" si="34"/>
        <v>1.5707117271372013</v>
      </c>
      <c r="K106" s="348">
        <f t="shared" si="35"/>
        <v>2.431097971649633</v>
      </c>
      <c r="L106" s="349">
        <f t="shared" si="36"/>
        <v>1.1468761560594269</v>
      </c>
      <c r="M106" s="337">
        <f t="shared" si="37"/>
        <v>1.0012493584592299</v>
      </c>
      <c r="N106" s="340">
        <f t="shared" si="38"/>
        <v>4.9961166866715118E-2</v>
      </c>
      <c r="O106" s="341">
        <f t="shared" si="39"/>
        <v>1.0005558571065258</v>
      </c>
      <c r="P106" s="342">
        <f t="shared" si="40"/>
        <v>7.5257745926587696E-2</v>
      </c>
      <c r="Q106" s="343">
        <f t="shared" si="41"/>
        <v>12.179933842241866</v>
      </c>
      <c r="R106" s="344">
        <f t="shared" si="42"/>
        <v>-96.963465007859924</v>
      </c>
      <c r="S106" s="346">
        <f t="shared" si="43"/>
        <v>83.036534992140076</v>
      </c>
      <c r="U106" s="319">
        <f t="shared" si="50"/>
        <v>1000000000</v>
      </c>
      <c r="V106" s="319">
        <f t="shared" si="51"/>
        <v>27542553.610000003</v>
      </c>
      <c r="X106" s="345">
        <f t="shared" si="44"/>
        <v>23.959800709633075</v>
      </c>
      <c r="Y106" s="346">
        <f t="shared" si="45"/>
        <v>-27.146553462304567</v>
      </c>
      <c r="AA106" s="345">
        <f t="shared" si="46"/>
        <v>51.829254421771424</v>
      </c>
      <c r="AB106" s="346">
        <f t="shared" si="47"/>
        <v>-69.816911545555328</v>
      </c>
      <c r="AD106">
        <f t="shared" si="52"/>
        <v>0</v>
      </c>
      <c r="AE106">
        <f t="shared" si="53"/>
        <v>0</v>
      </c>
    </row>
    <row r="107" spans="1:31" x14ac:dyDescent="0.25">
      <c r="A107" s="347">
        <v>5370.3</v>
      </c>
      <c r="B107" s="364">
        <f t="shared" si="49"/>
        <v>5.3703000000000003</v>
      </c>
      <c r="C107" s="337">
        <f t="shared" si="27"/>
        <v>2.5340847442366878</v>
      </c>
      <c r="D107" s="338">
        <f t="shared" si="28"/>
        <v>1.1651422995135181</v>
      </c>
      <c r="E107" s="338">
        <f t="shared" si="29"/>
        <v>1.0000947603343371</v>
      </c>
      <c r="F107" s="339">
        <f t="shared" si="30"/>
        <v>1.3766107075576144E-2</v>
      </c>
      <c r="G107" s="338">
        <f t="shared" si="31"/>
        <v>1</v>
      </c>
      <c r="H107" s="339">
        <f t="shared" si="32"/>
        <v>0</v>
      </c>
      <c r="I107" s="337">
        <f t="shared" si="33"/>
        <v>12095.611805332275</v>
      </c>
      <c r="J107" s="340">
        <f t="shared" si="34"/>
        <v>1.5707136521838696</v>
      </c>
      <c r="K107" s="348">
        <f t="shared" si="35"/>
        <v>2.4782182193543885</v>
      </c>
      <c r="L107" s="349">
        <f t="shared" si="36"/>
        <v>1.1554402939102619</v>
      </c>
      <c r="M107" s="337">
        <f t="shared" si="37"/>
        <v>1.0013081790454088</v>
      </c>
      <c r="N107" s="340">
        <f t="shared" si="38"/>
        <v>5.11224906521087E-2</v>
      </c>
      <c r="O107" s="341">
        <f t="shared" si="39"/>
        <v>1.0005821644252391</v>
      </c>
      <c r="P107" s="342">
        <f t="shared" si="40"/>
        <v>7.7011497794123029E-2</v>
      </c>
      <c r="Q107" s="343">
        <f t="shared" si="41"/>
        <v>11.977861442306725</v>
      </c>
      <c r="R107" s="344">
        <f t="shared" si="42"/>
        <v>-97.103944092942967</v>
      </c>
      <c r="S107" s="346">
        <f t="shared" si="43"/>
        <v>82.896055907057033</v>
      </c>
      <c r="U107" s="319">
        <f t="shared" si="50"/>
        <v>1000000000</v>
      </c>
      <c r="V107" s="319">
        <f t="shared" si="51"/>
        <v>28840122.090000004</v>
      </c>
      <c r="X107" s="345">
        <f t="shared" si="44"/>
        <v>23.926103233485154</v>
      </c>
      <c r="Y107" s="346">
        <f t="shared" si="45"/>
        <v>-26.722513756399614</v>
      </c>
      <c r="AA107" s="345">
        <f t="shared" si="46"/>
        <v>51.660879497984197</v>
      </c>
      <c r="AB107" s="346">
        <f t="shared" si="47"/>
        <v>-70.38143033654336</v>
      </c>
      <c r="AD107">
        <f t="shared" si="52"/>
        <v>0</v>
      </c>
      <c r="AE107">
        <f t="shared" si="53"/>
        <v>0</v>
      </c>
    </row>
    <row r="108" spans="1:31" x14ac:dyDescent="0.25">
      <c r="A108" s="347">
        <v>5432.85</v>
      </c>
      <c r="B108" s="364">
        <f t="shared" si="49"/>
        <v>5.4328500000000002</v>
      </c>
      <c r="C108" s="337">
        <f t="shared" si="27"/>
        <v>2.5590263143603904</v>
      </c>
      <c r="D108" s="338">
        <f t="shared" si="28"/>
        <v>1.1693244273299384</v>
      </c>
      <c r="E108" s="338">
        <f t="shared" si="29"/>
        <v>1.0000969805039412</v>
      </c>
      <c r="F108" s="339">
        <f t="shared" si="30"/>
        <v>1.3926425737285248E-2</v>
      </c>
      <c r="G108" s="338">
        <f t="shared" si="31"/>
        <v>1</v>
      </c>
      <c r="H108" s="339">
        <f t="shared" si="32"/>
        <v>0</v>
      </c>
      <c r="I108" s="337">
        <f t="shared" si="33"/>
        <v>12236.494160746686</v>
      </c>
      <c r="J108" s="340">
        <f t="shared" si="34"/>
        <v>1.570714604040979</v>
      </c>
      <c r="K108" s="348">
        <f t="shared" si="35"/>
        <v>2.5024057896390861</v>
      </c>
      <c r="L108" s="349">
        <f t="shared" si="36"/>
        <v>1.1596990276270207</v>
      </c>
      <c r="M108" s="337">
        <f t="shared" si="37"/>
        <v>1.0013388097778864</v>
      </c>
      <c r="N108" s="340">
        <f t="shared" si="38"/>
        <v>5.1716879372229414E-2</v>
      </c>
      <c r="O108" s="341">
        <f t="shared" si="39"/>
        <v>1.0005958688113092</v>
      </c>
      <c r="P108" s="342">
        <f t="shared" si="40"/>
        <v>7.7909220583232477E-2</v>
      </c>
      <c r="Q108" s="343">
        <f t="shared" si="41"/>
        <v>11.876204180511882</v>
      </c>
      <c r="R108" s="344">
        <f t="shared" si="42"/>
        <v>-97.175915544993771</v>
      </c>
      <c r="S108" s="346">
        <f t="shared" si="43"/>
        <v>82.824084455006229</v>
      </c>
      <c r="U108" s="319">
        <f t="shared" si="50"/>
        <v>1000000000</v>
      </c>
      <c r="V108" s="319">
        <f t="shared" si="51"/>
        <v>29515859.122500002</v>
      </c>
      <c r="X108" s="345">
        <f t="shared" si="44"/>
        <v>23.909618001762368</v>
      </c>
      <c r="Y108" s="346">
        <f t="shared" si="45"/>
        <v>-26.512616790567598</v>
      </c>
      <c r="AA108" s="345">
        <f t="shared" si="46"/>
        <v>51.575707467912146</v>
      </c>
      <c r="AB108" s="346">
        <f t="shared" si="47"/>
        <v>-70.663298754426165</v>
      </c>
      <c r="AD108">
        <f t="shared" si="52"/>
        <v>0</v>
      </c>
      <c r="AE108">
        <f t="shared" si="53"/>
        <v>0</v>
      </c>
    </row>
    <row r="109" spans="1:31" x14ac:dyDescent="0.25">
      <c r="A109" s="347">
        <v>5495.4</v>
      </c>
      <c r="B109" s="364">
        <f t="shared" si="49"/>
        <v>5.4954000000000001</v>
      </c>
      <c r="C109" s="337">
        <f t="shared" si="27"/>
        <v>2.5840117778672895</v>
      </c>
      <c r="D109" s="338">
        <f t="shared" si="28"/>
        <v>1.1734257496251896</v>
      </c>
      <c r="E109" s="338">
        <f t="shared" si="29"/>
        <v>1.0000992263779969</v>
      </c>
      <c r="F109" s="339">
        <f t="shared" si="30"/>
        <v>1.4086743683075239E-2</v>
      </c>
      <c r="G109" s="338">
        <f t="shared" si="31"/>
        <v>1</v>
      </c>
      <c r="H109" s="339">
        <f t="shared" si="32"/>
        <v>0</v>
      </c>
      <c r="I109" s="337">
        <f t="shared" si="33"/>
        <v>12377.376516171928</v>
      </c>
      <c r="J109" s="340">
        <f t="shared" si="34"/>
        <v>1.5707155342295431</v>
      </c>
      <c r="K109" s="348">
        <f t="shared" si="35"/>
        <v>2.5266378761582358</v>
      </c>
      <c r="L109" s="349">
        <f t="shared" si="36"/>
        <v>1.163876147892966</v>
      </c>
      <c r="M109" s="337">
        <f t="shared" si="37"/>
        <v>1.0013697942595976</v>
      </c>
      <c r="N109" s="340">
        <f t="shared" si="38"/>
        <v>5.2311231519055389E-2</v>
      </c>
      <c r="O109" s="341">
        <f t="shared" si="39"/>
        <v>1.0006097348738243</v>
      </c>
      <c r="P109" s="342">
        <f t="shared" si="40"/>
        <v>7.880696893866676E-2</v>
      </c>
      <c r="Q109" s="343">
        <f t="shared" si="41"/>
        <v>11.775713236027379</v>
      </c>
      <c r="R109" s="344">
        <f t="shared" si="42"/>
        <v>-97.247931456853394</v>
      </c>
      <c r="S109" s="346">
        <f t="shared" si="43"/>
        <v>82.752068543146606</v>
      </c>
      <c r="U109" s="319">
        <f t="shared" si="50"/>
        <v>1000000000</v>
      </c>
      <c r="V109" s="319">
        <f t="shared" si="51"/>
        <v>30199421.159999996</v>
      </c>
      <c r="X109" s="345">
        <f t="shared" si="44"/>
        <v>23.893622660106409</v>
      </c>
      <c r="Y109" s="346">
        <f t="shared" si="45"/>
        <v>-26.307392594012423</v>
      </c>
      <c r="AA109" s="345">
        <f t="shared" si="46"/>
        <v>51.491211865083599</v>
      </c>
      <c r="AB109" s="346">
        <f t="shared" si="47"/>
        <v>-70.940538862840981</v>
      </c>
      <c r="AD109">
        <f t="shared" si="52"/>
        <v>0</v>
      </c>
      <c r="AE109">
        <f t="shared" si="53"/>
        <v>0</v>
      </c>
    </row>
    <row r="110" spans="1:31" x14ac:dyDescent="0.25">
      <c r="A110" s="347">
        <v>5559.4</v>
      </c>
      <c r="B110" s="364">
        <f t="shared" si="49"/>
        <v>5.5593999999999992</v>
      </c>
      <c r="C110" s="337">
        <f t="shared" si="27"/>
        <v>2.6096205571852722</v>
      </c>
      <c r="D110" s="338">
        <f t="shared" si="28"/>
        <v>1.177540788609504</v>
      </c>
      <c r="E110" s="338">
        <f t="shared" si="29"/>
        <v>1.0001015509196574</v>
      </c>
      <c r="F110" s="339">
        <f t="shared" si="30"/>
        <v>1.4250777282488893E-2</v>
      </c>
      <c r="G110" s="338">
        <f t="shared" si="31"/>
        <v>1</v>
      </c>
      <c r="H110" s="339">
        <f t="shared" si="32"/>
        <v>0</v>
      </c>
      <c r="I110" s="337">
        <f t="shared" si="33"/>
        <v>12521.524729567504</v>
      </c>
      <c r="J110" s="340">
        <f t="shared" si="34"/>
        <v>1.5707164643162719</v>
      </c>
      <c r="K110" s="348">
        <f t="shared" si="35"/>
        <v>2.5514764508673387</v>
      </c>
      <c r="L110" s="349">
        <f t="shared" si="36"/>
        <v>1.1680679022087574</v>
      </c>
      <c r="M110" s="337">
        <f t="shared" si="37"/>
        <v>1.0014018631173356</v>
      </c>
      <c r="N110" s="340">
        <f t="shared" si="38"/>
        <v>5.291932332404959E-2</v>
      </c>
      <c r="O110" s="341">
        <f t="shared" si="39"/>
        <v>1.0006240898208132</v>
      </c>
      <c r="P110" s="342">
        <f t="shared" si="40"/>
        <v>7.9725555168768933E-2</v>
      </c>
      <c r="Q110" s="343">
        <f t="shared" si="41"/>
        <v>11.674072109995269</v>
      </c>
      <c r="R110" s="344">
        <f t="shared" si="42"/>
        <v>-97.321663057405814</v>
      </c>
      <c r="S110" s="346">
        <f t="shared" si="43"/>
        <v>82.678336942594186</v>
      </c>
      <c r="U110" s="319">
        <f t="shared" si="50"/>
        <v>1000000000</v>
      </c>
      <c r="V110" s="319">
        <f t="shared" si="51"/>
        <v>30906928.359999996</v>
      </c>
      <c r="X110" s="345">
        <f t="shared" si="44"/>
        <v>23.877743474315636</v>
      </c>
      <c r="Y110" s="346">
        <f t="shared" si="45"/>
        <v>-26.102117146754061</v>
      </c>
      <c r="AA110" s="345">
        <f t="shared" si="46"/>
        <v>51.405449924842259</v>
      </c>
      <c r="AB110" s="346">
        <f t="shared" si="47"/>
        <v>-71.219545910651746</v>
      </c>
      <c r="AD110">
        <f t="shared" si="52"/>
        <v>0</v>
      </c>
      <c r="AE110">
        <f t="shared" si="53"/>
        <v>0</v>
      </c>
    </row>
    <row r="111" spans="1:31" x14ac:dyDescent="0.25">
      <c r="A111" s="347">
        <v>5623.4</v>
      </c>
      <c r="B111" s="364">
        <f t="shared" si="49"/>
        <v>5.6233999999999993</v>
      </c>
      <c r="C111" s="337">
        <f t="shared" si="27"/>
        <v>2.6352726673485716</v>
      </c>
      <c r="D111" s="338">
        <f t="shared" si="28"/>
        <v>1.1815757820951684</v>
      </c>
      <c r="E111" s="338">
        <f t="shared" si="29"/>
        <v>1.0001039023709466</v>
      </c>
      <c r="F111" s="339">
        <f t="shared" si="30"/>
        <v>1.4414810114962272E-2</v>
      </c>
      <c r="G111" s="338">
        <f t="shared" si="31"/>
        <v>1</v>
      </c>
      <c r="H111" s="339">
        <f t="shared" si="32"/>
        <v>0</v>
      </c>
      <c r="I111" s="337">
        <f t="shared" si="33"/>
        <v>12665.672942973664</v>
      </c>
      <c r="J111" s="340">
        <f t="shared" si="34"/>
        <v>1.570717373232339</v>
      </c>
      <c r="K111" s="348">
        <f t="shared" si="35"/>
        <v>2.5763589921781107</v>
      </c>
      <c r="L111" s="349">
        <f t="shared" si="36"/>
        <v>1.1721787594566759</v>
      </c>
      <c r="M111" s="337">
        <f t="shared" si="37"/>
        <v>1.0014343022452963</v>
      </c>
      <c r="N111" s="340">
        <f t="shared" si="38"/>
        <v>5.3527375958443979E-2</v>
      </c>
      <c r="O111" s="341">
        <f t="shared" si="39"/>
        <v>1.0006386142459527</v>
      </c>
      <c r="P111" s="342">
        <f t="shared" si="40"/>
        <v>8.0644168772227243E-2</v>
      </c>
      <c r="Q111" s="343">
        <f t="shared" si="41"/>
        <v>11.573596431103276</v>
      </c>
      <c r="R111" s="344">
        <f t="shared" si="42"/>
        <v>-97.395441604301297</v>
      </c>
      <c r="S111" s="346">
        <f t="shared" si="43"/>
        <v>82.604558395698703</v>
      </c>
      <c r="U111" s="319">
        <f t="shared" si="50"/>
        <v>1000000000</v>
      </c>
      <c r="V111" s="319">
        <f t="shared" si="51"/>
        <v>31622627.559999995</v>
      </c>
      <c r="X111" s="345">
        <f t="shared" si="44"/>
        <v>23.862337306324942</v>
      </c>
      <c r="Y111" s="346">
        <f t="shared" si="45"/>
        <v>-25.901473302765481</v>
      </c>
      <c r="AA111" s="345">
        <f t="shared" si="46"/>
        <v>51.32038041394096</v>
      </c>
      <c r="AB111" s="346">
        <f t="shared" si="47"/>
        <v>-71.493968301535844</v>
      </c>
      <c r="AD111">
        <f t="shared" si="52"/>
        <v>0</v>
      </c>
      <c r="AE111">
        <f t="shared" si="53"/>
        <v>0</v>
      </c>
    </row>
    <row r="112" spans="1:31" x14ac:dyDescent="0.25">
      <c r="A112" s="347">
        <v>5688.9</v>
      </c>
      <c r="B112" s="364">
        <f t="shared" si="49"/>
        <v>5.6888999999999994</v>
      </c>
      <c r="C112" s="337">
        <f t="shared" si="27"/>
        <v>2.6615695575395351</v>
      </c>
      <c r="D112" s="338">
        <f t="shared" si="28"/>
        <v>1.1856247442399881</v>
      </c>
      <c r="E112" s="338">
        <f t="shared" si="29"/>
        <v>1.0001063367972385</v>
      </c>
      <c r="F112" s="339">
        <f t="shared" si="30"/>
        <v>1.4582686663627409E-2</v>
      </c>
      <c r="G112" s="338">
        <f t="shared" si="31"/>
        <v>1</v>
      </c>
      <c r="H112" s="339">
        <f t="shared" si="32"/>
        <v>0</v>
      </c>
      <c r="I112" s="337">
        <f t="shared" si="33"/>
        <v>12813.199630142119</v>
      </c>
      <c r="J112" s="340">
        <f t="shared" si="34"/>
        <v>1.5707182822759724</v>
      </c>
      <c r="K112" s="348">
        <f t="shared" si="35"/>
        <v>2.6018689261175023</v>
      </c>
      <c r="L112" s="349">
        <f t="shared" si="36"/>
        <v>1.1763044806943372</v>
      </c>
      <c r="M112" s="337">
        <f t="shared" si="37"/>
        <v>1.0014678850170018</v>
      </c>
      <c r="N112" s="340">
        <f t="shared" si="38"/>
        <v>5.4149638802807286E-2</v>
      </c>
      <c r="O112" s="341">
        <f t="shared" si="39"/>
        <v>1.00065365468781</v>
      </c>
      <c r="P112" s="342">
        <f t="shared" si="40"/>
        <v>8.1584341045656511E-2</v>
      </c>
      <c r="Q112" s="343">
        <f t="shared" si="41"/>
        <v>11.471944753720928</v>
      </c>
      <c r="R112" s="344">
        <f t="shared" si="42"/>
        <v>-97.470998036986956</v>
      </c>
      <c r="S112" s="346">
        <f t="shared" si="43"/>
        <v>82.529001963013044</v>
      </c>
      <c r="U112" s="319">
        <f t="shared" si="50"/>
        <v>1000000000</v>
      </c>
      <c r="V112" s="319">
        <f t="shared" si="51"/>
        <v>32363583.209999997</v>
      </c>
      <c r="X112" s="345">
        <f t="shared" si="44"/>
        <v>23.84704029946419</v>
      </c>
      <c r="Y112" s="346">
        <f t="shared" si="45"/>
        <v>-25.700792007264099</v>
      </c>
      <c r="AA112" s="345">
        <f t="shared" si="46"/>
        <v>51.234025743419366</v>
      </c>
      <c r="AB112" s="346">
        <f t="shared" si="47"/>
        <v>-71.770206029722871</v>
      </c>
      <c r="AD112">
        <f t="shared" si="52"/>
        <v>0</v>
      </c>
      <c r="AE112">
        <f t="shared" si="53"/>
        <v>0</v>
      </c>
    </row>
    <row r="113" spans="1:31" x14ac:dyDescent="0.25">
      <c r="A113" s="347">
        <v>5754.4</v>
      </c>
      <c r="B113" s="364">
        <f t="shared" si="49"/>
        <v>5.7543999999999995</v>
      </c>
      <c r="C113" s="337">
        <f t="shared" si="27"/>
        <v>2.6879092275625722</v>
      </c>
      <c r="D113" s="338">
        <f t="shared" si="28"/>
        <v>1.1895944162926313</v>
      </c>
      <c r="E113" s="338">
        <f t="shared" si="29"/>
        <v>1.0001087994089253</v>
      </c>
      <c r="F113" s="339">
        <f t="shared" si="30"/>
        <v>1.4750562390284142E-2</v>
      </c>
      <c r="G113" s="338">
        <f t="shared" si="31"/>
        <v>1</v>
      </c>
      <c r="H113" s="339">
        <f t="shared" si="32"/>
        <v>0</v>
      </c>
      <c r="I113" s="337">
        <f t="shared" si="33"/>
        <v>12960.726317320919</v>
      </c>
      <c r="J113" s="340">
        <f t="shared" si="34"/>
        <v>1.5707191706250563</v>
      </c>
      <c r="K113" s="348">
        <f t="shared" si="35"/>
        <v>2.6274222875387179</v>
      </c>
      <c r="L113" s="349">
        <f t="shared" si="36"/>
        <v>1.1803500191293144</v>
      </c>
      <c r="M113" s="337">
        <f t="shared" si="37"/>
        <v>1.0015018555420423</v>
      </c>
      <c r="N113" s="340">
        <f t="shared" si="38"/>
        <v>5.4771859674295778E-2</v>
      </c>
      <c r="O113" s="341">
        <f t="shared" si="39"/>
        <v>1.0006688728854056</v>
      </c>
      <c r="P113" s="342">
        <f t="shared" si="40"/>
        <v>8.2524542641084067E-2</v>
      </c>
      <c r="Q113" s="343">
        <f t="shared" si="41"/>
        <v>11.371458217749025</v>
      </c>
      <c r="R113" s="344">
        <f t="shared" si="42"/>
        <v>-97.546603754762543</v>
      </c>
      <c r="S113" s="346">
        <f t="shared" si="43"/>
        <v>82.453396245237457</v>
      </c>
      <c r="U113" s="319">
        <f t="shared" si="50"/>
        <v>1000000000</v>
      </c>
      <c r="V113" s="319">
        <f t="shared" si="51"/>
        <v>33113119.359999996</v>
      </c>
      <c r="X113" s="345">
        <f t="shared" si="44"/>
        <v>23.832200026072673</v>
      </c>
      <c r="Y113" s="346">
        <f t="shared" si="45"/>
        <v>-25.504701257372368</v>
      </c>
      <c r="AA113" s="345">
        <f t="shared" si="46"/>
        <v>51.148379480838983</v>
      </c>
      <c r="AB113" s="346">
        <f t="shared" si="47"/>
        <v>-72.041902497390168</v>
      </c>
      <c r="AD113">
        <f t="shared" si="52"/>
        <v>0</v>
      </c>
      <c r="AE113">
        <f t="shared" si="53"/>
        <v>0</v>
      </c>
    </row>
    <row r="114" spans="1:31" x14ac:dyDescent="0.25">
      <c r="A114" s="347">
        <v>5821.4</v>
      </c>
      <c r="B114" s="364">
        <f t="shared" si="49"/>
        <v>5.8213999999999997</v>
      </c>
      <c r="C114" s="337">
        <f t="shared" si="27"/>
        <v>2.7148950586394585</v>
      </c>
      <c r="D114" s="338">
        <f t="shared" si="28"/>
        <v>1.19357523970021</v>
      </c>
      <c r="E114" s="338">
        <f t="shared" si="29"/>
        <v>1.0001113475770684</v>
      </c>
      <c r="F114" s="339">
        <f t="shared" si="30"/>
        <v>1.4922281738911717E-2</v>
      </c>
      <c r="G114" s="338">
        <f t="shared" si="31"/>
        <v>1</v>
      </c>
      <c r="H114" s="339">
        <f t="shared" si="32"/>
        <v>0</v>
      </c>
      <c r="I114" s="337">
        <f t="shared" si="33"/>
        <v>13111.63147826225</v>
      </c>
      <c r="J114" s="340">
        <f t="shared" si="34"/>
        <v>1.5707200586353904</v>
      </c>
      <c r="K114" s="348">
        <f t="shared" si="35"/>
        <v>2.6536044631718321</v>
      </c>
      <c r="L114" s="349">
        <f t="shared" si="36"/>
        <v>1.1844075241580121</v>
      </c>
      <c r="M114" s="337">
        <f t="shared" si="37"/>
        <v>1.0015370051516854</v>
      </c>
      <c r="N114" s="340">
        <f t="shared" si="38"/>
        <v>5.5408285955222937E-2</v>
      </c>
      <c r="O114" s="341">
        <f t="shared" si="39"/>
        <v>1.0006846236286504</v>
      </c>
      <c r="P114" s="342">
        <f t="shared" si="40"/>
        <v>8.3486306250206754E-2</v>
      </c>
      <c r="Q114" s="343">
        <f t="shared" si="41"/>
        <v>11.269848115946433</v>
      </c>
      <c r="R114" s="344">
        <f t="shared" si="42"/>
        <v>-97.623991842462161</v>
      </c>
      <c r="S114" s="346">
        <f t="shared" si="43"/>
        <v>82.376008157537839</v>
      </c>
      <c r="U114" s="319">
        <f t="shared" si="50"/>
        <v>1000000000</v>
      </c>
      <c r="V114" s="319">
        <f t="shared" si="51"/>
        <v>33888697.959999993</v>
      </c>
      <c r="X114" s="345">
        <f t="shared" si="44"/>
        <v>23.817473487055544</v>
      </c>
      <c r="Y114" s="346">
        <f t="shared" si="45"/>
        <v>-25.308738762763603</v>
      </c>
      <c r="AA114" s="345">
        <f t="shared" si="46"/>
        <v>51.061495918053517</v>
      </c>
      <c r="AB114" s="346">
        <f t="shared" si="47"/>
        <v>-72.315253079698564</v>
      </c>
      <c r="AD114">
        <f t="shared" si="52"/>
        <v>0</v>
      </c>
      <c r="AE114">
        <f t="shared" si="53"/>
        <v>0</v>
      </c>
    </row>
    <row r="115" spans="1:31" x14ac:dyDescent="0.25">
      <c r="A115" s="347">
        <v>5888.4</v>
      </c>
      <c r="B115" s="364">
        <f t="shared" si="49"/>
        <v>5.8883999999999999</v>
      </c>
      <c r="C115" s="337">
        <f t="shared" si="27"/>
        <v>2.7419230652874087</v>
      </c>
      <c r="D115" s="338">
        <f t="shared" si="28"/>
        <v>1.1974776434559984</v>
      </c>
      <c r="E115" s="338">
        <f t="shared" si="29"/>
        <v>1.0001139252358791</v>
      </c>
      <c r="F115" s="339">
        <f t="shared" si="30"/>
        <v>1.5094000207435884E-2</v>
      </c>
      <c r="G115" s="338">
        <f t="shared" si="31"/>
        <v>1</v>
      </c>
      <c r="H115" s="339">
        <f t="shared" si="32"/>
        <v>0</v>
      </c>
      <c r="I115" s="337">
        <f t="shared" si="33"/>
        <v>13262.536639213682</v>
      </c>
      <c r="J115" s="340">
        <f t="shared" si="34"/>
        <v>1.5707209264376232</v>
      </c>
      <c r="K115" s="348">
        <f t="shared" si="35"/>
        <v>2.6798294719454629</v>
      </c>
      <c r="L115" s="349">
        <f t="shared" si="36"/>
        <v>1.1883856795305356</v>
      </c>
      <c r="M115" s="337">
        <f t="shared" si="37"/>
        <v>1.0015725603937171</v>
      </c>
      <c r="N115" s="340">
        <f t="shared" si="38"/>
        <v>5.6044667308369871E-2</v>
      </c>
      <c r="O115" s="341">
        <f t="shared" si="39"/>
        <v>1.0007005606254427</v>
      </c>
      <c r="P115" s="342">
        <f t="shared" si="40"/>
        <v>8.4448101234777806E-2</v>
      </c>
      <c r="Q115" s="343">
        <f t="shared" si="41"/>
        <v>11.169401617915337</v>
      </c>
      <c r="R115" s="344">
        <f t="shared" si="42"/>
        <v>-97.701431331583876</v>
      </c>
      <c r="S115" s="346">
        <f t="shared" si="43"/>
        <v>82.298568668416124</v>
      </c>
      <c r="U115" s="319">
        <f t="shared" si="50"/>
        <v>1000000000</v>
      </c>
      <c r="V115" s="319">
        <f t="shared" si="51"/>
        <v>34673254.559999995</v>
      </c>
      <c r="X115" s="345">
        <f t="shared" si="44"/>
        <v>23.803187290232486</v>
      </c>
      <c r="Y115" s="346">
        <f t="shared" si="45"/>
        <v>-25.117318936553509</v>
      </c>
      <c r="AA115" s="345">
        <f t="shared" si="46"/>
        <v>50.97533561684547</v>
      </c>
      <c r="AB115" s="346">
        <f t="shared" si="47"/>
        <v>-72.584112395030346</v>
      </c>
      <c r="AD115">
        <f t="shared" si="52"/>
        <v>0</v>
      </c>
      <c r="AE115">
        <f t="shared" si="53"/>
        <v>0</v>
      </c>
    </row>
    <row r="116" spans="1:31" x14ac:dyDescent="0.25">
      <c r="A116" s="347">
        <v>5957</v>
      </c>
      <c r="B116" s="364">
        <f t="shared" si="49"/>
        <v>5.9569999999999999</v>
      </c>
      <c r="C116" s="337">
        <f t="shared" si="27"/>
        <v>2.7696389257243035</v>
      </c>
      <c r="D116" s="338">
        <f t="shared" si="28"/>
        <v>1.2013942632525076</v>
      </c>
      <c r="E116" s="338">
        <f t="shared" si="29"/>
        <v>1.0001165950059412</v>
      </c>
      <c r="F116" s="339">
        <f t="shared" si="30"/>
        <v>1.5269818493057421E-2</v>
      </c>
      <c r="G116" s="338">
        <f t="shared" si="31"/>
        <v>1</v>
      </c>
      <c r="H116" s="339">
        <f t="shared" si="32"/>
        <v>0</v>
      </c>
      <c r="I116" s="337">
        <f t="shared" si="33"/>
        <v>13417.045505511385</v>
      </c>
      <c r="J116" s="340">
        <f t="shared" si="34"/>
        <v>1.5707217947378567</v>
      </c>
      <c r="K116" s="348">
        <f t="shared" si="35"/>
        <v>2.7067238290176139</v>
      </c>
      <c r="L116" s="349">
        <f t="shared" si="36"/>
        <v>1.1923789001542573</v>
      </c>
      <c r="M116" s="337">
        <f t="shared" si="37"/>
        <v>1.0016093849492054</v>
      </c>
      <c r="N116" s="340">
        <f t="shared" si="38"/>
        <v>5.669619874493502E-2</v>
      </c>
      <c r="O116" s="341">
        <f t="shared" si="39"/>
        <v>1.0007170713269971</v>
      </c>
      <c r="P116" s="342">
        <f t="shared" si="40"/>
        <v>8.5432897332606908E-2</v>
      </c>
      <c r="Q116" s="343">
        <f t="shared" si="41"/>
        <v>11.067734186077807</v>
      </c>
      <c r="R116" s="344">
        <f t="shared" si="42"/>
        <v>-97.780773193401231</v>
      </c>
      <c r="S116" s="346">
        <f t="shared" si="43"/>
        <v>82.219226806598769</v>
      </c>
      <c r="U116" s="319">
        <f t="shared" si="50"/>
        <v>1000000000</v>
      </c>
      <c r="V116" s="319">
        <f t="shared" si="51"/>
        <v>35485849</v>
      </c>
      <c r="X116" s="345">
        <f t="shared" si="44"/>
        <v>23.788997769107265</v>
      </c>
      <c r="Y116" s="346">
        <f t="shared" si="45"/>
        <v>-24.925903999404948</v>
      </c>
      <c r="AA116" s="345">
        <f t="shared" si="46"/>
        <v>50.887857706133168</v>
      </c>
      <c r="AB116" s="346">
        <f t="shared" si="47"/>
        <v>-72.854869193996308</v>
      </c>
      <c r="AD116">
        <f t="shared" si="52"/>
        <v>0</v>
      </c>
      <c r="AE116">
        <f t="shared" si="53"/>
        <v>0</v>
      </c>
    </row>
    <row r="117" spans="1:31" x14ac:dyDescent="0.25">
      <c r="A117" s="347">
        <v>6025.6</v>
      </c>
      <c r="B117" s="364">
        <f t="shared" si="49"/>
        <v>6.0256000000000007</v>
      </c>
      <c r="C117" s="337">
        <f t="shared" si="27"/>
        <v>2.7973964299187934</v>
      </c>
      <c r="D117" s="338">
        <f t="shared" si="28"/>
        <v>1.2052332147021543</v>
      </c>
      <c r="E117" s="338">
        <f t="shared" si="29"/>
        <v>1.0001192956915115</v>
      </c>
      <c r="F117" s="339">
        <f t="shared" si="30"/>
        <v>1.5445635834567272E-2</v>
      </c>
      <c r="G117" s="338">
        <f t="shared" si="31"/>
        <v>1</v>
      </c>
      <c r="H117" s="339">
        <f t="shared" si="32"/>
        <v>0</v>
      </c>
      <c r="I117" s="337">
        <f t="shared" si="33"/>
        <v>13571.554371818971</v>
      </c>
      <c r="J117" s="340">
        <f t="shared" si="34"/>
        <v>1.5707226432673134</v>
      </c>
      <c r="K117" s="348">
        <f t="shared" si="35"/>
        <v>2.7336604973463143</v>
      </c>
      <c r="L117" s="349">
        <f t="shared" si="36"/>
        <v>1.1962934861889065</v>
      </c>
      <c r="M117" s="337">
        <f t="shared" si="37"/>
        <v>1.0016466346497117</v>
      </c>
      <c r="N117" s="340">
        <f t="shared" si="38"/>
        <v>5.7347681999125683E-2</v>
      </c>
      <c r="O117" s="341">
        <f t="shared" si="39"/>
        <v>1.0007337775728087</v>
      </c>
      <c r="P117" s="342">
        <f t="shared" si="40"/>
        <v>8.6417727066567515E-2</v>
      </c>
      <c r="Q117" s="343">
        <f t="shared" si="41"/>
        <v>10.967231028232685</v>
      </c>
      <c r="R117" s="344">
        <f t="shared" si="42"/>
        <v>-97.860168504692538</v>
      </c>
      <c r="S117" s="346">
        <f t="shared" si="43"/>
        <v>82.139831495307462</v>
      </c>
      <c r="U117" s="319">
        <f t="shared" si="50"/>
        <v>1000000000</v>
      </c>
      <c r="V117" s="319">
        <f t="shared" si="51"/>
        <v>36307855.360000007</v>
      </c>
      <c r="X117" s="345">
        <f t="shared" si="44"/>
        <v>23.775233398621939</v>
      </c>
      <c r="Y117" s="346">
        <f t="shared" si="45"/>
        <v>-24.738990598910345</v>
      </c>
      <c r="AA117" s="345">
        <f t="shared" si="46"/>
        <v>50.801118918773369</v>
      </c>
      <c r="AB117" s="346">
        <f t="shared" si="47"/>
        <v>-73.121177905782204</v>
      </c>
      <c r="AD117">
        <f t="shared" si="52"/>
        <v>0</v>
      </c>
      <c r="AE117">
        <f t="shared" si="53"/>
        <v>0</v>
      </c>
    </row>
    <row r="118" spans="1:31" x14ac:dyDescent="0.25">
      <c r="A118" s="347">
        <v>6095.8</v>
      </c>
      <c r="B118" s="364">
        <f t="shared" si="49"/>
        <v>6.0958000000000006</v>
      </c>
      <c r="C118" s="337">
        <f t="shared" si="27"/>
        <v>2.825843171146643</v>
      </c>
      <c r="D118" s="338">
        <f t="shared" si="28"/>
        <v>1.2090835692426027</v>
      </c>
      <c r="E118" s="338">
        <f t="shared" si="29"/>
        <v>1.0001220913720805</v>
      </c>
      <c r="F118" s="339">
        <f t="shared" si="30"/>
        <v>1.5625552883358058E-2</v>
      </c>
      <c r="G118" s="338">
        <f t="shared" si="31"/>
        <v>1</v>
      </c>
      <c r="H118" s="339">
        <f t="shared" si="32"/>
        <v>0</v>
      </c>
      <c r="I118" s="337">
        <f t="shared" si="33"/>
        <v>13729.666943473063</v>
      </c>
      <c r="J118" s="340">
        <f t="shared" si="34"/>
        <v>1.5707234918160875</v>
      </c>
      <c r="K118" s="348">
        <f t="shared" si="35"/>
        <v>2.761267937305361</v>
      </c>
      <c r="L118" s="349">
        <f t="shared" si="36"/>
        <v>1.200220245136443</v>
      </c>
      <c r="M118" s="337">
        <f t="shared" si="37"/>
        <v>1.0016851932329445</v>
      </c>
      <c r="N118" s="340">
        <f t="shared" si="38"/>
        <v>5.8014309745534239E-2</v>
      </c>
      <c r="O118" s="341">
        <f t="shared" si="39"/>
        <v>1.0007510760623723</v>
      </c>
      <c r="P118" s="342">
        <f t="shared" si="40"/>
        <v>8.7425561804523211E-2</v>
      </c>
      <c r="Q118" s="343">
        <f t="shared" si="41"/>
        <v>10.865561256586831</v>
      </c>
      <c r="R118" s="344">
        <f t="shared" si="42"/>
        <v>-97.941470618735508</v>
      </c>
      <c r="S118" s="346">
        <f t="shared" si="43"/>
        <v>82.058529381264492</v>
      </c>
      <c r="U118" s="319">
        <f t="shared" si="50"/>
        <v>1000000000</v>
      </c>
      <c r="V118" s="319">
        <f t="shared" si="51"/>
        <v>37158777.640000001</v>
      </c>
      <c r="X118" s="345">
        <f t="shared" si="44"/>
        <v>23.761570275885578</v>
      </c>
      <c r="Y118" s="346">
        <f t="shared" si="45"/>
        <v>-24.552247458476891</v>
      </c>
      <c r="AA118" s="345">
        <f t="shared" si="46"/>
        <v>50.713112269863885</v>
      </c>
      <c r="AB118" s="346">
        <f t="shared" si="47"/>
        <v>-73.389223160258609</v>
      </c>
      <c r="AD118">
        <f t="shared" si="52"/>
        <v>0</v>
      </c>
      <c r="AE118">
        <f t="shared" si="53"/>
        <v>0</v>
      </c>
    </row>
    <row r="119" spans="1:31" x14ac:dyDescent="0.25">
      <c r="A119" s="347">
        <v>6166</v>
      </c>
      <c r="B119" s="364">
        <f t="shared" si="49"/>
        <v>6.1660000000000004</v>
      </c>
      <c r="C119" s="337">
        <f t="shared" si="27"/>
        <v>2.8543309707508673</v>
      </c>
      <c r="D119" s="338">
        <f t="shared" si="28"/>
        <v>1.2128571214706441</v>
      </c>
      <c r="E119" s="338">
        <f t="shared" si="29"/>
        <v>1.0001249194265645</v>
      </c>
      <c r="F119" s="339">
        <f t="shared" si="30"/>
        <v>1.5805468920469398E-2</v>
      </c>
      <c r="G119" s="338">
        <f t="shared" si="31"/>
        <v>1</v>
      </c>
      <c r="H119" s="339">
        <f t="shared" si="32"/>
        <v>0</v>
      </c>
      <c r="I119" s="337">
        <f t="shared" si="33"/>
        <v>13887.779515136812</v>
      </c>
      <c r="J119" s="340">
        <f t="shared" si="34"/>
        <v>1.5707243210433814</v>
      </c>
      <c r="K119" s="348">
        <f t="shared" si="35"/>
        <v>2.7889171111379407</v>
      </c>
      <c r="L119" s="349">
        <f t="shared" si="36"/>
        <v>1.2040692031037836</v>
      </c>
      <c r="M119" s="337">
        <f t="shared" si="37"/>
        <v>1.0017241969232324</v>
      </c>
      <c r="N119" s="340">
        <f t="shared" si="38"/>
        <v>5.8680885875767988E-2</v>
      </c>
      <c r="O119" s="341">
        <f t="shared" si="39"/>
        <v>1.0007685796408903</v>
      </c>
      <c r="P119" s="342">
        <f t="shared" si="40"/>
        <v>8.8433432562076919E-2</v>
      </c>
      <c r="Q119" s="343">
        <f t="shared" si="41"/>
        <v>10.765055131102169</v>
      </c>
      <c r="R119" s="344">
        <f t="shared" si="42"/>
        <v>-98.022828009535573</v>
      </c>
      <c r="S119" s="346">
        <f t="shared" si="43"/>
        <v>81.977171990464427</v>
      </c>
      <c r="U119" s="319">
        <f t="shared" si="50"/>
        <v>1000000000</v>
      </c>
      <c r="V119" s="319">
        <f t="shared" si="51"/>
        <v>38019556</v>
      </c>
      <c r="X119" s="345">
        <f t="shared" si="44"/>
        <v>23.748316991077449</v>
      </c>
      <c r="Y119" s="346">
        <f t="shared" si="45"/>
        <v>-24.369957921427471</v>
      </c>
      <c r="AA119" s="345">
        <f t="shared" si="46"/>
        <v>50.625859429187344</v>
      </c>
      <c r="AB119" s="346">
        <f t="shared" si="47"/>
        <v>-73.652870088108088</v>
      </c>
      <c r="AD119">
        <f t="shared" si="52"/>
        <v>0</v>
      </c>
      <c r="AE119">
        <f t="shared" si="53"/>
        <v>0</v>
      </c>
    </row>
    <row r="120" spans="1:31" x14ac:dyDescent="0.25">
      <c r="A120" s="347">
        <v>6237.8</v>
      </c>
      <c r="B120" s="364">
        <f t="shared" si="49"/>
        <v>6.2378</v>
      </c>
      <c r="C120" s="337">
        <f t="shared" si="27"/>
        <v>2.8835092692690165</v>
      </c>
      <c r="D120" s="338">
        <f t="shared" si="28"/>
        <v>1.2166394949175385</v>
      </c>
      <c r="E120" s="338">
        <f t="shared" si="29"/>
        <v>1.0001278454269686</v>
      </c>
      <c r="F120" s="339">
        <f t="shared" si="30"/>
        <v>1.5989484549338216E-2</v>
      </c>
      <c r="G120" s="338">
        <f t="shared" si="31"/>
        <v>1</v>
      </c>
      <c r="H120" s="339">
        <f t="shared" si="32"/>
        <v>0</v>
      </c>
      <c r="I120" s="337">
        <f t="shared" si="33"/>
        <v>14049.495792147285</v>
      </c>
      <c r="J120" s="340">
        <f t="shared" si="34"/>
        <v>1.5707251498633086</v>
      </c>
      <c r="K120" s="348">
        <f t="shared" si="35"/>
        <v>2.8172383563232621</v>
      </c>
      <c r="L120" s="349">
        <f t="shared" si="36"/>
        <v>1.2079276760832889</v>
      </c>
      <c r="M120" s="337">
        <f t="shared" si="37"/>
        <v>1.0017645499723264</v>
      </c>
      <c r="N120" s="340">
        <f t="shared" si="38"/>
        <v>5.9362600619028046E-2</v>
      </c>
      <c r="O120" s="341">
        <f t="shared" si="39"/>
        <v>1.0007866944850263</v>
      </c>
      <c r="P120" s="342">
        <f t="shared" si="40"/>
        <v>8.946431241232021E-2</v>
      </c>
      <c r="Q120" s="343">
        <f t="shared" si="41"/>
        <v>10.663434192288276</v>
      </c>
      <c r="R120" s="344">
        <f t="shared" si="42"/>
        <v>-98.106096438799028</v>
      </c>
      <c r="S120" s="346">
        <f t="shared" si="43"/>
        <v>81.893903561200972</v>
      </c>
      <c r="U120" s="319">
        <f t="shared" si="50"/>
        <v>1000000000</v>
      </c>
      <c r="V120" s="319">
        <f t="shared" si="51"/>
        <v>38910148.840000004</v>
      </c>
      <c r="X120" s="345">
        <f t="shared" si="44"/>
        <v>23.73516830172402</v>
      </c>
      <c r="Y120" s="346">
        <f t="shared" si="45"/>
        <v>-24.187990569633072</v>
      </c>
      <c r="AA120" s="345">
        <f t="shared" si="46"/>
        <v>50.537387179726885</v>
      </c>
      <c r="AB120" s="346">
        <f t="shared" si="47"/>
        <v>-73.91810586916597</v>
      </c>
      <c r="AD120">
        <f t="shared" si="52"/>
        <v>0</v>
      </c>
      <c r="AE120">
        <f t="shared" si="53"/>
        <v>0</v>
      </c>
    </row>
    <row r="121" spans="1:31" x14ac:dyDescent="0.25">
      <c r="A121" s="347">
        <v>6309.6</v>
      </c>
      <c r="B121" s="364">
        <f t="shared" si="49"/>
        <v>6.3096000000000005</v>
      </c>
      <c r="C121" s="337">
        <f t="shared" si="27"/>
        <v>2.9127279934416723</v>
      </c>
      <c r="D121" s="338">
        <f t="shared" si="28"/>
        <v>1.2203460355470994</v>
      </c>
      <c r="E121" s="338">
        <f t="shared" si="29"/>
        <v>1.0001308052932547</v>
      </c>
      <c r="F121" s="339">
        <f t="shared" si="30"/>
        <v>1.617349909525722E-2</v>
      </c>
      <c r="G121" s="338">
        <f t="shared" si="31"/>
        <v>1</v>
      </c>
      <c r="H121" s="339">
        <f t="shared" si="32"/>
        <v>0</v>
      </c>
      <c r="I121" s="337">
        <f t="shared" si="33"/>
        <v>14211.212069167188</v>
      </c>
      <c r="J121" s="340">
        <f t="shared" si="34"/>
        <v>1.5707259598201475</v>
      </c>
      <c r="K121" s="348">
        <f t="shared" si="35"/>
        <v>2.8456007087907222</v>
      </c>
      <c r="L121" s="349">
        <f t="shared" si="36"/>
        <v>1.2117092889529335</v>
      </c>
      <c r="M121" s="337">
        <f t="shared" si="37"/>
        <v>1.0018053685388282</v>
      </c>
      <c r="N121" s="340">
        <f t="shared" si="38"/>
        <v>6.0044260126114093E-2</v>
      </c>
      <c r="O121" s="341">
        <f t="shared" si="39"/>
        <v>1.0008050242202413</v>
      </c>
      <c r="P121" s="342">
        <f t="shared" si="40"/>
        <v>9.0495230792995915E-2</v>
      </c>
      <c r="Q121" s="343">
        <f t="shared" si="41"/>
        <v>10.562975062491278</v>
      </c>
      <c r="R121" s="344">
        <f t="shared" si="42"/>
        <v>-98.189421751693331</v>
      </c>
      <c r="S121" s="346">
        <f t="shared" si="43"/>
        <v>81.810578248306669</v>
      </c>
      <c r="U121" s="319">
        <f t="shared" si="50"/>
        <v>1000000000</v>
      </c>
      <c r="V121" s="319">
        <f t="shared" si="51"/>
        <v>39811052.160000004</v>
      </c>
      <c r="X121" s="345">
        <f t="shared" si="44"/>
        <v>23.722414107448447</v>
      </c>
      <c r="Y121" s="346">
        <f t="shared" si="45"/>
        <v>-24.010422732176647</v>
      </c>
      <c r="AA121" s="345">
        <f t="shared" si="46"/>
        <v>50.449682244205462</v>
      </c>
      <c r="AB121" s="346">
        <f t="shared" si="47"/>
        <v>-74.178999019516681</v>
      </c>
      <c r="AD121">
        <f t="shared" si="52"/>
        <v>0</v>
      </c>
      <c r="AE121">
        <f t="shared" si="53"/>
        <v>0</v>
      </c>
    </row>
    <row r="122" spans="1:31" x14ac:dyDescent="0.25">
      <c r="A122" s="347">
        <v>6383.05</v>
      </c>
      <c r="B122" s="364">
        <f t="shared" si="49"/>
        <v>6.3830499999999999</v>
      </c>
      <c r="C122" s="337">
        <f t="shared" si="27"/>
        <v>2.9426587527924104</v>
      </c>
      <c r="D122" s="338">
        <f t="shared" si="28"/>
        <v>1.2240615382002866</v>
      </c>
      <c r="E122" s="338">
        <f t="shared" si="29"/>
        <v>1.0001338682206453</v>
      </c>
      <c r="F122" s="339">
        <f t="shared" si="30"/>
        <v>1.6361741254155619E-2</v>
      </c>
      <c r="G122" s="338">
        <f t="shared" si="31"/>
        <v>1</v>
      </c>
      <c r="H122" s="339">
        <f t="shared" si="32"/>
        <v>0</v>
      </c>
      <c r="I122" s="337">
        <f t="shared" si="33"/>
        <v>14376.644667325805</v>
      </c>
      <c r="J122" s="340">
        <f t="shared" si="34"/>
        <v>1.5707267695356093</v>
      </c>
      <c r="K122" s="348">
        <f t="shared" si="35"/>
        <v>2.8746561088205325</v>
      </c>
      <c r="L122" s="349">
        <f t="shared" si="36"/>
        <v>1.2155005363312852</v>
      </c>
      <c r="M122" s="337">
        <f t="shared" si="37"/>
        <v>1.0018476067641862</v>
      </c>
      <c r="N122" s="340">
        <f t="shared" si="38"/>
        <v>6.0741526702238313E-2</v>
      </c>
      <c r="O122" s="341">
        <f t="shared" si="39"/>
        <v>1.0008239977232289</v>
      </c>
      <c r="P122" s="342">
        <f t="shared" si="40"/>
        <v>9.1549880511211587E-2</v>
      </c>
      <c r="Q122" s="343">
        <f t="shared" si="41"/>
        <v>10.461381730031478</v>
      </c>
      <c r="R122" s="344">
        <f t="shared" si="42"/>
        <v>-98.274720220491631</v>
      </c>
      <c r="S122" s="346">
        <f t="shared" si="43"/>
        <v>81.725279779508369</v>
      </c>
      <c r="U122" s="319">
        <f t="shared" si="50"/>
        <v>1000000000</v>
      </c>
      <c r="V122" s="319">
        <f t="shared" si="51"/>
        <v>40743327.302500002</v>
      </c>
      <c r="X122" s="345">
        <f t="shared" si="44"/>
        <v>23.709758283535656</v>
      </c>
      <c r="Y122" s="346">
        <f t="shared" si="45"/>
        <v>-23.833197083390555</v>
      </c>
      <c r="AA122" s="345">
        <f t="shared" si="46"/>
        <v>50.360744735658443</v>
      </c>
      <c r="AB122" s="346">
        <f t="shared" si="47"/>
        <v>-74.441523137101058</v>
      </c>
      <c r="AD122">
        <f t="shared" si="52"/>
        <v>0</v>
      </c>
      <c r="AE122">
        <f t="shared" si="53"/>
        <v>0</v>
      </c>
    </row>
    <row r="123" spans="1:31" x14ac:dyDescent="0.25">
      <c r="A123" s="347">
        <v>6456.5</v>
      </c>
      <c r="B123" s="364">
        <f t="shared" si="49"/>
        <v>6.4565000000000001</v>
      </c>
      <c r="C123" s="337">
        <f t="shared" si="27"/>
        <v>2.9726293170520672</v>
      </c>
      <c r="D123" s="338">
        <f t="shared" si="28"/>
        <v>1.2277021695875061</v>
      </c>
      <c r="E123" s="338">
        <f t="shared" si="29"/>
        <v>1.000136966587672</v>
      </c>
      <c r="F123" s="339">
        <f t="shared" si="30"/>
        <v>1.6549982253397471E-2</v>
      </c>
      <c r="G123" s="338">
        <f t="shared" si="31"/>
        <v>1</v>
      </c>
      <c r="H123" s="339">
        <f t="shared" si="32"/>
        <v>0</v>
      </c>
      <c r="I123" s="337">
        <f t="shared" si="33"/>
        <v>14542.077265493634</v>
      </c>
      <c r="J123" s="340">
        <f t="shared" si="34"/>
        <v>1.5707275608282103</v>
      </c>
      <c r="K123" s="348">
        <f t="shared" si="35"/>
        <v>2.9037520006510125</v>
      </c>
      <c r="L123" s="349">
        <f t="shared" si="36"/>
        <v>1.219215858851886</v>
      </c>
      <c r="M123" s="337">
        <f t="shared" si="37"/>
        <v>1.0018903320272861</v>
      </c>
      <c r="N123" s="340">
        <f t="shared" si="38"/>
        <v>6.1438734147928394E-2</v>
      </c>
      <c r="O123" s="341">
        <f t="shared" si="39"/>
        <v>1.0008431964871976</v>
      </c>
      <c r="P123" s="342">
        <f t="shared" si="40"/>
        <v>9.2604571459138391E-2</v>
      </c>
      <c r="Q123" s="343">
        <f t="shared" si="41"/>
        <v>10.360948807536754</v>
      </c>
      <c r="R123" s="344">
        <f t="shared" si="42"/>
        <v>-98.360077040907882</v>
      </c>
      <c r="S123" s="346">
        <f t="shared" si="43"/>
        <v>81.639922959092118</v>
      </c>
      <c r="U123" s="319">
        <f t="shared" si="50"/>
        <v>1000000000</v>
      </c>
      <c r="V123" s="319">
        <f t="shared" si="51"/>
        <v>41686392.25</v>
      </c>
      <c r="X123" s="345">
        <f t="shared" si="44"/>
        <v>23.697482168796387</v>
      </c>
      <c r="Y123" s="346">
        <f t="shared" si="45"/>
        <v>-23.660317165042215</v>
      </c>
      <c r="AA123" s="345">
        <f t="shared" si="46"/>
        <v>50.272587927902997</v>
      </c>
      <c r="AB123" s="346">
        <f t="shared" si="47"/>
        <v>-74.699759875865652</v>
      </c>
      <c r="AD123">
        <f t="shared" si="52"/>
        <v>0</v>
      </c>
      <c r="AE123">
        <f t="shared" si="53"/>
        <v>0</v>
      </c>
    </row>
    <row r="124" spans="1:31" x14ac:dyDescent="0.25">
      <c r="A124" s="347">
        <v>6531.7</v>
      </c>
      <c r="B124" s="364">
        <f t="shared" si="49"/>
        <v>6.5316999999999998</v>
      </c>
      <c r="C124" s="337">
        <f t="shared" si="27"/>
        <v>3.0033539463322012</v>
      </c>
      <c r="D124" s="338">
        <f t="shared" si="28"/>
        <v>1.2313542147563632</v>
      </c>
      <c r="E124" s="338">
        <f t="shared" si="29"/>
        <v>1.0001401754914747</v>
      </c>
      <c r="F124" s="339">
        <f t="shared" si="30"/>
        <v>1.6742707016849503E-2</v>
      </c>
      <c r="G124" s="338">
        <f t="shared" si="31"/>
        <v>1</v>
      </c>
      <c r="H124" s="339">
        <f t="shared" si="32"/>
        <v>0</v>
      </c>
      <c r="I124" s="337">
        <f t="shared" si="33"/>
        <v>14711.451416384005</v>
      </c>
      <c r="J124" s="340">
        <f t="shared" si="34"/>
        <v>1.5707283525364455</v>
      </c>
      <c r="K124" s="348">
        <f t="shared" si="35"/>
        <v>2.9335818156672548</v>
      </c>
      <c r="L124" s="349">
        <f t="shared" si="36"/>
        <v>1.2229432954086552</v>
      </c>
      <c r="M124" s="337">
        <f t="shared" si="37"/>
        <v>1.0019345797680026</v>
      </c>
      <c r="N124" s="340">
        <f t="shared" si="38"/>
        <v>6.215249111089613E-2</v>
      </c>
      <c r="O124" s="341">
        <f t="shared" si="39"/>
        <v>1.0008630862552117</v>
      </c>
      <c r="P124" s="342">
        <f t="shared" si="40"/>
        <v>9.3684434384264381E-2</v>
      </c>
      <c r="Q124" s="343">
        <f t="shared" si="41"/>
        <v>10.259297434984472</v>
      </c>
      <c r="R124" s="344">
        <f t="shared" si="42"/>
        <v>-98.447527328294314</v>
      </c>
      <c r="S124" s="346">
        <f t="shared" si="43"/>
        <v>81.552472671705686</v>
      </c>
      <c r="U124" s="319">
        <f t="shared" si="50"/>
        <v>1000000000</v>
      </c>
      <c r="V124" s="319">
        <f t="shared" si="51"/>
        <v>42663104.890000001</v>
      </c>
      <c r="X124" s="345">
        <f t="shared" si="44"/>
        <v>23.685290747813443</v>
      </c>
      <c r="Y124" s="346">
        <f t="shared" si="45"/>
        <v>-23.487691404855926</v>
      </c>
      <c r="AA124" s="345">
        <f t="shared" si="46"/>
        <v>50.183127976333651</v>
      </c>
      <c r="AB124" s="346">
        <f t="shared" si="47"/>
        <v>-74.959835923438391</v>
      </c>
      <c r="AD124">
        <f t="shared" si="52"/>
        <v>0</v>
      </c>
      <c r="AE124">
        <f t="shared" si="53"/>
        <v>0</v>
      </c>
    </row>
    <row r="125" spans="1:31" x14ac:dyDescent="0.25">
      <c r="A125" s="347">
        <v>6606.9</v>
      </c>
      <c r="B125" s="364">
        <f t="shared" si="49"/>
        <v>6.6068999999999996</v>
      </c>
      <c r="C125" s="337">
        <f t="shared" si="27"/>
        <v>3.0341178210736954</v>
      </c>
      <c r="D125" s="338">
        <f t="shared" si="28"/>
        <v>1.2349322483754053</v>
      </c>
      <c r="E125" s="338">
        <f t="shared" si="29"/>
        <v>1.0001434215430791</v>
      </c>
      <c r="F125" s="339">
        <f t="shared" si="30"/>
        <v>1.6935430536450156E-2</v>
      </c>
      <c r="G125" s="338">
        <f t="shared" si="31"/>
        <v>1</v>
      </c>
      <c r="H125" s="339">
        <f t="shared" si="32"/>
        <v>0</v>
      </c>
      <c r="I125" s="337">
        <f t="shared" si="33"/>
        <v>14880.825567283387</v>
      </c>
      <c r="J125" s="340">
        <f t="shared" si="34"/>
        <v>1.570729126222171</v>
      </c>
      <c r="K125" s="348">
        <f t="shared" si="35"/>
        <v>2.9634515683638813</v>
      </c>
      <c r="L125" s="349">
        <f t="shared" si="36"/>
        <v>1.2265956413673049</v>
      </c>
      <c r="M125" s="337">
        <f t="shared" si="37"/>
        <v>1.0019793378980575</v>
      </c>
      <c r="N125" s="340">
        <f t="shared" si="38"/>
        <v>6.286618467078918E-2</v>
      </c>
      <c r="O125" s="341">
        <f t="shared" si="39"/>
        <v>1.0008832125629437</v>
      </c>
      <c r="P125" s="342">
        <f t="shared" si="40"/>
        <v>9.4764341498947399E-2</v>
      </c>
      <c r="Q125" s="343">
        <f t="shared" si="41"/>
        <v>10.15880697167389</v>
      </c>
      <c r="R125" s="344">
        <f t="shared" si="42"/>
        <v>-98.535037378394776</v>
      </c>
      <c r="S125" s="346">
        <f t="shared" si="43"/>
        <v>81.464962621605224</v>
      </c>
      <c r="U125" s="319">
        <f t="shared" si="50"/>
        <v>1000000000</v>
      </c>
      <c r="V125" s="319">
        <f t="shared" si="51"/>
        <v>43651127.609999992</v>
      </c>
      <c r="X125" s="345">
        <f t="shared" si="44"/>
        <v>23.673465243178402</v>
      </c>
      <c r="Y125" s="346">
        <f t="shared" si="45"/>
        <v>-23.319363353685571</v>
      </c>
      <c r="AA125" s="345">
        <f t="shared" si="46"/>
        <v>50.094463017658121</v>
      </c>
      <c r="AB125" s="346">
        <f t="shared" si="47"/>
        <v>-75.21567402470923</v>
      </c>
      <c r="AD125">
        <f t="shared" si="52"/>
        <v>0</v>
      </c>
      <c r="AE125">
        <f t="shared" si="53"/>
        <v>0</v>
      </c>
    </row>
    <row r="126" spans="1:31" x14ac:dyDescent="0.25">
      <c r="A126" s="347">
        <v>6683.85</v>
      </c>
      <c r="B126" s="364">
        <f t="shared" si="49"/>
        <v>6.6838500000000005</v>
      </c>
      <c r="C126" s="337">
        <f t="shared" si="27"/>
        <v>3.0656370039285221</v>
      </c>
      <c r="D126" s="338">
        <f t="shared" si="28"/>
        <v>1.2385191626089398</v>
      </c>
      <c r="E126" s="338">
        <f t="shared" si="29"/>
        <v>1.0001467815886464</v>
      </c>
      <c r="F126" s="339">
        <f t="shared" si="30"/>
        <v>1.7132637675852477E-2</v>
      </c>
      <c r="G126" s="338">
        <f t="shared" si="31"/>
        <v>1</v>
      </c>
      <c r="H126" s="339">
        <f t="shared" si="32"/>
        <v>0</v>
      </c>
      <c r="I126" s="337">
        <f t="shared" si="33"/>
        <v>15054.141270905533</v>
      </c>
      <c r="J126" s="340">
        <f t="shared" si="34"/>
        <v>1.5707298998906487</v>
      </c>
      <c r="K126" s="348">
        <f t="shared" si="35"/>
        <v>2.9940565239810013</v>
      </c>
      <c r="L126" s="349">
        <f t="shared" si="36"/>
        <v>1.2302574943717415</v>
      </c>
      <c r="M126" s="337">
        <f t="shared" si="37"/>
        <v>1.0020256658792399</v>
      </c>
      <c r="N126" s="340">
        <f t="shared" si="38"/>
        <v>6.3596420407921669E-2</v>
      </c>
      <c r="O126" s="341">
        <f t="shared" si="39"/>
        <v>1.0009040523199686</v>
      </c>
      <c r="P126" s="342">
        <f t="shared" si="40"/>
        <v>9.5869425686741672E-2</v>
      </c>
      <c r="Q126" s="343">
        <f t="shared" si="41"/>
        <v>10.05715193628375</v>
      </c>
      <c r="R126" s="344">
        <f t="shared" si="42"/>
        <v>-98.624644980118106</v>
      </c>
      <c r="S126" s="346">
        <f t="shared" si="43"/>
        <v>81.375355019881894</v>
      </c>
      <c r="U126" s="319">
        <f t="shared" si="50"/>
        <v>1000000000</v>
      </c>
      <c r="V126" s="319">
        <f t="shared" si="51"/>
        <v>44673850.822500005</v>
      </c>
      <c r="X126" s="345">
        <f t="shared" si="44"/>
        <v>23.66172764269891</v>
      </c>
      <c r="Y126" s="346">
        <f t="shared" si="45"/>
        <v>-23.151438384867998</v>
      </c>
      <c r="AA126" s="345">
        <f t="shared" si="46"/>
        <v>50.004545582747461</v>
      </c>
      <c r="AB126" s="346">
        <f t="shared" si="47"/>
        <v>-75.473206595250076</v>
      </c>
      <c r="AD126">
        <f t="shared" si="52"/>
        <v>0</v>
      </c>
      <c r="AE126">
        <f t="shared" si="53"/>
        <v>0</v>
      </c>
    </row>
    <row r="127" spans="1:31" x14ac:dyDescent="0.25">
      <c r="A127" s="347">
        <v>6760.8</v>
      </c>
      <c r="B127" s="364">
        <f t="shared" si="49"/>
        <v>6.7608000000000006</v>
      </c>
      <c r="C127" s="337">
        <f t="shared" si="27"/>
        <v>3.0971948260499014</v>
      </c>
      <c r="D127" s="338">
        <f t="shared" si="28"/>
        <v>1.2420330259817618</v>
      </c>
      <c r="E127" s="338">
        <f t="shared" si="29"/>
        <v>1.0001501805303159</v>
      </c>
      <c r="F127" s="339">
        <f t="shared" si="30"/>
        <v>1.7329843482534385E-2</v>
      </c>
      <c r="G127" s="338">
        <f t="shared" si="31"/>
        <v>1</v>
      </c>
      <c r="H127" s="339">
        <f t="shared" si="32"/>
        <v>0</v>
      </c>
      <c r="I127" s="337">
        <f t="shared" si="33"/>
        <v>15227.456974536482</v>
      </c>
      <c r="J127" s="340">
        <f t="shared" si="34"/>
        <v>1.5707306559476639</v>
      </c>
      <c r="K127" s="348">
        <f t="shared" si="35"/>
        <v>3.024700814634639</v>
      </c>
      <c r="L127" s="349">
        <f t="shared" si="36"/>
        <v>1.2338451956757368</v>
      </c>
      <c r="M127" s="337">
        <f t="shared" si="37"/>
        <v>1.0020725281352567</v>
      </c>
      <c r="N127" s="340">
        <f t="shared" si="38"/>
        <v>6.4326588234946094E-2</v>
      </c>
      <c r="O127" s="341">
        <f t="shared" si="39"/>
        <v>1.0009251402110386</v>
      </c>
      <c r="P127" s="342">
        <f t="shared" si="40"/>
        <v>9.6974557183621801E-2</v>
      </c>
      <c r="Q127" s="343">
        <f t="shared" si="41"/>
        <v>9.9566570258714489</v>
      </c>
      <c r="R127" s="344">
        <f t="shared" si="42"/>
        <v>-98.714313542256974</v>
      </c>
      <c r="S127" s="346">
        <f t="shared" si="43"/>
        <v>81.285686457743026</v>
      </c>
      <c r="U127" s="319">
        <f t="shared" si="50"/>
        <v>1000000000</v>
      </c>
      <c r="V127" s="319">
        <f t="shared" si="51"/>
        <v>45708416.640000001</v>
      </c>
      <c r="X127" s="345">
        <f t="shared" si="44"/>
        <v>23.650342123305101</v>
      </c>
      <c r="Y127" s="346">
        <f t="shared" si="45"/>
        <v>-22.987757095509242</v>
      </c>
      <c r="AA127" s="345">
        <f t="shared" si="46"/>
        <v>49.915436191728979</v>
      </c>
      <c r="AB127" s="346">
        <f t="shared" si="47"/>
        <v>-75.726556446747736</v>
      </c>
      <c r="AD127">
        <f t="shared" si="52"/>
        <v>0</v>
      </c>
      <c r="AE127">
        <f t="shared" si="53"/>
        <v>0</v>
      </c>
    </row>
    <row r="128" spans="1:31" x14ac:dyDescent="0.25">
      <c r="A128" s="347">
        <v>6839.55</v>
      </c>
      <c r="B128" s="364">
        <f t="shared" si="49"/>
        <v>6.83955</v>
      </c>
      <c r="C128" s="337">
        <f t="shared" si="27"/>
        <v>3.1295296287614458</v>
      </c>
      <c r="D128" s="338">
        <f t="shared" si="28"/>
        <v>1.2455556677146236</v>
      </c>
      <c r="E128" s="338">
        <f t="shared" si="29"/>
        <v>1.0001536992504982</v>
      </c>
      <c r="F128" s="339">
        <f t="shared" si="30"/>
        <v>1.7531660894704364E-2</v>
      </c>
      <c r="G128" s="338">
        <f t="shared" si="31"/>
        <v>1</v>
      </c>
      <c r="H128" s="339">
        <f t="shared" si="32"/>
        <v>0</v>
      </c>
      <c r="I128" s="337">
        <f t="shared" si="33"/>
        <v>15404.826846682225</v>
      </c>
      <c r="J128" s="340">
        <f t="shared" si="34"/>
        <v>1.5707314120762403</v>
      </c>
      <c r="K128" s="348">
        <f t="shared" si="35"/>
        <v>3.0561014221054701</v>
      </c>
      <c r="L128" s="349">
        <f t="shared" si="36"/>
        <v>1.2374422786319808</v>
      </c>
      <c r="M128" s="337">
        <f t="shared" si="37"/>
        <v>1.0021210396736742</v>
      </c>
      <c r="N128" s="340">
        <f t="shared" si="38"/>
        <v>6.5073764897256081E-2</v>
      </c>
      <c r="O128" s="341">
        <f t="shared" si="39"/>
        <v>1.0009469785398557</v>
      </c>
      <c r="P128" s="342">
        <f t="shared" si="40"/>
        <v>9.8105589238847241E-2</v>
      </c>
      <c r="Q128" s="343">
        <f t="shared" si="41"/>
        <v>9.854984734885706</v>
      </c>
      <c r="R128" s="344">
        <f t="shared" si="42"/>
        <v>-98.806141844026385</v>
      </c>
      <c r="S128" s="346">
        <f t="shared" si="43"/>
        <v>81.193858155973615</v>
      </c>
      <c r="U128" s="319">
        <f t="shared" si="50"/>
        <v>1000000000</v>
      </c>
      <c r="V128" s="319">
        <f t="shared" si="51"/>
        <v>46779444.202500001</v>
      </c>
      <c r="X128" s="345">
        <f t="shared" si="44"/>
        <v>23.639039631517122</v>
      </c>
      <c r="Y128" s="346">
        <f t="shared" si="45"/>
        <v>-22.82451281564872</v>
      </c>
      <c r="AA128" s="345">
        <f t="shared" si="46"/>
        <v>49.825066392531205</v>
      </c>
      <c r="AB128" s="346">
        <f t="shared" si="47"/>
        <v>-75.981629028377668</v>
      </c>
      <c r="AD128">
        <f t="shared" si="52"/>
        <v>0</v>
      </c>
      <c r="AE128">
        <f t="shared" si="53"/>
        <v>0</v>
      </c>
    </row>
    <row r="129" spans="1:31" x14ac:dyDescent="0.25">
      <c r="A129" s="347">
        <v>6918.3</v>
      </c>
      <c r="B129" s="364">
        <f t="shared" si="49"/>
        <v>6.9183000000000003</v>
      </c>
      <c r="C129" s="337">
        <f t="shared" si="27"/>
        <v>3.1619024712741193</v>
      </c>
      <c r="D129" s="338">
        <f t="shared" si="28"/>
        <v>1.249006219062764</v>
      </c>
      <c r="E129" s="338">
        <f t="shared" si="29"/>
        <v>1.000157258706921</v>
      </c>
      <c r="F129" s="339">
        <f t="shared" si="30"/>
        <v>1.7733476878599642E-2</v>
      </c>
      <c r="G129" s="338">
        <f t="shared" si="31"/>
        <v>1</v>
      </c>
      <c r="H129" s="339">
        <f t="shared" si="32"/>
        <v>0</v>
      </c>
      <c r="I129" s="337">
        <f t="shared" si="33"/>
        <v>15582.196718836576</v>
      </c>
      <c r="J129" s="340">
        <f t="shared" si="34"/>
        <v>1.5707321509910142</v>
      </c>
      <c r="K129" s="348">
        <f t="shared" si="35"/>
        <v>3.0875407678844144</v>
      </c>
      <c r="L129" s="349">
        <f t="shared" si="36"/>
        <v>1.2409661507427152</v>
      </c>
      <c r="M129" s="337">
        <f t="shared" si="37"/>
        <v>1.0021701106148302</v>
      </c>
      <c r="N129" s="340">
        <f t="shared" si="38"/>
        <v>6.582086880608419E-2</v>
      </c>
      <c r="O129" s="341">
        <f t="shared" si="39"/>
        <v>1.0009690772482756</v>
      </c>
      <c r="P129" s="342">
        <f t="shared" si="40"/>
        <v>9.923667195288452E-2</v>
      </c>
      <c r="Q129" s="343">
        <f t="shared" si="41"/>
        <v>9.7544720440398009</v>
      </c>
      <c r="R129" s="344">
        <f t="shared" si="42"/>
        <v>-98.898032173094649</v>
      </c>
      <c r="S129" s="346">
        <f t="shared" si="43"/>
        <v>81.101967826905351</v>
      </c>
      <c r="U129" s="319">
        <f t="shared" si="50"/>
        <v>1000000000</v>
      </c>
      <c r="V129" s="319">
        <f t="shared" si="51"/>
        <v>47862874.890000001</v>
      </c>
      <c r="X129" s="345">
        <f t="shared" si="44"/>
        <v>23.628075840209281</v>
      </c>
      <c r="Y129" s="346">
        <f t="shared" si="45"/>
        <v>-22.665458053509564</v>
      </c>
      <c r="AA129" s="345">
        <f t="shared" si="46"/>
        <v>49.735517492993147</v>
      </c>
      <c r="AB129" s="346">
        <f t="shared" si="47"/>
        <v>-76.232574119585095</v>
      </c>
      <c r="AD129">
        <f t="shared" si="52"/>
        <v>0</v>
      </c>
      <c r="AE129">
        <f t="shared" si="53"/>
        <v>0</v>
      </c>
    </row>
    <row r="130" spans="1:31" x14ac:dyDescent="0.25">
      <c r="A130" s="347">
        <v>6998.9</v>
      </c>
      <c r="B130" s="364">
        <f t="shared" si="49"/>
        <v>6.9988999999999999</v>
      </c>
      <c r="C130" s="337">
        <f t="shared" si="27"/>
        <v>3.1950740026881594</v>
      </c>
      <c r="D130" s="338">
        <f t="shared" si="28"/>
        <v>1.2524653828378949</v>
      </c>
      <c r="E130" s="338">
        <f t="shared" si="29"/>
        <v>1.0001609439648145</v>
      </c>
      <c r="F130" s="339">
        <f t="shared" si="30"/>
        <v>1.7940032440262866E-2</v>
      </c>
      <c r="G130" s="338">
        <f t="shared" si="31"/>
        <v>1</v>
      </c>
      <c r="H130" s="339">
        <f t="shared" si="32"/>
        <v>0</v>
      </c>
      <c r="I130" s="337">
        <f t="shared" si="33"/>
        <v>15763.733375297763</v>
      </c>
      <c r="J130" s="340">
        <f t="shared" si="34"/>
        <v>1.5707328900456912</v>
      </c>
      <c r="K130" s="348">
        <f t="shared" si="35"/>
        <v>3.1197575805790487</v>
      </c>
      <c r="L130" s="349">
        <f t="shared" si="36"/>
        <v>1.2444992150052612</v>
      </c>
      <c r="M130" s="337">
        <f t="shared" si="37"/>
        <v>1.0022209135172795</v>
      </c>
      <c r="N130" s="340">
        <f t="shared" si="38"/>
        <v>6.6585447530947028E-2</v>
      </c>
      <c r="O130" s="341">
        <f t="shared" si="39"/>
        <v>1.0009919649967856</v>
      </c>
      <c r="P130" s="342">
        <f t="shared" si="40"/>
        <v>0.10039437917676496</v>
      </c>
      <c r="Q130" s="343">
        <f t="shared" si="41"/>
        <v>9.6527711128215721</v>
      </c>
      <c r="R130" s="344">
        <f t="shared" si="42"/>
        <v>-98.992144441845198</v>
      </c>
      <c r="S130" s="346">
        <f t="shared" si="43"/>
        <v>81.007855558154802</v>
      </c>
      <c r="U130" s="319">
        <f t="shared" si="50"/>
        <v>1000000000</v>
      </c>
      <c r="V130" s="319">
        <f t="shared" si="51"/>
        <v>48984601.209999993</v>
      </c>
      <c r="X130" s="345">
        <f t="shared" si="44"/>
        <v>23.617190540243502</v>
      </c>
      <c r="Y130" s="346">
        <f t="shared" si="45"/>
        <v>-22.506877861089936</v>
      </c>
      <c r="AA130" s="345">
        <f t="shared" si="46"/>
        <v>49.644701861740693</v>
      </c>
      <c r="AB130" s="346">
        <f t="shared" si="47"/>
        <v>-76.485266580755294</v>
      </c>
      <c r="AD130">
        <f t="shared" si="52"/>
        <v>0</v>
      </c>
      <c r="AE130">
        <f t="shared" si="53"/>
        <v>0</v>
      </c>
    </row>
    <row r="131" spans="1:31" x14ac:dyDescent="0.25">
      <c r="A131" s="347">
        <v>7079.5</v>
      </c>
      <c r="B131" s="364">
        <f t="shared" si="49"/>
        <v>7.0795000000000003</v>
      </c>
      <c r="C131" s="337">
        <f t="shared" si="27"/>
        <v>3.2282829798173598</v>
      </c>
      <c r="D131" s="338">
        <f t="shared" si="28"/>
        <v>1.2558534184189427</v>
      </c>
      <c r="E131" s="338">
        <f t="shared" si="29"/>
        <v>1.0001646718944595</v>
      </c>
      <c r="F131" s="339">
        <f t="shared" si="30"/>
        <v>1.8146586470943065E-2</v>
      </c>
      <c r="G131" s="338">
        <f t="shared" si="31"/>
        <v>1</v>
      </c>
      <c r="H131" s="339">
        <f t="shared" si="32"/>
        <v>0</v>
      </c>
      <c r="I131" s="337">
        <f t="shared" si="33"/>
        <v>15945.270031767366</v>
      </c>
      <c r="J131" s="340">
        <f t="shared" si="34"/>
        <v>1.5707336122721156</v>
      </c>
      <c r="K131" s="348">
        <f t="shared" si="35"/>
        <v>3.1520125394369063</v>
      </c>
      <c r="L131" s="349">
        <f t="shared" si="36"/>
        <v>1.2479600131114836</v>
      </c>
      <c r="M131" s="337">
        <f t="shared" si="37"/>
        <v>1.0022723022390647</v>
      </c>
      <c r="N131" s="340">
        <f t="shared" si="38"/>
        <v>6.7349948299393447E-2</v>
      </c>
      <c r="O131" s="341">
        <f t="shared" si="39"/>
        <v>1.0010151260520055</v>
      </c>
      <c r="P131" s="342">
        <f t="shared" si="40"/>
        <v>0.10155214065491561</v>
      </c>
      <c r="Q131" s="343">
        <f t="shared" si="41"/>
        <v>9.5522294645191543</v>
      </c>
      <c r="R131" s="344">
        <f t="shared" si="42"/>
        <v>-99.086319676527538</v>
      </c>
      <c r="S131" s="346">
        <f t="shared" si="43"/>
        <v>80.913680323472462</v>
      </c>
      <c r="U131" s="319">
        <f t="shared" si="50"/>
        <v>1000000000</v>
      </c>
      <c r="V131" s="319">
        <f t="shared" si="51"/>
        <v>50119320.25</v>
      </c>
      <c r="X131" s="345">
        <f t="shared" si="44"/>
        <v>23.606630987710545</v>
      </c>
      <c r="Y131" s="346">
        <f t="shared" si="45"/>
        <v>-22.352432783672509</v>
      </c>
      <c r="AA131" s="345">
        <f t="shared" si="46"/>
        <v>49.554719765971235</v>
      </c>
      <c r="AB131" s="346">
        <f t="shared" si="47"/>
        <v>-76.733886892855026</v>
      </c>
      <c r="AD131">
        <f t="shared" si="52"/>
        <v>0</v>
      </c>
      <c r="AE131">
        <f t="shared" si="53"/>
        <v>0</v>
      </c>
    </row>
    <row r="132" spans="1:31" x14ac:dyDescent="0.25">
      <c r="A132" s="347">
        <v>7161.95</v>
      </c>
      <c r="B132" s="364">
        <f t="shared" si="49"/>
        <v>7.16195</v>
      </c>
      <c r="C132" s="337">
        <f t="shared" si="27"/>
        <v>3.2622917502591049</v>
      </c>
      <c r="D132" s="338">
        <f t="shared" si="28"/>
        <v>1.2592478081709366</v>
      </c>
      <c r="E132" s="338">
        <f t="shared" si="29"/>
        <v>1.0001685295423797</v>
      </c>
      <c r="F132" s="339">
        <f t="shared" si="30"/>
        <v>1.8357879903594481E-2</v>
      </c>
      <c r="G132" s="338">
        <f t="shared" si="31"/>
        <v>1</v>
      </c>
      <c r="H132" s="339">
        <f t="shared" si="32"/>
        <v>0</v>
      </c>
      <c r="I132" s="337">
        <f t="shared" si="33"/>
        <v>16130.973472543998</v>
      </c>
      <c r="J132" s="340">
        <f t="shared" si="34"/>
        <v>1.5707343342559874</v>
      </c>
      <c r="K132" s="348">
        <f t="shared" si="35"/>
        <v>3.1850461028928509</v>
      </c>
      <c r="L132" s="349">
        <f t="shared" si="36"/>
        <v>1.251427677126616</v>
      </c>
      <c r="M132" s="337">
        <f t="shared" si="37"/>
        <v>1.0023254765276972</v>
      </c>
      <c r="N132" s="340">
        <f t="shared" si="38"/>
        <v>6.8131914961975987E-2</v>
      </c>
      <c r="O132" s="341">
        <f t="shared" si="39"/>
        <v>1.0010391018028688</v>
      </c>
      <c r="P132" s="342">
        <f t="shared" si="40"/>
        <v>0.1027365328240826</v>
      </c>
      <c r="Q132" s="343">
        <f t="shared" si="41"/>
        <v>9.4505518512294877</v>
      </c>
      <c r="R132" s="344">
        <f t="shared" si="42"/>
        <v>-99.182720577379442</v>
      </c>
      <c r="S132" s="346">
        <f t="shared" si="43"/>
        <v>80.817279422620558</v>
      </c>
      <c r="U132" s="319">
        <f t="shared" si="50"/>
        <v>1000000000</v>
      </c>
      <c r="V132" s="319">
        <f t="shared" si="51"/>
        <v>51293527.802499995</v>
      </c>
      <c r="X132" s="345">
        <f t="shared" si="44"/>
        <v>23.596151938617371</v>
      </c>
      <c r="Y132" s="346">
        <f t="shared" si="45"/>
        <v>-22.198595026774878</v>
      </c>
      <c r="AA132" s="345">
        <f t="shared" si="46"/>
        <v>49.463521201774739</v>
      </c>
      <c r="AB132" s="346">
        <f t="shared" si="47"/>
        <v>-76.984125550604546</v>
      </c>
      <c r="AD132">
        <f t="shared" si="52"/>
        <v>0</v>
      </c>
      <c r="AE132">
        <f t="shared" si="53"/>
        <v>0</v>
      </c>
    </row>
    <row r="133" spans="1:31" x14ac:dyDescent="0.25">
      <c r="A133" s="347">
        <v>7244.4</v>
      </c>
      <c r="B133" s="364">
        <f t="shared" si="49"/>
        <v>7.2443999999999997</v>
      </c>
      <c r="C133" s="337">
        <f t="shared" si="27"/>
        <v>3.296337332595324</v>
      </c>
      <c r="D133" s="338">
        <f t="shared" si="28"/>
        <v>1.2625721189734009</v>
      </c>
      <c r="E133" s="338">
        <f t="shared" si="29"/>
        <v>1.0001724318423928</v>
      </c>
      <c r="F133" s="339">
        <f t="shared" si="30"/>
        <v>1.8569171696902507E-2</v>
      </c>
      <c r="G133" s="338">
        <f t="shared" si="31"/>
        <v>1</v>
      </c>
      <c r="H133" s="339">
        <f t="shared" si="32"/>
        <v>0</v>
      </c>
      <c r="I133" s="337">
        <f t="shared" si="33"/>
        <v>16316.676913328847</v>
      </c>
      <c r="J133" s="340">
        <f t="shared" si="34"/>
        <v>1.5707350398057665</v>
      </c>
      <c r="K133" s="348">
        <f t="shared" si="35"/>
        <v>3.2181171790143663</v>
      </c>
      <c r="L133" s="349">
        <f t="shared" si="36"/>
        <v>1.2548241101834474</v>
      </c>
      <c r="M133" s="337">
        <f t="shared" si="37"/>
        <v>1.0023792636449103</v>
      </c>
      <c r="N133" s="340">
        <f t="shared" si="38"/>
        <v>6.8913798182817815E-2</v>
      </c>
      <c r="O133" s="341">
        <f t="shared" si="39"/>
        <v>1.0010633641529212</v>
      </c>
      <c r="P133" s="342">
        <f t="shared" si="40"/>
        <v>0.10392098303433796</v>
      </c>
      <c r="Q133" s="343">
        <f t="shared" si="41"/>
        <v>9.3500319750654413</v>
      </c>
      <c r="R133" s="344">
        <f t="shared" si="42"/>
        <v>-99.279185180445054</v>
      </c>
      <c r="S133" s="346">
        <f t="shared" si="43"/>
        <v>80.720814819554946</v>
      </c>
      <c r="U133" s="319">
        <f t="shared" si="50"/>
        <v>1000000000</v>
      </c>
      <c r="V133" s="319">
        <f t="shared" si="51"/>
        <v>52481331.359999992</v>
      </c>
      <c r="X133" s="345">
        <f t="shared" si="44"/>
        <v>23.585985716349352</v>
      </c>
      <c r="Y133" s="346">
        <f t="shared" si="45"/>
        <v>-22.048832780699506</v>
      </c>
      <c r="AA133" s="345">
        <f t="shared" si="46"/>
        <v>49.373167547878715</v>
      </c>
      <c r="AB133" s="346">
        <f t="shared" si="47"/>
        <v>-77.230352399745556</v>
      </c>
      <c r="AD133">
        <f t="shared" si="52"/>
        <v>0</v>
      </c>
      <c r="AE133">
        <f t="shared" si="53"/>
        <v>0</v>
      </c>
    </row>
    <row r="134" spans="1:31" x14ac:dyDescent="0.25">
      <c r="A134" s="347">
        <v>7328.75</v>
      </c>
      <c r="B134" s="364">
        <f t="shared" si="49"/>
        <v>7.3287500000000003</v>
      </c>
      <c r="C134" s="337">
        <f t="shared" si="27"/>
        <v>3.3312043876534863</v>
      </c>
      <c r="D134" s="338">
        <f t="shared" si="28"/>
        <v>1.2659026813273206</v>
      </c>
      <c r="E134" s="338">
        <f t="shared" si="29"/>
        <v>1.0001764702749245</v>
      </c>
      <c r="F134" s="339">
        <f t="shared" si="30"/>
        <v>1.8785330839088954E-2</v>
      </c>
      <c r="G134" s="338">
        <f t="shared" si="31"/>
        <v>1</v>
      </c>
      <c r="H134" s="339">
        <f t="shared" si="32"/>
        <v>0</v>
      </c>
      <c r="I134" s="337">
        <f t="shared" si="33"/>
        <v>16506.659754212771</v>
      </c>
      <c r="J134" s="340">
        <f t="shared" si="34"/>
        <v>1.5707357451862913</v>
      </c>
      <c r="K134" s="348">
        <f t="shared" si="35"/>
        <v>3.2519879797993996</v>
      </c>
      <c r="L134" s="349">
        <f t="shared" si="36"/>
        <v>1.2582272851722534</v>
      </c>
      <c r="M134" s="337">
        <f t="shared" si="37"/>
        <v>1.0024349243186397</v>
      </c>
      <c r="N134" s="340">
        <f t="shared" si="38"/>
        <v>6.9713612000146433E-2</v>
      </c>
      <c r="O134" s="341">
        <f t="shared" si="39"/>
        <v>1.0010884825160715</v>
      </c>
      <c r="P134" s="342">
        <f t="shared" si="40"/>
        <v>0.10513278876386517</v>
      </c>
      <c r="Q134" s="343">
        <f t="shared" si="41"/>
        <v>9.2483660419464275</v>
      </c>
      <c r="R134" s="344">
        <f t="shared" si="42"/>
        <v>-99.377937501836996</v>
      </c>
      <c r="S134" s="346">
        <f t="shared" si="43"/>
        <v>80.622062498163004</v>
      </c>
      <c r="U134" s="319">
        <f t="shared" si="50"/>
        <v>1000000000</v>
      </c>
      <c r="V134" s="319">
        <f t="shared" si="51"/>
        <v>53710576.5625</v>
      </c>
      <c r="X134" s="345">
        <f t="shared" si="44"/>
        <v>23.575895268390266</v>
      </c>
      <c r="Y134" s="346">
        <f t="shared" si="45"/>
        <v>-21.899711588182253</v>
      </c>
      <c r="AA134" s="345">
        <f t="shared" si="46"/>
        <v>49.281592062718786</v>
      </c>
      <c r="AB134" s="346">
        <f t="shared" si="47"/>
        <v>-77.478225913654768</v>
      </c>
      <c r="AD134">
        <f t="shared" si="52"/>
        <v>0</v>
      </c>
      <c r="AE134">
        <f t="shared" si="53"/>
        <v>0</v>
      </c>
    </row>
    <row r="135" spans="1:31" x14ac:dyDescent="0.25">
      <c r="A135" s="347">
        <v>7413.1</v>
      </c>
      <c r="B135" s="364">
        <f t="shared" si="49"/>
        <v>7.4131</v>
      </c>
      <c r="C135" s="337">
        <f t="shared" si="27"/>
        <v>3.3661076288301746</v>
      </c>
      <c r="D135" s="338">
        <f t="shared" si="28"/>
        <v>1.2691642098949285</v>
      </c>
      <c r="E135" s="338">
        <f t="shared" si="29"/>
        <v>1.000180555440098</v>
      </c>
      <c r="F135" s="339">
        <f t="shared" si="30"/>
        <v>1.9001488225602457E-2</v>
      </c>
      <c r="G135" s="338">
        <f t="shared" si="31"/>
        <v>1</v>
      </c>
      <c r="H135" s="339">
        <f t="shared" si="32"/>
        <v>0</v>
      </c>
      <c r="I135" s="337">
        <f t="shared" si="33"/>
        <v>16696.642595104717</v>
      </c>
      <c r="J135" s="340">
        <f t="shared" si="34"/>
        <v>1.5707364345144634</v>
      </c>
      <c r="K135" s="348">
        <f t="shared" si="35"/>
        <v>3.2858956670969053</v>
      </c>
      <c r="L135" s="349">
        <f t="shared" si="36"/>
        <v>1.2615602622783784</v>
      </c>
      <c r="M135" s="337">
        <f t="shared" si="37"/>
        <v>1.0024912261806902</v>
      </c>
      <c r="N135" s="340">
        <f t="shared" si="38"/>
        <v>7.0513336490805739E-2</v>
      </c>
      <c r="O135" s="341">
        <f t="shared" si="39"/>
        <v>1.0011139014991217</v>
      </c>
      <c r="P135" s="342">
        <f t="shared" si="40"/>
        <v>0.10634465659348777</v>
      </c>
      <c r="Q135" s="343">
        <f t="shared" si="41"/>
        <v>9.1478565126160447</v>
      </c>
      <c r="R135" s="344">
        <f t="shared" si="42"/>
        <v>-99.476754141930769</v>
      </c>
      <c r="S135" s="346">
        <f t="shared" si="43"/>
        <v>80.523245858069231</v>
      </c>
      <c r="U135" s="319">
        <f t="shared" si="50"/>
        <v>1000000000</v>
      </c>
      <c r="V135" s="319">
        <f t="shared" si="51"/>
        <v>54954051.610000007</v>
      </c>
      <c r="X135" s="345">
        <f t="shared" si="44"/>
        <v>23.566105170800704</v>
      </c>
      <c r="Y135" s="346">
        <f t="shared" si="45"/>
        <v>-21.754606400304741</v>
      </c>
      <c r="AA135" s="345">
        <f t="shared" si="46"/>
        <v>49.190872630977971</v>
      </c>
      <c r="AB135" s="346">
        <f t="shared" si="47"/>
        <v>-77.722147741626046</v>
      </c>
      <c r="AD135">
        <f t="shared" si="52"/>
        <v>0</v>
      </c>
      <c r="AE135">
        <f t="shared" si="53"/>
        <v>0</v>
      </c>
    </row>
    <row r="136" spans="1:31" x14ac:dyDescent="0.25">
      <c r="A136" s="347">
        <v>7499.45</v>
      </c>
      <c r="B136" s="364">
        <f t="shared" si="49"/>
        <v>7.4994499999999995</v>
      </c>
      <c r="C136" s="337">
        <f t="shared" si="27"/>
        <v>3.401874771731157</v>
      </c>
      <c r="D136" s="338">
        <f t="shared" si="28"/>
        <v>1.2724337103558805</v>
      </c>
      <c r="E136" s="338">
        <f t="shared" si="29"/>
        <v>1.0001847858747939</v>
      </c>
      <c r="F136" s="339">
        <f t="shared" si="30"/>
        <v>1.9222769021676366E-2</v>
      </c>
      <c r="G136" s="338">
        <f t="shared" si="31"/>
        <v>1</v>
      </c>
      <c r="H136" s="339">
        <f t="shared" si="32"/>
        <v>0</v>
      </c>
      <c r="I136" s="337">
        <f t="shared" si="33"/>
        <v>16891.130067679667</v>
      </c>
      <c r="J136" s="340">
        <f t="shared" si="34"/>
        <v>1.570737124124822</v>
      </c>
      <c r="K136" s="348">
        <f t="shared" si="35"/>
        <v>3.3206443594444353</v>
      </c>
      <c r="L136" s="349">
        <f t="shared" si="36"/>
        <v>1.2649017214277325</v>
      </c>
      <c r="M136" s="337">
        <f t="shared" si="37"/>
        <v>1.0025495270612728</v>
      </c>
      <c r="N136" s="340">
        <f t="shared" si="38"/>
        <v>7.1331929451262446E-2</v>
      </c>
      <c r="O136" s="341">
        <f t="shared" si="39"/>
        <v>1.0011402349352914</v>
      </c>
      <c r="P136" s="342">
        <f t="shared" si="40"/>
        <v>0.10758532373186712</v>
      </c>
      <c r="Q136" s="343">
        <f t="shared" si="41"/>
        <v>9.046133972819522</v>
      </c>
      <c r="R136" s="344">
        <f t="shared" si="42"/>
        <v>-99.577979181545416</v>
      </c>
      <c r="S136" s="346">
        <f t="shared" si="43"/>
        <v>80.422020818454584</v>
      </c>
      <c r="U136" s="319">
        <f t="shared" si="50"/>
        <v>1000000000</v>
      </c>
      <c r="V136" s="319">
        <f t="shared" si="51"/>
        <v>56241750.302499995</v>
      </c>
      <c r="X136" s="345">
        <f t="shared" si="44"/>
        <v>23.556380852629012</v>
      </c>
      <c r="Y136" s="346">
        <f t="shared" si="45"/>
        <v>-21.610096327002594</v>
      </c>
      <c r="AA136" s="345">
        <f t="shared" si="46"/>
        <v>49.098874409353137</v>
      </c>
      <c r="AB136" s="346">
        <f t="shared" si="47"/>
        <v>-77.967882854542836</v>
      </c>
      <c r="AD136">
        <f t="shared" si="52"/>
        <v>0</v>
      </c>
      <c r="AE136">
        <f t="shared" si="53"/>
        <v>0</v>
      </c>
    </row>
    <row r="137" spans="1:31" x14ac:dyDescent="0.25">
      <c r="A137" s="347">
        <v>7585.8</v>
      </c>
      <c r="B137" s="364">
        <f t="shared" si="49"/>
        <v>7.5857999999999999</v>
      </c>
      <c r="C137" s="337">
        <f t="shared" si="27"/>
        <v>3.4376775224905503</v>
      </c>
      <c r="D137" s="338">
        <f t="shared" si="28"/>
        <v>1.2756351420097058</v>
      </c>
      <c r="E137" s="338">
        <f t="shared" si="29"/>
        <v>1.0001890652833128</v>
      </c>
      <c r="F137" s="339">
        <f t="shared" si="30"/>
        <v>1.9444047935041321E-2</v>
      </c>
      <c r="G137" s="338">
        <f t="shared" si="31"/>
        <v>1</v>
      </c>
      <c r="H137" s="339">
        <f t="shared" si="32"/>
        <v>0</v>
      </c>
      <c r="I137" s="337">
        <f t="shared" si="33"/>
        <v>17085.617540262469</v>
      </c>
      <c r="J137" s="340">
        <f t="shared" si="34"/>
        <v>1.5707377980353587</v>
      </c>
      <c r="K137" s="348">
        <f t="shared" si="35"/>
        <v>3.3554293597890923</v>
      </c>
      <c r="L137" s="349">
        <f t="shared" si="36"/>
        <v>1.2681739361356859</v>
      </c>
      <c r="M137" s="337">
        <f t="shared" si="37"/>
        <v>1.002608499666322</v>
      </c>
      <c r="N137" s="340">
        <f t="shared" si="38"/>
        <v>7.2150426662210471E-2</v>
      </c>
      <c r="O137" s="341">
        <f t="shared" si="39"/>
        <v>1.0011668841398844</v>
      </c>
      <c r="P137" s="342">
        <f t="shared" si="40"/>
        <v>0.10882605739675857</v>
      </c>
      <c r="Q137" s="343">
        <f t="shared" si="41"/>
        <v>8.9455679938809425</v>
      </c>
      <c r="R137" s="344">
        <f t="shared" si="42"/>
        <v>-99.679269114025701</v>
      </c>
      <c r="S137" s="346">
        <f t="shared" si="43"/>
        <v>80.320730885974299</v>
      </c>
      <c r="U137" s="319">
        <f t="shared" si="50"/>
        <v>1000000000</v>
      </c>
      <c r="V137" s="319">
        <f t="shared" si="51"/>
        <v>57544361.640000001</v>
      </c>
      <c r="X137" s="345">
        <f t="shared" si="44"/>
        <v>23.546945154885293</v>
      </c>
      <c r="Y137" s="346">
        <f t="shared" si="45"/>
        <v>-21.469547282375704</v>
      </c>
      <c r="AA137" s="345">
        <f t="shared" si="46"/>
        <v>49.007744128158272</v>
      </c>
      <c r="AB137" s="346">
        <f t="shared" si="47"/>
        <v>-78.209721831649986</v>
      </c>
      <c r="AD137">
        <f t="shared" si="52"/>
        <v>0</v>
      </c>
      <c r="AE137">
        <f t="shared" si="53"/>
        <v>0</v>
      </c>
    </row>
    <row r="138" spans="1:31" x14ac:dyDescent="0.25">
      <c r="A138" s="347">
        <v>7674.15</v>
      </c>
      <c r="B138" s="364">
        <f t="shared" si="49"/>
        <v>7.67415</v>
      </c>
      <c r="C138" s="337">
        <f t="shared" si="27"/>
        <v>3.474345226878524</v>
      </c>
      <c r="D138" s="338">
        <f t="shared" si="28"/>
        <v>1.2788423993080904</v>
      </c>
      <c r="E138" s="338">
        <f t="shared" si="29"/>
        <v>1.0001934944973423</v>
      </c>
      <c r="F138" s="339">
        <f t="shared" si="30"/>
        <v>1.9670450040226061E-2</v>
      </c>
      <c r="G138" s="338">
        <f t="shared" si="31"/>
        <v>1</v>
      </c>
      <c r="H138" s="339">
        <f t="shared" si="32"/>
        <v>0</v>
      </c>
      <c r="I138" s="337">
        <f t="shared" si="33"/>
        <v>17284.609644528457</v>
      </c>
      <c r="J138" s="340">
        <f t="shared" si="34"/>
        <v>1.5707384718579831</v>
      </c>
      <c r="K138" s="348">
        <f t="shared" si="35"/>
        <v>3.3910564485011401</v>
      </c>
      <c r="L138" s="349">
        <f t="shared" si="36"/>
        <v>1.2714524222852759</v>
      </c>
      <c r="M138" s="337">
        <f t="shared" si="37"/>
        <v>1.0026695332867048</v>
      </c>
      <c r="N138" s="340">
        <f t="shared" si="38"/>
        <v>7.2987781310859964E-2</v>
      </c>
      <c r="O138" s="341">
        <f t="shared" si="39"/>
        <v>1.0011944777934441</v>
      </c>
      <c r="P138" s="342">
        <f t="shared" si="40"/>
        <v>0.11009559799573258</v>
      </c>
      <c r="Q138" s="343">
        <f t="shared" si="41"/>
        <v>8.843842095945222</v>
      </c>
      <c r="R138" s="344">
        <f t="shared" si="42"/>
        <v>-99.782970929248108</v>
      </c>
      <c r="S138" s="346">
        <f t="shared" si="43"/>
        <v>80.217029070751892</v>
      </c>
      <c r="U138" s="319">
        <f t="shared" si="50"/>
        <v>1000000000</v>
      </c>
      <c r="V138" s="319">
        <f t="shared" si="51"/>
        <v>58892578.222499996</v>
      </c>
      <c r="X138" s="345">
        <f t="shared" si="44"/>
        <v>23.537576890596799</v>
      </c>
      <c r="Y138" s="346">
        <f t="shared" si="45"/>
        <v>-21.329719357168116</v>
      </c>
      <c r="AA138" s="345">
        <f t="shared" si="46"/>
        <v>48.915386494511054</v>
      </c>
      <c r="AB138" s="346">
        <f t="shared" si="47"/>
        <v>-78.453251572079978</v>
      </c>
      <c r="AD138">
        <f t="shared" si="52"/>
        <v>0</v>
      </c>
      <c r="AE138">
        <f t="shared" si="53"/>
        <v>0</v>
      </c>
    </row>
    <row r="139" spans="1:31" x14ac:dyDescent="0.25">
      <c r="A139" s="347">
        <v>7762.5</v>
      </c>
      <c r="B139" s="364">
        <f t="shared" si="49"/>
        <v>7.7625000000000002</v>
      </c>
      <c r="C139" s="337">
        <f t="shared" si="27"/>
        <v>3.5110479234258101</v>
      </c>
      <c r="D139" s="338">
        <f t="shared" si="28"/>
        <v>1.2819826342983862</v>
      </c>
      <c r="E139" s="338">
        <f t="shared" si="29"/>
        <v>1.0001979749787473</v>
      </c>
      <c r="F139" s="339">
        <f t="shared" si="30"/>
        <v>1.9896850128636238E-2</v>
      </c>
      <c r="G139" s="338">
        <f t="shared" si="31"/>
        <v>1</v>
      </c>
      <c r="H139" s="339">
        <f t="shared" si="32"/>
        <v>0</v>
      </c>
      <c r="I139" s="337">
        <f t="shared" si="33"/>
        <v>17483.601748802117</v>
      </c>
      <c r="J139" s="340">
        <f t="shared" si="34"/>
        <v>1.5707391303421911</v>
      </c>
      <c r="K139" s="348">
        <f t="shared" si="35"/>
        <v>3.4267192277579817</v>
      </c>
      <c r="L139" s="349">
        <f t="shared" si="36"/>
        <v>1.2746627021884103</v>
      </c>
      <c r="M139" s="337">
        <f t="shared" si="37"/>
        <v>1.0027312698558015</v>
      </c>
      <c r="N139" s="340">
        <f t="shared" si="38"/>
        <v>7.3825033437312337E-2</v>
      </c>
      <c r="O139" s="341">
        <f t="shared" si="39"/>
        <v>1.0012224028053904</v>
      </c>
      <c r="P139" s="342">
        <f t="shared" si="40"/>
        <v>0.1113652097833471</v>
      </c>
      <c r="Q139" s="343">
        <f t="shared" si="41"/>
        <v>8.7432716557283801</v>
      </c>
      <c r="R139" s="344">
        <f t="shared" si="42"/>
        <v>-99.886738020587813</v>
      </c>
      <c r="S139" s="346">
        <f t="shared" si="43"/>
        <v>80.113261979412187</v>
      </c>
      <c r="U139" s="319">
        <f t="shared" si="50"/>
        <v>1000000000</v>
      </c>
      <c r="V139" s="319">
        <f t="shared" si="51"/>
        <v>60256406.25</v>
      </c>
      <c r="X139" s="345">
        <f t="shared" si="44"/>
        <v>23.528485553528785</v>
      </c>
      <c r="Y139" s="346">
        <f t="shared" si="45"/>
        <v>-21.1937926091076</v>
      </c>
      <c r="AA139" s="345">
        <f t="shared" si="46"/>
        <v>48.823907391362226</v>
      </c>
      <c r="AB139" s="346">
        <f t="shared" si="47"/>
        <v>-78.692945411480196</v>
      </c>
      <c r="AD139">
        <f t="shared" si="52"/>
        <v>0</v>
      </c>
      <c r="AE139">
        <f t="shared" si="53"/>
        <v>0</v>
      </c>
    </row>
    <row r="140" spans="1:31" x14ac:dyDescent="0.25">
      <c r="A140" s="347">
        <v>7852.9</v>
      </c>
      <c r="B140" s="364">
        <f t="shared" si="49"/>
        <v>7.8529</v>
      </c>
      <c r="C140" s="337">
        <f t="shared" si="27"/>
        <v>3.5486373257982313</v>
      </c>
      <c r="D140" s="338">
        <f t="shared" si="28"/>
        <v>1.2851284652497437</v>
      </c>
      <c r="E140" s="338">
        <f t="shared" si="29"/>
        <v>1.000202612486327</v>
      </c>
      <c r="F140" s="339">
        <f t="shared" si="30"/>
        <v>2.0128501304916321E-2</v>
      </c>
      <c r="G140" s="338">
        <f t="shared" si="31"/>
        <v>1</v>
      </c>
      <c r="H140" s="339">
        <f t="shared" si="32"/>
        <v>0</v>
      </c>
      <c r="I140" s="337">
        <f t="shared" si="33"/>
        <v>17687.211100551023</v>
      </c>
      <c r="J140" s="340">
        <f t="shared" si="34"/>
        <v>1.5707397887689269</v>
      </c>
      <c r="K140" s="348">
        <f t="shared" si="35"/>
        <v>3.4632452887943339</v>
      </c>
      <c r="L140" s="349">
        <f t="shared" si="36"/>
        <v>1.2778790021577526</v>
      </c>
      <c r="M140" s="337">
        <f t="shared" si="37"/>
        <v>1.0027951663774255</v>
      </c>
      <c r="N140" s="340">
        <f t="shared" si="38"/>
        <v>7.4681605143964061E-2</v>
      </c>
      <c r="O140" s="341">
        <f t="shared" si="39"/>
        <v>1.0012513191721504</v>
      </c>
      <c r="P140" s="342">
        <f t="shared" si="40"/>
        <v>0.11266435508634534</v>
      </c>
      <c r="Q140" s="343">
        <f t="shared" si="41"/>
        <v>8.6415359608874915</v>
      </c>
      <c r="R140" s="344">
        <f t="shared" si="42"/>
        <v>-99.992979020222748</v>
      </c>
      <c r="S140" s="346">
        <f t="shared" si="43"/>
        <v>80.007020979777252</v>
      </c>
      <c r="U140" s="319">
        <f t="shared" si="50"/>
        <v>1000000000</v>
      </c>
      <c r="V140" s="319">
        <f t="shared" si="51"/>
        <v>61668038.409999996</v>
      </c>
      <c r="X140" s="345">
        <f t="shared" si="44"/>
        <v>23.519457619251799</v>
      </c>
      <c r="Y140" s="346">
        <f t="shared" si="45"/>
        <v>-21.058627863776323</v>
      </c>
      <c r="AA140" s="345">
        <f t="shared" si="46"/>
        <v>48.731199630798315</v>
      </c>
      <c r="AB140" s="346">
        <f t="shared" si="47"/>
        <v>-78.934351156446411</v>
      </c>
      <c r="AD140">
        <f t="shared" si="52"/>
        <v>0</v>
      </c>
      <c r="AE140">
        <f t="shared" si="53"/>
        <v>0</v>
      </c>
    </row>
    <row r="141" spans="1:31" x14ac:dyDescent="0.25">
      <c r="A141" s="347">
        <v>7943.3</v>
      </c>
      <c r="B141" s="364">
        <f t="shared" si="49"/>
        <v>7.9432999999999998</v>
      </c>
      <c r="C141" s="337">
        <f t="shared" ref="C141:C204" si="54">SQRT(1+(A141/pole1)^2)</f>
        <v>3.5862611099978126</v>
      </c>
      <c r="D141" s="338">
        <f t="shared" ref="D141:D204" si="55">ATAN(A141/pole1)</f>
        <v>1.2882083197651579</v>
      </c>
      <c r="E141" s="338">
        <f t="shared" ref="E141:E204" si="56">SQRT(1+(A141/Zero1)^2)</f>
        <v>1.0002073036665473</v>
      </c>
      <c r="F141" s="339">
        <f t="shared" ref="F141:F204" si="57">ATAN(A141/Zero1)</f>
        <v>2.0360150320642759E-2</v>
      </c>
      <c r="G141" s="338">
        <f t="shared" ref="G141:G204" si="58">IF(VIN_nom&gt;Vout, 1, SQRT(1+(A141/z_RHP)^2))</f>
        <v>1</v>
      </c>
      <c r="H141" s="339">
        <f t="shared" ref="H141:H204" si="59">IF(VIN_nom&gt;Vout, 0, -ATAN(A141/z_RHP))</f>
        <v>0</v>
      </c>
      <c r="I141" s="337">
        <f t="shared" ref="I141:I204" si="60">SQRT(1+(A141/Pole2)^2)</f>
        <v>17890.820452307431</v>
      </c>
      <c r="J141" s="340">
        <f t="shared" ref="J141:J204" si="61">ATAN(A141/Pole2)</f>
        <v>1.5707404322090006</v>
      </c>
      <c r="K141" s="348">
        <f t="shared" ref="K141:K147" si="62">SQRT(1+(A141/Zero2)^2)</f>
        <v>3.4998064276546579</v>
      </c>
      <c r="L141" s="349">
        <f t="shared" ref="L141:L147" si="63">ATAN(A141/Zero2)</f>
        <v>1.2810281352282955</v>
      </c>
      <c r="M141" s="337">
        <f t="shared" ref="M141:M204" si="64">SQRT(1+(A141/pole4)^2)</f>
        <v>1.0028597985709216</v>
      </c>
      <c r="N141" s="340">
        <f t="shared" ref="N141:N204" si="65">ATAN(A141/pole4)</f>
        <v>7.5538067070477083E-2</v>
      </c>
      <c r="O141" s="341">
        <f t="shared" ref="O141:O204" si="66">SQRT((1-(V141/pterm2))^2+(A141/pterm1)^2)</f>
        <v>1.0012805833220568</v>
      </c>
      <c r="P141" s="342">
        <f t="shared" ref="P141:P204" si="67">IF((ATAN((A141/pterm1)/(1-A141^2/pterm2))&gt;0),ATAN((A141/pterm1)/(1-A141^2/pterm2)),PI()+ATAN((A141/pterm1)/(1-A141^2/pterm2)))</f>
        <v>0.11396357656884215</v>
      </c>
      <c r="Q141" s="343">
        <f t="shared" ref="Q141:Q204" si="68">20*LOG10(((E141*K141*G141)/(C141*I141*O141*M141))*Adc)</f>
        <v>8.5409547091165177</v>
      </c>
      <c r="R141" s="344">
        <f t="shared" ref="R141:R204" si="69">((F141+L141+H141)-(D141+J141+P141+N141))*radconv</f>
        <v>-100.0992855682983</v>
      </c>
      <c r="S141" s="346">
        <f t="shared" ref="S141:S204" si="70">IF(R141&gt;0,R141,R141+180)</f>
        <v>79.900714431701701</v>
      </c>
      <c r="U141" s="319">
        <f t="shared" si="50"/>
        <v>1000000000</v>
      </c>
      <c r="V141" s="319">
        <f t="shared" si="51"/>
        <v>63096014.890000001</v>
      </c>
      <c r="X141" s="345">
        <f t="shared" ref="X141:X204" si="71">20*LOG10((K141/(I141*M141))*AEA)</f>
        <v>23.510695300080183</v>
      </c>
      <c r="Y141" s="346">
        <f t="shared" ref="Y141:Y204" si="72">(L141-(J141+N141))*radconv</f>
        <v>-20.927304349662514</v>
      </c>
      <c r="AA141" s="345">
        <f t="shared" ref="AA141:AA204" si="73">20*LOG10((E141*G141/(C141*O141))*Acs*Am)</f>
        <v>48.639380698198963</v>
      </c>
      <c r="AB141" s="346">
        <f t="shared" ref="AB141:AB204" si="74">(F141+H141-(D141+P141))*radconv</f>
        <v>-79.171981218635793</v>
      </c>
      <c r="AD141">
        <f t="shared" si="52"/>
        <v>0</v>
      </c>
      <c r="AE141">
        <f t="shared" si="53"/>
        <v>0</v>
      </c>
    </row>
    <row r="142" spans="1:31" x14ac:dyDescent="0.25">
      <c r="A142" s="347">
        <v>8035.8</v>
      </c>
      <c r="B142" s="364">
        <f t="shared" ref="B142:B205" si="75">A142/1000</f>
        <v>8.0358000000000001</v>
      </c>
      <c r="C142" s="337">
        <f t="shared" si="54"/>
        <v>3.6247933703906372</v>
      </c>
      <c r="D142" s="338">
        <f t="shared" si="55"/>
        <v>1.2912935094317244</v>
      </c>
      <c r="E142" s="338">
        <f t="shared" si="56"/>
        <v>1.0002121593798645</v>
      </c>
      <c r="F142" s="339">
        <f t="shared" si="57"/>
        <v>2.0597178301181521E-2</v>
      </c>
      <c r="G142" s="338">
        <f t="shared" si="58"/>
        <v>1</v>
      </c>
      <c r="H142" s="339">
        <f t="shared" si="59"/>
        <v>0</v>
      </c>
      <c r="I142" s="337">
        <f t="shared" si="60"/>
        <v>18099.159667331154</v>
      </c>
      <c r="J142" s="340">
        <f t="shared" si="61"/>
        <v>1.5707410756109252</v>
      </c>
      <c r="K142" s="348">
        <f t="shared" si="62"/>
        <v>3.5372520599713502</v>
      </c>
      <c r="L142" s="349">
        <f t="shared" si="63"/>
        <v>1.2841830059048682</v>
      </c>
      <c r="M142" s="337">
        <f t="shared" si="64"/>
        <v>1.0029266935325736</v>
      </c>
      <c r="N142" s="340">
        <f t="shared" si="65"/>
        <v>7.6414309759878188E-2</v>
      </c>
      <c r="O142" s="341">
        <f t="shared" si="66"/>
        <v>1.0013108877427177</v>
      </c>
      <c r="P142" s="342">
        <f t="shared" si="67"/>
        <v>0.11529305880339279</v>
      </c>
      <c r="Q142" s="343">
        <f t="shared" si="68"/>
        <v>8.4392042603363411</v>
      </c>
      <c r="R142" s="344">
        <f t="shared" si="69"/>
        <v>-100.20812803084979</v>
      </c>
      <c r="S142" s="346">
        <f t="shared" si="70"/>
        <v>79.791871969150208</v>
      </c>
      <c r="U142" s="319">
        <f t="shared" ref="U142:U205" si="76">IF(Q142&lt;0,A142,1000000000)</f>
        <v>1000000000</v>
      </c>
      <c r="V142" s="319">
        <f t="shared" ref="V142:V205" si="77">A142^2</f>
        <v>64574081.640000001</v>
      </c>
      <c r="X142" s="345">
        <f t="shared" si="71"/>
        <v>23.501992528029206</v>
      </c>
      <c r="Y142" s="346">
        <f t="shared" si="72"/>
        <v>-20.796785446982863</v>
      </c>
      <c r="AA142" s="345">
        <f t="shared" si="73"/>
        <v>48.546333021469763</v>
      </c>
      <c r="AB142" s="346">
        <f t="shared" si="74"/>
        <v>-79.411342583866926</v>
      </c>
      <c r="AD142">
        <f t="shared" ref="AD142:AD205" si="78">SUM((Q143&lt;0)*(Q142&gt;0))*A142</f>
        <v>0</v>
      </c>
      <c r="AE142">
        <f t="shared" si="53"/>
        <v>0</v>
      </c>
    </row>
    <row r="143" spans="1:31" x14ac:dyDescent="0.25">
      <c r="A143" s="347">
        <v>8128.3</v>
      </c>
      <c r="B143" s="364">
        <f t="shared" si="75"/>
        <v>8.1282999999999994</v>
      </c>
      <c r="C143" s="337">
        <f t="shared" si="54"/>
        <v>3.6633594070020465</v>
      </c>
      <c r="D143" s="338">
        <f t="shared" si="55"/>
        <v>1.2943137686413422</v>
      </c>
      <c r="E143" s="338">
        <f t="shared" si="56"/>
        <v>1.0002170712868172</v>
      </c>
      <c r="F143" s="339">
        <f t="shared" si="57"/>
        <v>2.0834203967023391E-2</v>
      </c>
      <c r="G143" s="338">
        <f t="shared" si="58"/>
        <v>1</v>
      </c>
      <c r="H143" s="339">
        <f t="shared" si="59"/>
        <v>0</v>
      </c>
      <c r="I143" s="337">
        <f t="shared" si="60"/>
        <v>18307.498882362201</v>
      </c>
      <c r="J143" s="340">
        <f t="shared" si="61"/>
        <v>1.5707417043690304</v>
      </c>
      <c r="K143" s="348">
        <f t="shared" si="62"/>
        <v>3.5747321615021406</v>
      </c>
      <c r="L143" s="349">
        <f t="shared" si="63"/>
        <v>1.2872717508551696</v>
      </c>
      <c r="M143" s="337">
        <f t="shared" si="64"/>
        <v>1.0029943584395333</v>
      </c>
      <c r="N143" s="340">
        <f t="shared" si="65"/>
        <v>7.7290434894150162E-2</v>
      </c>
      <c r="O143" s="341">
        <f t="shared" si="66"/>
        <v>1.0013415572448918</v>
      </c>
      <c r="P143" s="342">
        <f t="shared" si="67"/>
        <v>0.11662262255785957</v>
      </c>
      <c r="Q143" s="343">
        <f t="shared" si="68"/>
        <v>8.3386072927771995</v>
      </c>
      <c r="R143" s="344">
        <f t="shared" si="69"/>
        <v>-100.31703620621661</v>
      </c>
      <c r="S143" s="346">
        <f t="shared" si="70"/>
        <v>79.682963793783387</v>
      </c>
      <c r="U143" s="319">
        <f t="shared" si="76"/>
        <v>1000000000</v>
      </c>
      <c r="V143" s="319">
        <f t="shared" si="77"/>
        <v>66069260.890000001</v>
      </c>
      <c r="X143" s="345">
        <f t="shared" si="71"/>
        <v>23.493544422576036</v>
      </c>
      <c r="Y143" s="346">
        <f t="shared" si="72"/>
        <v>-20.670047694898301</v>
      </c>
      <c r="AA143" s="345">
        <f t="shared" si="73"/>
        <v>48.454184159363791</v>
      </c>
      <c r="AB143" s="346">
        <f t="shared" si="74"/>
        <v>-79.646988511318327</v>
      </c>
      <c r="AD143">
        <f t="shared" si="78"/>
        <v>0</v>
      </c>
      <c r="AE143">
        <f t="shared" si="53"/>
        <v>0</v>
      </c>
    </row>
    <row r="144" spans="1:31" x14ac:dyDescent="0.25">
      <c r="A144" s="347">
        <v>8222.9500000000007</v>
      </c>
      <c r="B144" s="364">
        <f t="shared" si="75"/>
        <v>8.2229500000000009</v>
      </c>
      <c r="C144" s="337">
        <f t="shared" si="54"/>
        <v>3.7028557054198719</v>
      </c>
      <c r="D144" s="338">
        <f t="shared" si="55"/>
        <v>1.2973390764707866</v>
      </c>
      <c r="E144" s="338">
        <f t="shared" si="56"/>
        <v>1.000222155529553</v>
      </c>
      <c r="F144" s="339">
        <f t="shared" si="57"/>
        <v>2.1076736454301265E-2</v>
      </c>
      <c r="G144" s="338">
        <f t="shared" si="58"/>
        <v>1</v>
      </c>
      <c r="H144" s="339">
        <f t="shared" si="59"/>
        <v>0</v>
      </c>
      <c r="I144" s="337">
        <f t="shared" si="60"/>
        <v>18520.68057645264</v>
      </c>
      <c r="J144" s="340">
        <f t="shared" si="61"/>
        <v>1.5707423330986954</v>
      </c>
      <c r="K144" s="348">
        <f t="shared" si="62"/>
        <v>3.6131179834591363</v>
      </c>
      <c r="L144" s="349">
        <f t="shared" si="63"/>
        <v>1.2903659253449753</v>
      </c>
      <c r="M144" s="337">
        <f t="shared" si="64"/>
        <v>1.00306439293316</v>
      </c>
      <c r="N144" s="340">
        <f t="shared" si="65"/>
        <v>7.8186800954505767E-2</v>
      </c>
      <c r="O144" s="341">
        <f t="shared" si="66"/>
        <v>1.0013733180256028</v>
      </c>
      <c r="P144" s="342">
        <f t="shared" si="67"/>
        <v>0.11798317499603649</v>
      </c>
      <c r="Q144" s="343">
        <f t="shared" si="68"/>
        <v>8.236838484665526</v>
      </c>
      <c r="R144" s="344">
        <f t="shared" si="69"/>
        <v>-100.42854227766753</v>
      </c>
      <c r="S144" s="346">
        <f t="shared" si="70"/>
        <v>79.571457722332468</v>
      </c>
      <c r="U144" s="319">
        <f t="shared" si="76"/>
        <v>1000000000</v>
      </c>
      <c r="V144" s="319">
        <f t="shared" si="77"/>
        <v>67616906.702500015</v>
      </c>
      <c r="X144" s="345">
        <f t="shared" si="71"/>
        <v>23.485152156082641</v>
      </c>
      <c r="Y144" s="346">
        <f t="shared" si="72"/>
        <v>-20.544158571124946</v>
      </c>
      <c r="AA144" s="345">
        <f t="shared" si="73"/>
        <v>48.360807617745508</v>
      </c>
      <c r="AB144" s="346">
        <f t="shared" si="74"/>
        <v>-79.884383706542579</v>
      </c>
      <c r="AD144">
        <f t="shared" si="78"/>
        <v>0</v>
      </c>
      <c r="AE144">
        <f t="shared" si="53"/>
        <v>0</v>
      </c>
    </row>
    <row r="145" spans="1:31" x14ac:dyDescent="0.25">
      <c r="A145" s="347">
        <v>8270.2750000000015</v>
      </c>
      <c r="B145" s="364">
        <f t="shared" si="75"/>
        <v>8.2702750000000016</v>
      </c>
      <c r="C145" s="337">
        <f t="shared" si="54"/>
        <v>3.7226163612168133</v>
      </c>
      <c r="D145" s="338">
        <f t="shared" si="55"/>
        <v>1.2988276500985527</v>
      </c>
      <c r="E145" s="338">
        <f t="shared" si="56"/>
        <v>1.0002247197139054</v>
      </c>
      <c r="F145" s="339">
        <f t="shared" si="57"/>
        <v>2.1198001769760919E-2</v>
      </c>
      <c r="G145" s="338">
        <f t="shared" si="58"/>
        <v>1</v>
      </c>
      <c r="H145" s="339">
        <f t="shared" si="59"/>
        <v>0</v>
      </c>
      <c r="I145" s="337">
        <f t="shared" si="60"/>
        <v>18627.271423500562</v>
      </c>
      <c r="J145" s="340">
        <f t="shared" si="61"/>
        <v>1.5707426420668575</v>
      </c>
      <c r="K145" s="348">
        <f t="shared" si="62"/>
        <v>3.6323236606598042</v>
      </c>
      <c r="L145" s="349">
        <f t="shared" si="63"/>
        <v>1.2918884812512728</v>
      </c>
      <c r="M145" s="337">
        <f t="shared" si="64"/>
        <v>1.0030997123736067</v>
      </c>
      <c r="N145" s="340">
        <f t="shared" si="65"/>
        <v>7.8634936867736385E-2</v>
      </c>
      <c r="O145" s="341">
        <f t="shared" si="66"/>
        <v>1.0013893421178433</v>
      </c>
      <c r="P145" s="342">
        <f t="shared" si="67"/>
        <v>0.1186634838678161</v>
      </c>
      <c r="Q145" s="343">
        <f t="shared" si="68"/>
        <v>8.1863879602722829</v>
      </c>
      <c r="R145" s="344">
        <f t="shared" si="69"/>
        <v>-100.48432007198237</v>
      </c>
      <c r="S145" s="346">
        <f t="shared" si="70"/>
        <v>79.515679928017633</v>
      </c>
      <c r="U145" s="319">
        <f t="shared" si="76"/>
        <v>1000000000</v>
      </c>
      <c r="V145" s="319">
        <f t="shared" si="77"/>
        <v>68397448.575625017</v>
      </c>
      <c r="X145" s="345">
        <f t="shared" si="71"/>
        <v>23.481048219601956</v>
      </c>
      <c r="Y145" s="346">
        <f t="shared" si="72"/>
        <v>-20.482616542599118</v>
      </c>
      <c r="AA145" s="345">
        <f t="shared" si="73"/>
        <v>48.314461029832955</v>
      </c>
      <c r="AB145" s="346">
        <f t="shared" si="74"/>
        <v>-80.001703529383221</v>
      </c>
      <c r="AD145">
        <f t="shared" si="78"/>
        <v>0</v>
      </c>
      <c r="AE145">
        <f t="shared" si="53"/>
        <v>0</v>
      </c>
    </row>
    <row r="146" spans="1:31" x14ac:dyDescent="0.25">
      <c r="A146" s="347">
        <v>8317.6</v>
      </c>
      <c r="B146" s="364">
        <f t="shared" si="75"/>
        <v>8.3176000000000005</v>
      </c>
      <c r="C146" s="337">
        <f t="shared" si="54"/>
        <v>3.7423851786572446</v>
      </c>
      <c r="D146" s="338">
        <f t="shared" si="55"/>
        <v>1.3003005004452164</v>
      </c>
      <c r="E146" s="338">
        <f t="shared" si="56"/>
        <v>1.0002272986067635</v>
      </c>
      <c r="F146" s="339">
        <f t="shared" si="57"/>
        <v>2.1319266461685419E-2</v>
      </c>
      <c r="G146" s="338">
        <f t="shared" si="58"/>
        <v>1</v>
      </c>
      <c r="H146" s="339">
        <f t="shared" si="59"/>
        <v>0</v>
      </c>
      <c r="I146" s="337">
        <f t="shared" si="60"/>
        <v>18733.862270550235</v>
      </c>
      <c r="J146" s="340">
        <f t="shared" si="61"/>
        <v>1.5707429475191215</v>
      </c>
      <c r="K146" s="348">
        <f t="shared" si="62"/>
        <v>3.651537669640704</v>
      </c>
      <c r="L146" s="349">
        <f t="shared" si="63"/>
        <v>1.2933950175598288</v>
      </c>
      <c r="M146" s="337">
        <f t="shared" si="64"/>
        <v>1.0031352332481436</v>
      </c>
      <c r="N146" s="340">
        <f t="shared" si="65"/>
        <v>7.9083041134095922E-2</v>
      </c>
      <c r="O146" s="341">
        <f t="shared" si="66"/>
        <v>1.0014054621004673</v>
      </c>
      <c r="P146" s="342">
        <f t="shared" si="67"/>
        <v>0.11934381466602195</v>
      </c>
      <c r="Q146" s="343">
        <f t="shared" si="68"/>
        <v>8.1362222159480062</v>
      </c>
      <c r="R146" s="344">
        <f t="shared" si="69"/>
        <v>-100.54011412132932</v>
      </c>
      <c r="S146" s="346">
        <f t="shared" si="70"/>
        <v>79.459885878670676</v>
      </c>
      <c r="U146" s="319">
        <f t="shared" si="76"/>
        <v>1000000000</v>
      </c>
      <c r="V146" s="319">
        <f t="shared" si="77"/>
        <v>69182469.760000005</v>
      </c>
      <c r="X146" s="345">
        <f t="shared" si="71"/>
        <v>23.477003955628746</v>
      </c>
      <c r="Y146" s="346">
        <f t="shared" si="72"/>
        <v>-20.421990354736138</v>
      </c>
      <c r="AA146" s="345">
        <f t="shared" si="73"/>
        <v>48.268339549481887</v>
      </c>
      <c r="AB146" s="346">
        <f t="shared" si="74"/>
        <v>-80.118123766593186</v>
      </c>
      <c r="AD146">
        <f t="shared" si="78"/>
        <v>0</v>
      </c>
      <c r="AE146">
        <f t="shared" si="53"/>
        <v>0</v>
      </c>
    </row>
    <row r="147" spans="1:31" x14ac:dyDescent="0.25">
      <c r="A147" s="347">
        <v>8366.0499999999993</v>
      </c>
      <c r="B147" s="364">
        <f t="shared" si="75"/>
        <v>8.3660499999999995</v>
      </c>
      <c r="C147" s="337">
        <f t="shared" si="54"/>
        <v>3.7626322569419877</v>
      </c>
      <c r="D147" s="338">
        <f t="shared" si="55"/>
        <v>1.3017923268561622</v>
      </c>
      <c r="E147" s="338">
        <f t="shared" si="56"/>
        <v>1.0002299540415374</v>
      </c>
      <c r="F147" s="339">
        <f t="shared" si="57"/>
        <v>2.144341318283479E-2</v>
      </c>
      <c r="G147" s="338">
        <f t="shared" si="58"/>
        <v>1</v>
      </c>
      <c r="H147" s="339">
        <f t="shared" si="59"/>
        <v>0</v>
      </c>
      <c r="I147" s="337">
        <f t="shared" si="60"/>
        <v>18842.986972919836</v>
      </c>
      <c r="J147" s="340">
        <f t="shared" si="61"/>
        <v>1.5707432566525723</v>
      </c>
      <c r="K147" s="348">
        <f t="shared" si="62"/>
        <v>3.6712169246563895</v>
      </c>
      <c r="L147" s="349">
        <f t="shared" si="63"/>
        <v>1.2949210271354592</v>
      </c>
      <c r="M147" s="337">
        <f t="shared" si="64"/>
        <v>1.0031718071688145</v>
      </c>
      <c r="N147" s="340">
        <f t="shared" si="65"/>
        <v>7.9541764672687976E-2</v>
      </c>
      <c r="O147" s="341">
        <f t="shared" si="66"/>
        <v>1.0014220646909455</v>
      </c>
      <c r="P147" s="342">
        <f t="shared" si="67"/>
        <v>0.12004034098365579</v>
      </c>
      <c r="Q147" s="343">
        <f t="shared" si="68"/>
        <v>8.0851555296929529</v>
      </c>
      <c r="R147" s="344">
        <f t="shared" si="69"/>
        <v>-100.59725114025245</v>
      </c>
      <c r="S147" s="346">
        <f t="shared" si="70"/>
        <v>79.402748859747547</v>
      </c>
      <c r="U147" s="319">
        <f t="shared" si="76"/>
        <v>1000000000</v>
      </c>
      <c r="V147" s="319">
        <f t="shared" si="77"/>
        <v>69990792.602499992</v>
      </c>
      <c r="X147" s="345">
        <f t="shared" si="71"/>
        <v>23.472924012131216</v>
      </c>
      <c r="Y147" s="346">
        <f t="shared" si="72"/>
        <v>-20.360857081252778</v>
      </c>
      <c r="AA147" s="345">
        <f t="shared" si="73"/>
        <v>48.221352806724369</v>
      </c>
      <c r="AB147" s="346">
        <f t="shared" si="74"/>
        <v>-80.236394058999636</v>
      </c>
      <c r="AD147">
        <f t="shared" si="78"/>
        <v>0</v>
      </c>
      <c r="AE147">
        <f t="shared" si="53"/>
        <v>0</v>
      </c>
    </row>
    <row r="148" spans="1:31" x14ac:dyDescent="0.25">
      <c r="A148" s="350">
        <v>8414.5</v>
      </c>
      <c r="B148" s="364">
        <f t="shared" si="75"/>
        <v>8.4145000000000003</v>
      </c>
      <c r="C148" s="337">
        <f t="shared" si="54"/>
        <v>3.7828876194881924</v>
      </c>
      <c r="D148" s="338">
        <f t="shared" si="55"/>
        <v>1.3032681806395481</v>
      </c>
      <c r="E148" s="338">
        <f t="shared" si="56"/>
        <v>1.0002326248921818</v>
      </c>
      <c r="F148" s="339">
        <f t="shared" si="57"/>
        <v>2.1567559242897074E-2</v>
      </c>
      <c r="G148" s="338">
        <f t="shared" si="58"/>
        <v>1</v>
      </c>
      <c r="H148" s="339">
        <f t="shared" si="59"/>
        <v>0</v>
      </c>
      <c r="I148" s="337">
        <f t="shared" si="60"/>
        <v>18952.111675291224</v>
      </c>
      <c r="J148" s="340">
        <f t="shared" si="61"/>
        <v>1.570743562226093</v>
      </c>
      <c r="K148" s="348">
        <f t="shared" ref="K148:K157" si="79">SQRT(1+(A148/Zero2)^2)</f>
        <v>3.6909046376770962</v>
      </c>
      <c r="L148" s="349">
        <f t="shared" ref="L148:L157" si="80">ATAN(A148/Zero2)</f>
        <v>1.2964307603718253</v>
      </c>
      <c r="M148" s="337">
        <f t="shared" si="64"/>
        <v>1.0032085921687872</v>
      </c>
      <c r="N148" s="340">
        <f t="shared" si="65"/>
        <v>8.0000454667442517E-2</v>
      </c>
      <c r="O148" s="341">
        <f t="shared" si="66"/>
        <v>1.0014387679281709</v>
      </c>
      <c r="P148" s="342">
        <f t="shared" si="67"/>
        <v>0.12073689053341165</v>
      </c>
      <c r="Q148" s="343">
        <f t="shared" si="68"/>
        <v>8.0343804214032986</v>
      </c>
      <c r="R148" s="344">
        <f t="shared" si="69"/>
        <v>-100.65440480366516</v>
      </c>
      <c r="S148" s="346">
        <f t="shared" si="70"/>
        <v>79.345595196334841</v>
      </c>
      <c r="U148" s="319">
        <f t="shared" si="76"/>
        <v>1000000000</v>
      </c>
      <c r="V148" s="319">
        <f t="shared" si="77"/>
        <v>70803810.25</v>
      </c>
      <c r="X148" s="345">
        <f t="shared" si="71"/>
        <v>23.468903891098819</v>
      </c>
      <c r="Y148" s="346">
        <f t="shared" si="72"/>
        <v>-20.300654247426962</v>
      </c>
      <c r="AA148" s="345">
        <f t="shared" si="73"/>
        <v>48.174597819467103</v>
      </c>
      <c r="AB148" s="346">
        <f t="shared" si="74"/>
        <v>-80.353750556238168</v>
      </c>
      <c r="AD148">
        <f t="shared" si="78"/>
        <v>0</v>
      </c>
      <c r="AE148">
        <f t="shared" si="53"/>
        <v>0</v>
      </c>
    </row>
    <row r="149" spans="1:31" x14ac:dyDescent="0.25">
      <c r="A149" s="350">
        <v>8462.9500000000007</v>
      </c>
      <c r="B149" s="364">
        <f t="shared" si="75"/>
        <v>8.4629500000000011</v>
      </c>
      <c r="C149" s="337">
        <f t="shared" si="54"/>
        <v>3.8031511339313711</v>
      </c>
      <c r="D149" s="338">
        <f t="shared" si="55"/>
        <v>1.3047283106248193</v>
      </c>
      <c r="E149" s="338">
        <f t="shared" si="56"/>
        <v>1.0002353111585731</v>
      </c>
      <c r="F149" s="339">
        <f t="shared" si="57"/>
        <v>2.1691704638050844E-2</v>
      </c>
      <c r="G149" s="338">
        <f t="shared" si="58"/>
        <v>1</v>
      </c>
      <c r="H149" s="339">
        <f t="shared" si="59"/>
        <v>0</v>
      </c>
      <c r="I149" s="337">
        <f t="shared" si="60"/>
        <v>19061.236377664358</v>
      </c>
      <c r="J149" s="340">
        <f t="shared" si="61"/>
        <v>1.5707438643008251</v>
      </c>
      <c r="K149" s="348">
        <f t="shared" si="79"/>
        <v>3.7106006740733215</v>
      </c>
      <c r="L149" s="349">
        <f t="shared" si="80"/>
        <v>1.2979244695179837</v>
      </c>
      <c r="M149" s="337">
        <f t="shared" si="64"/>
        <v>1.0032455882248439</v>
      </c>
      <c r="N149" s="340">
        <f t="shared" si="65"/>
        <v>8.0459110929046396E-2</v>
      </c>
      <c r="O149" s="341">
        <f t="shared" si="66"/>
        <v>1.0014555718852054</v>
      </c>
      <c r="P149" s="342">
        <f t="shared" si="67"/>
        <v>0.12143346344198452</v>
      </c>
      <c r="Q149" s="343">
        <f t="shared" si="68"/>
        <v>7.9838934892135178</v>
      </c>
      <c r="R149" s="344">
        <f t="shared" si="69"/>
        <v>-100.7115749157725</v>
      </c>
      <c r="S149" s="346">
        <f t="shared" si="70"/>
        <v>79.288425084227498</v>
      </c>
      <c r="U149" s="319">
        <f t="shared" si="76"/>
        <v>1000000000</v>
      </c>
      <c r="V149" s="319">
        <f t="shared" si="77"/>
        <v>71621522.702500015</v>
      </c>
      <c r="X149" s="345">
        <f t="shared" si="71"/>
        <v>23.464942270216085</v>
      </c>
      <c r="Y149" s="346">
        <f t="shared" si="72"/>
        <v>-20.241367393108657</v>
      </c>
      <c r="AA149" s="345">
        <f t="shared" si="73"/>
        <v>48.128072508160066</v>
      </c>
      <c r="AB149" s="346">
        <f t="shared" si="74"/>
        <v>-80.470207522663856</v>
      </c>
      <c r="AD149">
        <f t="shared" si="78"/>
        <v>0</v>
      </c>
      <c r="AE149">
        <f t="shared" si="53"/>
        <v>0</v>
      </c>
    </row>
    <row r="150" spans="1:31" x14ac:dyDescent="0.25">
      <c r="A150" s="350">
        <v>8511.4</v>
      </c>
      <c r="B150" s="364">
        <f t="shared" si="75"/>
        <v>8.5114000000000001</v>
      </c>
      <c r="C150" s="337">
        <f t="shared" si="54"/>
        <v>3.8234226706603649</v>
      </c>
      <c r="D150" s="338">
        <f t="shared" si="55"/>
        <v>1.3061729606356893</v>
      </c>
      <c r="E150" s="338">
        <f t="shared" si="56"/>
        <v>1.0002380128405874</v>
      </c>
      <c r="F150" s="339">
        <f t="shared" si="57"/>
        <v>2.1815849364474789E-2</v>
      </c>
      <c r="G150" s="338">
        <f t="shared" si="58"/>
        <v>1</v>
      </c>
      <c r="H150" s="339">
        <f t="shared" si="59"/>
        <v>0</v>
      </c>
      <c r="I150" s="337">
        <f t="shared" si="60"/>
        <v>19170.361080039209</v>
      </c>
      <c r="J150" s="340">
        <f t="shared" si="61"/>
        <v>1.5707441629365175</v>
      </c>
      <c r="K150" s="348">
        <f t="shared" si="79"/>
        <v>3.7303049020026213</v>
      </c>
      <c r="L150" s="349">
        <f t="shared" si="80"/>
        <v>1.2994024017826782</v>
      </c>
      <c r="M150" s="337">
        <f t="shared" si="64"/>
        <v>1.0032827953136361</v>
      </c>
      <c r="N150" s="340">
        <f t="shared" si="65"/>
        <v>8.0917733268271064E-2</v>
      </c>
      <c r="O150" s="341">
        <f t="shared" si="66"/>
        <v>1.0014724766355259</v>
      </c>
      <c r="P150" s="342">
        <f t="shared" si="67"/>
        <v>0.12213005983593363</v>
      </c>
      <c r="Q150" s="343">
        <f t="shared" si="68"/>
        <v>7.9336913899155013</v>
      </c>
      <c r="R150" s="344">
        <f t="shared" si="69"/>
        <v>-100.76876128267823</v>
      </c>
      <c r="S150" s="346">
        <f t="shared" si="70"/>
        <v>79.231238717321773</v>
      </c>
      <c r="U150" s="319">
        <f t="shared" si="76"/>
        <v>1000000000</v>
      </c>
      <c r="V150" s="319">
        <f t="shared" si="77"/>
        <v>72443929.959999993</v>
      </c>
      <c r="X150" s="345">
        <f t="shared" si="71"/>
        <v>23.461037862039767</v>
      </c>
      <c r="Y150" s="346">
        <f t="shared" si="72"/>
        <v>-20.182982346861511</v>
      </c>
      <c r="AA150" s="345">
        <f t="shared" si="73"/>
        <v>48.081774817038358</v>
      </c>
      <c r="AB150" s="346">
        <f t="shared" si="74"/>
        <v>-80.58577893581672</v>
      </c>
      <c r="AD150">
        <f t="shared" si="78"/>
        <v>0</v>
      </c>
      <c r="AE150">
        <f t="shared" si="53"/>
        <v>0</v>
      </c>
    </row>
    <row r="151" spans="1:31" x14ac:dyDescent="0.25">
      <c r="A151" s="350">
        <v>8560.9500000000007</v>
      </c>
      <c r="B151" s="364">
        <f t="shared" si="75"/>
        <v>8.5609500000000001</v>
      </c>
      <c r="C151" s="337">
        <f t="shared" si="54"/>
        <v>3.8441626139745217</v>
      </c>
      <c r="D151" s="338">
        <f t="shared" si="55"/>
        <v>1.307634647552552</v>
      </c>
      <c r="E151" s="338">
        <f t="shared" si="56"/>
        <v>1.0002407918055554</v>
      </c>
      <c r="F151" s="339">
        <f t="shared" si="57"/>
        <v>2.1942811954560527E-2</v>
      </c>
      <c r="G151" s="338">
        <f t="shared" si="58"/>
        <v>1</v>
      </c>
      <c r="H151" s="339">
        <f t="shared" si="59"/>
        <v>0</v>
      </c>
      <c r="I151" s="337">
        <f t="shared" si="60"/>
        <v>19281.963329838152</v>
      </c>
      <c r="J151" s="340">
        <f t="shared" si="61"/>
        <v>1.5707444648561852</v>
      </c>
      <c r="K151" s="348">
        <f t="shared" si="79"/>
        <v>3.7504648292054257</v>
      </c>
      <c r="L151" s="349">
        <f t="shared" si="80"/>
        <v>1.3008978229838404</v>
      </c>
      <c r="M151" s="337">
        <f t="shared" si="64"/>
        <v>1.0033210653949449</v>
      </c>
      <c r="N151" s="340">
        <f t="shared" si="65"/>
        <v>8.1386732802298703E-2</v>
      </c>
      <c r="O151" s="341">
        <f t="shared" si="66"/>
        <v>1.0014898695170882</v>
      </c>
      <c r="P151" s="342">
        <f t="shared" si="67"/>
        <v>0.12284249605087805</v>
      </c>
      <c r="Q151" s="343">
        <f t="shared" si="68"/>
        <v>7.882640693738999</v>
      </c>
      <c r="R151" s="344">
        <f t="shared" si="69"/>
        <v>-100.82726261096654</v>
      </c>
      <c r="S151" s="346">
        <f t="shared" si="70"/>
        <v>79.172737389033458</v>
      </c>
      <c r="U151" s="319">
        <f t="shared" si="76"/>
        <v>1000000000</v>
      </c>
      <c r="V151" s="319">
        <f t="shared" si="77"/>
        <v>73289864.902500018</v>
      </c>
      <c r="X151" s="345">
        <f t="shared" si="71"/>
        <v>23.457102678470921</v>
      </c>
      <c r="Y151" s="346">
        <f t="shared" si="72"/>
        <v>-20.124190015989456</v>
      </c>
      <c r="AA151" s="345">
        <f t="shared" si="73"/>
        <v>48.034659304430711</v>
      </c>
      <c r="AB151" s="346">
        <f t="shared" si="74"/>
        <v>-80.703072594977101</v>
      </c>
      <c r="AD151">
        <f t="shared" si="78"/>
        <v>0</v>
      </c>
      <c r="AE151">
        <f t="shared" si="53"/>
        <v>0</v>
      </c>
    </row>
    <row r="152" spans="1:31" x14ac:dyDescent="0.25">
      <c r="A152" s="350">
        <v>8610.5</v>
      </c>
      <c r="B152" s="364">
        <f t="shared" si="75"/>
        <v>8.6105</v>
      </c>
      <c r="C152" s="337">
        <f t="shared" si="54"/>
        <v>3.8649106822948283</v>
      </c>
      <c r="D152" s="338">
        <f t="shared" si="55"/>
        <v>1.3090806439318334</v>
      </c>
      <c r="E152" s="338">
        <f t="shared" si="56"/>
        <v>1.0002435868938142</v>
      </c>
      <c r="F152" s="339">
        <f t="shared" si="57"/>
        <v>2.2069773837122369E-2</v>
      </c>
      <c r="G152" s="338">
        <f t="shared" si="58"/>
        <v>1</v>
      </c>
      <c r="H152" s="339">
        <f t="shared" si="59"/>
        <v>0</v>
      </c>
      <c r="I152" s="337">
        <f t="shared" si="60"/>
        <v>19393.565579638831</v>
      </c>
      <c r="J152" s="340">
        <f t="shared" si="61"/>
        <v>1.5707447633009977</v>
      </c>
      <c r="K152" s="348">
        <f t="shared" si="79"/>
        <v>3.770633053819592</v>
      </c>
      <c r="L152" s="349">
        <f t="shared" si="80"/>
        <v>1.302377250155192</v>
      </c>
      <c r="M152" s="337">
        <f t="shared" si="64"/>
        <v>1.0033595561504569</v>
      </c>
      <c r="N152" s="340">
        <f t="shared" si="65"/>
        <v>8.185569645606873E-2</v>
      </c>
      <c r="O152" s="341">
        <f t="shared" si="66"/>
        <v>1.0015073679774542</v>
      </c>
      <c r="P152" s="342">
        <f t="shared" si="67"/>
        <v>0.12355495709702972</v>
      </c>
      <c r="Q152" s="343">
        <f t="shared" si="68"/>
        <v>7.8318810200683604</v>
      </c>
      <c r="R152" s="344">
        <f t="shared" si="69"/>
        <v>-100.88578053645837</v>
      </c>
      <c r="S152" s="346">
        <f t="shared" si="70"/>
        <v>79.11421946354163</v>
      </c>
      <c r="U152" s="319">
        <f t="shared" si="76"/>
        <v>1000000000</v>
      </c>
      <c r="V152" s="319">
        <f t="shared" si="77"/>
        <v>74140710.25</v>
      </c>
      <c r="X152" s="345">
        <f t="shared" si="71"/>
        <v>23.453224718309325</v>
      </c>
      <c r="Y152" s="346">
        <f t="shared" si="72"/>
        <v>-20.066311820642117</v>
      </c>
      <c r="AA152" s="345">
        <f t="shared" si="73"/>
        <v>47.987777590921667</v>
      </c>
      <c r="AB152" s="346">
        <f t="shared" si="74"/>
        <v>-80.819468715816271</v>
      </c>
      <c r="AD152">
        <f t="shared" si="78"/>
        <v>0</v>
      </c>
      <c r="AE152">
        <f t="shared" si="53"/>
        <v>0</v>
      </c>
    </row>
    <row r="153" spans="1:31" x14ac:dyDescent="0.25">
      <c r="A153" s="350">
        <v>8660.0499999999993</v>
      </c>
      <c r="B153" s="364">
        <f t="shared" si="75"/>
        <v>8.66005</v>
      </c>
      <c r="C153" s="337">
        <f t="shared" si="54"/>
        <v>3.8856667454674225</v>
      </c>
      <c r="D153" s="338">
        <f t="shared" si="55"/>
        <v>1.3105111951201203</v>
      </c>
      <c r="E153" s="338">
        <f t="shared" si="56"/>
        <v>1.0002463981052292</v>
      </c>
      <c r="F153" s="339">
        <f t="shared" si="57"/>
        <v>2.2196735008073187E-2</v>
      </c>
      <c r="G153" s="338">
        <f t="shared" si="58"/>
        <v>1</v>
      </c>
      <c r="H153" s="339">
        <f t="shared" si="59"/>
        <v>0</v>
      </c>
      <c r="I153" s="337">
        <f t="shared" si="60"/>
        <v>19505.167829441212</v>
      </c>
      <c r="J153" s="340">
        <f t="shared" si="61"/>
        <v>1.5707450583306013</v>
      </c>
      <c r="K153" s="348">
        <f t="shared" si="79"/>
        <v>3.7908094434110939</v>
      </c>
      <c r="L153" s="349">
        <f t="shared" si="80"/>
        <v>1.3038409321506867</v>
      </c>
      <c r="M153" s="337">
        <f t="shared" si="64"/>
        <v>1.0033982675547761</v>
      </c>
      <c r="N153" s="340">
        <f t="shared" si="65"/>
        <v>8.2324624027446766E-2</v>
      </c>
      <c r="O153" s="341">
        <f t="shared" si="66"/>
        <v>1.0015249720965684</v>
      </c>
      <c r="P153" s="342">
        <f t="shared" si="67"/>
        <v>0.12426744310931941</v>
      </c>
      <c r="Q153" s="343">
        <f t="shared" si="68"/>
        <v>7.7814089745385644</v>
      </c>
      <c r="R153" s="344">
        <f t="shared" si="69"/>
        <v>-100.94431485799758</v>
      </c>
      <c r="S153" s="346">
        <f t="shared" si="70"/>
        <v>79.055685142002417</v>
      </c>
      <c r="U153" s="319">
        <f t="shared" si="76"/>
        <v>1000000000</v>
      </c>
      <c r="V153" s="319">
        <f t="shared" si="77"/>
        <v>74996466.002499983</v>
      </c>
      <c r="X153" s="345">
        <f t="shared" si="71"/>
        <v>23.44940271065818</v>
      </c>
      <c r="Y153" s="346">
        <f t="shared" si="72"/>
        <v>-20.009333494374268</v>
      </c>
      <c r="AA153" s="345">
        <f t="shared" si="73"/>
        <v>47.94112755304301</v>
      </c>
      <c r="AB153" s="346">
        <f t="shared" si="74"/>
        <v>-80.934981363623294</v>
      </c>
      <c r="AD153">
        <f t="shared" si="78"/>
        <v>0</v>
      </c>
      <c r="AE153">
        <f t="shared" si="53"/>
        <v>0</v>
      </c>
    </row>
    <row r="154" spans="1:31" x14ac:dyDescent="0.25">
      <c r="A154" s="350">
        <v>8709.6</v>
      </c>
      <c r="B154" s="364">
        <f t="shared" si="75"/>
        <v>8.7096</v>
      </c>
      <c r="C154" s="337">
        <f t="shared" si="54"/>
        <v>3.9064306760550065</v>
      </c>
      <c r="D154" s="338">
        <f t="shared" si="55"/>
        <v>1.3119265415035071</v>
      </c>
      <c r="E154" s="338">
        <f t="shared" si="56"/>
        <v>1.0002492254396638</v>
      </c>
      <c r="F154" s="339">
        <f t="shared" si="57"/>
        <v>2.232369546332599E-2</v>
      </c>
      <c r="G154" s="338">
        <f t="shared" si="58"/>
        <v>1</v>
      </c>
      <c r="H154" s="339">
        <f t="shared" si="59"/>
        <v>0</v>
      </c>
      <c r="I154" s="337">
        <f t="shared" si="60"/>
        <v>19616.770079245278</v>
      </c>
      <c r="J154" s="340">
        <f t="shared" si="61"/>
        <v>1.5707453500032844</v>
      </c>
      <c r="K154" s="348">
        <f t="shared" si="79"/>
        <v>3.8109938682974147</v>
      </c>
      <c r="L154" s="349">
        <f t="shared" si="80"/>
        <v>1.3052891128252571</v>
      </c>
      <c r="M154" s="337">
        <f t="shared" si="64"/>
        <v>1.0034371995823657</v>
      </c>
      <c r="N154" s="340">
        <f t="shared" si="65"/>
        <v>8.2793515314393037E-2</v>
      </c>
      <c r="O154" s="341">
        <f t="shared" si="66"/>
        <v>1.0015426819548296</v>
      </c>
      <c r="P154" s="342">
        <f t="shared" si="67"/>
        <v>0.12497995422252589</v>
      </c>
      <c r="Q154" s="343">
        <f t="shared" si="68"/>
        <v>7.7312212212773037</v>
      </c>
      <c r="R154" s="344">
        <f t="shared" si="69"/>
        <v>-101.00286537655444</v>
      </c>
      <c r="S154" s="346">
        <f t="shared" si="70"/>
        <v>78.997134623445561</v>
      </c>
      <c r="U154" s="319">
        <f t="shared" si="76"/>
        <v>1000000000</v>
      </c>
      <c r="V154" s="319">
        <f t="shared" si="77"/>
        <v>75857132.160000011</v>
      </c>
      <c r="X154" s="345">
        <f t="shared" si="71"/>
        <v>23.445635418224875</v>
      </c>
      <c r="Y154" s="346">
        <f t="shared" si="72"/>
        <v>-19.953241057091113</v>
      </c>
      <c r="AA154" s="345">
        <f t="shared" si="73"/>
        <v>47.894707092215057</v>
      </c>
      <c r="AB154" s="346">
        <f t="shared" si="74"/>
        <v>-81.049624319463319</v>
      </c>
      <c r="AD154">
        <f t="shared" si="78"/>
        <v>0</v>
      </c>
      <c r="AE154">
        <f t="shared" ref="AE154:AE217" si="81">IF(AD154&gt;0,S154,0)</f>
        <v>0</v>
      </c>
    </row>
    <row r="155" spans="1:31" x14ac:dyDescent="0.25">
      <c r="A155" s="350">
        <v>8760.3250000000007</v>
      </c>
      <c r="B155" s="364">
        <f t="shared" si="75"/>
        <v>8.7603249999999999</v>
      </c>
      <c r="C155" s="337">
        <f t="shared" si="54"/>
        <v>3.9276950096682675</v>
      </c>
      <c r="D155" s="338">
        <f t="shared" si="55"/>
        <v>1.3133599465652122</v>
      </c>
      <c r="E155" s="338">
        <f t="shared" si="56"/>
        <v>1.0002521365207777</v>
      </c>
      <c r="F155" s="339">
        <f t="shared" si="57"/>
        <v>2.2453665839653969E-2</v>
      </c>
      <c r="G155" s="338">
        <f t="shared" si="58"/>
        <v>1</v>
      </c>
      <c r="H155" s="339">
        <f t="shared" si="59"/>
        <v>0</v>
      </c>
      <c r="I155" s="337">
        <f t="shared" si="60"/>
        <v>19731.018800161444</v>
      </c>
      <c r="J155" s="340">
        <f t="shared" si="61"/>
        <v>1.570745645174725</v>
      </c>
      <c r="K155" s="348">
        <f t="shared" si="79"/>
        <v>3.8316651257374819</v>
      </c>
      <c r="L155" s="349">
        <f t="shared" si="80"/>
        <v>1.3067558272260693</v>
      </c>
      <c r="M155" s="337">
        <f t="shared" si="64"/>
        <v>1.0034772833275973</v>
      </c>
      <c r="N155" s="340">
        <f t="shared" si="65"/>
        <v>8.3273487821616796E-2</v>
      </c>
      <c r="O155" s="341">
        <f t="shared" si="66"/>
        <v>1.0015609213888605</v>
      </c>
      <c r="P155" s="342">
        <f t="shared" si="67"/>
        <v>0.12570938755294617</v>
      </c>
      <c r="Q155" s="343">
        <f t="shared" si="68"/>
        <v>7.6801344064602128</v>
      </c>
      <c r="R155" s="344">
        <f t="shared" si="69"/>
        <v>-101.06282090034166</v>
      </c>
      <c r="S155" s="346">
        <f t="shared" si="70"/>
        <v>78.937179099658337</v>
      </c>
      <c r="U155" s="319">
        <f t="shared" si="76"/>
        <v>1000000000</v>
      </c>
      <c r="V155" s="319">
        <f t="shared" si="77"/>
        <v>76743294.105625018</v>
      </c>
      <c r="X155" s="345">
        <f t="shared" si="71"/>
        <v>23.441834209634543</v>
      </c>
      <c r="Y155" s="346">
        <f t="shared" si="72"/>
        <v>-19.896721823132943</v>
      </c>
      <c r="AA155" s="345">
        <f t="shared" si="73"/>
        <v>47.847421485988299</v>
      </c>
      <c r="AB155" s="346">
        <f t="shared" si="74"/>
        <v>-81.166099077208742</v>
      </c>
      <c r="AD155">
        <f t="shared" si="78"/>
        <v>0</v>
      </c>
      <c r="AE155">
        <f t="shared" si="81"/>
        <v>0</v>
      </c>
    </row>
    <row r="156" spans="1:31" x14ac:dyDescent="0.25">
      <c r="A156" s="350">
        <v>8811.0499999999993</v>
      </c>
      <c r="B156" s="364">
        <f t="shared" si="75"/>
        <v>8.8110499999999998</v>
      </c>
      <c r="C156" s="337">
        <f t="shared" si="54"/>
        <v>3.9489673263999245</v>
      </c>
      <c r="D156" s="338">
        <f t="shared" si="55"/>
        <v>1.3147779115672864</v>
      </c>
      <c r="E156" s="338">
        <f t="shared" si="56"/>
        <v>1.0002550644983512</v>
      </c>
      <c r="F156" s="339">
        <f t="shared" si="57"/>
        <v>2.2583635457270802E-2</v>
      </c>
      <c r="G156" s="338">
        <f t="shared" si="58"/>
        <v>1</v>
      </c>
      <c r="H156" s="339">
        <f t="shared" si="59"/>
        <v>0</v>
      </c>
      <c r="I156" s="337">
        <f t="shared" si="60"/>
        <v>19845.267521079302</v>
      </c>
      <c r="J156" s="340">
        <f t="shared" si="61"/>
        <v>1.570745936947576</v>
      </c>
      <c r="K156" s="348">
        <f t="shared" si="79"/>
        <v>3.8523445375805032</v>
      </c>
      <c r="L156" s="349">
        <f t="shared" si="80"/>
        <v>1.3082067980545393</v>
      </c>
      <c r="M156" s="337">
        <f t="shared" si="64"/>
        <v>1.0035175982290121</v>
      </c>
      <c r="N156" s="340">
        <f t="shared" si="65"/>
        <v>8.3753421874962861E-2</v>
      </c>
      <c r="O156" s="341">
        <f t="shared" si="66"/>
        <v>1.0015792718083421</v>
      </c>
      <c r="P156" s="342">
        <f t="shared" si="67"/>
        <v>0.12643884747420625</v>
      </c>
      <c r="Q156" s="343">
        <f t="shared" si="68"/>
        <v>7.6293386341249301</v>
      </c>
      <c r="R156" s="344">
        <f t="shared" si="69"/>
        <v>-101.12279298317043</v>
      </c>
      <c r="S156" s="346">
        <f t="shared" si="70"/>
        <v>78.877207016829573</v>
      </c>
      <c r="U156" s="319">
        <f t="shared" si="76"/>
        <v>1000000000</v>
      </c>
      <c r="V156" s="319">
        <f t="shared" si="77"/>
        <v>77634602.102499992</v>
      </c>
      <c r="X156" s="345">
        <f t="shared" si="71"/>
        <v>23.4380878213234</v>
      </c>
      <c r="Y156" s="346">
        <f t="shared" si="72"/>
        <v>-19.841102231455732</v>
      </c>
      <c r="AA156" s="345">
        <f t="shared" si="73"/>
        <v>47.800372101964157</v>
      </c>
      <c r="AB156" s="346">
        <f t="shared" si="74"/>
        <v>-81.281690751714706</v>
      </c>
      <c r="AD156">
        <f t="shared" si="78"/>
        <v>0</v>
      </c>
      <c r="AE156">
        <f t="shared" si="81"/>
        <v>0</v>
      </c>
    </row>
    <row r="157" spans="1:31" x14ac:dyDescent="0.25">
      <c r="A157" s="350">
        <v>8861.7749999999996</v>
      </c>
      <c r="B157" s="364">
        <f t="shared" si="75"/>
        <v>8.8617749999999997</v>
      </c>
      <c r="C157" s="337">
        <f t="shared" si="54"/>
        <v>3.9702474979309605</v>
      </c>
      <c r="D157" s="338">
        <f t="shared" si="55"/>
        <v>1.3161806790334563</v>
      </c>
      <c r="E157" s="338">
        <f t="shared" si="56"/>
        <v>1.0002580093722355</v>
      </c>
      <c r="F157" s="339">
        <f t="shared" si="57"/>
        <v>2.2713604311792267E-2</v>
      </c>
      <c r="G157" s="338">
        <f t="shared" si="58"/>
        <v>1</v>
      </c>
      <c r="H157" s="339">
        <f t="shared" si="59"/>
        <v>0</v>
      </c>
      <c r="I157" s="337">
        <f t="shared" si="60"/>
        <v>19959.516241998834</v>
      </c>
      <c r="J157" s="340">
        <f t="shared" si="61"/>
        <v>1.5707462253801983</v>
      </c>
      <c r="K157" s="348">
        <f t="shared" si="79"/>
        <v>3.8730319732092346</v>
      </c>
      <c r="L157" s="349">
        <f t="shared" si="80"/>
        <v>1.3096422714301583</v>
      </c>
      <c r="M157" s="337">
        <f t="shared" si="64"/>
        <v>1.003558144258752</v>
      </c>
      <c r="N157" s="340">
        <f t="shared" si="65"/>
        <v>8.4233317257986107E-2</v>
      </c>
      <c r="O157" s="341">
        <f t="shared" si="66"/>
        <v>1.001597733301008</v>
      </c>
      <c r="P157" s="342">
        <f t="shared" si="67"/>
        <v>0.12716833413040157</v>
      </c>
      <c r="Q157" s="343">
        <f t="shared" si="68"/>
        <v>7.5788305072931061</v>
      </c>
      <c r="R157" s="344">
        <f t="shared" si="69"/>
        <v>-101.18278141846825</v>
      </c>
      <c r="S157" s="346">
        <f t="shared" si="70"/>
        <v>78.817218581531748</v>
      </c>
      <c r="U157" s="319">
        <f t="shared" si="76"/>
        <v>1000000000</v>
      </c>
      <c r="V157" s="319">
        <f t="shared" si="77"/>
        <v>78531056.15062499</v>
      </c>
      <c r="X157" s="345">
        <f t="shared" si="71"/>
        <v>23.434395028584674</v>
      </c>
      <c r="Y157" s="346">
        <f t="shared" si="72"/>
        <v>-19.786368171393793</v>
      </c>
      <c r="AA157" s="345">
        <f t="shared" si="73"/>
        <v>47.753556767871061</v>
      </c>
      <c r="AB157" s="346">
        <f t="shared" si="74"/>
        <v>-81.396413247074449</v>
      </c>
      <c r="AD157">
        <f t="shared" si="78"/>
        <v>0</v>
      </c>
      <c r="AE157">
        <f t="shared" si="81"/>
        <v>0</v>
      </c>
    </row>
    <row r="158" spans="1:31" x14ac:dyDescent="0.25">
      <c r="A158" s="347">
        <v>8912.5</v>
      </c>
      <c r="B158" s="364">
        <f t="shared" si="75"/>
        <v>8.9124999999999996</v>
      </c>
      <c r="C158" s="337">
        <f t="shared" si="54"/>
        <v>3.9915353986319171</v>
      </c>
      <c r="D158" s="338">
        <f t="shared" si="55"/>
        <v>1.3175684865557942</v>
      </c>
      <c r="E158" s="338">
        <f t="shared" si="56"/>
        <v>1.0002609711422819</v>
      </c>
      <c r="F158" s="339">
        <f t="shared" si="57"/>
        <v>2.2843572398834267E-2</v>
      </c>
      <c r="G158" s="338">
        <f t="shared" si="58"/>
        <v>1</v>
      </c>
      <c r="H158" s="339">
        <f t="shared" si="59"/>
        <v>0</v>
      </c>
      <c r="I158" s="337">
        <f t="shared" si="60"/>
        <v>20073.764962920006</v>
      </c>
      <c r="J158" s="340">
        <f t="shared" si="61"/>
        <v>1.5707465105296239</v>
      </c>
      <c r="K158" s="348">
        <f t="shared" ref="K158:K214" si="82">SQRT(1+(A158/Zero2)^2)</f>
        <v>3.8937273047321721</v>
      </c>
      <c r="L158" s="349">
        <f t="shared" ref="L158:L214" si="83">ATAN(A158/Zero2)</f>
        <v>1.3110624884983983</v>
      </c>
      <c r="M158" s="337">
        <f t="shared" si="64"/>
        <v>1.0035989213888039</v>
      </c>
      <c r="N158" s="340">
        <f t="shared" si="65"/>
        <v>8.4713173754347476E-2</v>
      </c>
      <c r="O158" s="341">
        <f t="shared" si="66"/>
        <v>1.00161630595509</v>
      </c>
      <c r="P158" s="342">
        <f t="shared" si="67"/>
        <v>0.12789784766545678</v>
      </c>
      <c r="Q158" s="343">
        <f t="shared" si="68"/>
        <v>7.5286066875452571</v>
      </c>
      <c r="R158" s="344">
        <f t="shared" si="69"/>
        <v>-101.24278600201021</v>
      </c>
      <c r="S158" s="346">
        <f t="shared" si="70"/>
        <v>78.757213997989794</v>
      </c>
      <c r="U158" s="319">
        <f t="shared" si="76"/>
        <v>1000000000</v>
      </c>
      <c r="V158" s="319">
        <f t="shared" si="77"/>
        <v>79432656.25</v>
      </c>
      <c r="X158" s="345">
        <f t="shared" si="71"/>
        <v>23.430754639207308</v>
      </c>
      <c r="Y158" s="346">
        <f t="shared" si="72"/>
        <v>-19.732505817201705</v>
      </c>
      <c r="AA158" s="345">
        <f t="shared" si="73"/>
        <v>47.706973337500571</v>
      </c>
      <c r="AB158" s="346">
        <f t="shared" si="74"/>
        <v>-81.510280184808494</v>
      </c>
      <c r="AD158">
        <f t="shared" si="78"/>
        <v>0</v>
      </c>
      <c r="AE158">
        <f t="shared" si="81"/>
        <v>0</v>
      </c>
    </row>
    <row r="159" spans="1:31" x14ac:dyDescent="0.25">
      <c r="A159" s="347">
        <v>8964.4</v>
      </c>
      <c r="B159" s="364">
        <f t="shared" si="75"/>
        <v>8.9643999999999995</v>
      </c>
      <c r="C159" s="337">
        <f t="shared" si="54"/>
        <v>4.0133242863440044</v>
      </c>
      <c r="D159" s="338">
        <f t="shared" si="55"/>
        <v>1.3189732004246095</v>
      </c>
      <c r="E159" s="338">
        <f t="shared" si="56"/>
        <v>1.0002640190067409</v>
      </c>
      <c r="F159" s="339">
        <f t="shared" si="57"/>
        <v>2.2976550283349183E-2</v>
      </c>
      <c r="G159" s="338">
        <f t="shared" si="58"/>
        <v>1</v>
      </c>
      <c r="H159" s="339">
        <f t="shared" si="59"/>
        <v>0</v>
      </c>
      <c r="I159" s="337">
        <f t="shared" si="60"/>
        <v>20190.660154953395</v>
      </c>
      <c r="J159" s="340">
        <f t="shared" si="61"/>
        <v>1.5707467989442601</v>
      </c>
      <c r="K159" s="348">
        <f t="shared" si="82"/>
        <v>3.9149100671626309</v>
      </c>
      <c r="L159" s="349">
        <f t="shared" si="83"/>
        <v>1.3125000595730396</v>
      </c>
      <c r="M159" s="337">
        <f t="shared" si="64"/>
        <v>1.0036408822479861</v>
      </c>
      <c r="N159" s="340">
        <f t="shared" si="65"/>
        <v>8.5204105230507615E-2</v>
      </c>
      <c r="O159" s="341">
        <f t="shared" si="66"/>
        <v>1.0016354239745879</v>
      </c>
      <c r="P159" s="342">
        <f t="shared" si="67"/>
        <v>0.12864428770970929</v>
      </c>
      <c r="Q159" s="343">
        <f t="shared" si="68"/>
        <v>7.4775103171723494</v>
      </c>
      <c r="R159" s="344">
        <f t="shared" si="69"/>
        <v>-101.3041970420594</v>
      </c>
      <c r="S159" s="346">
        <f t="shared" si="70"/>
        <v>78.6958029579406</v>
      </c>
      <c r="U159" s="319">
        <f t="shared" si="76"/>
        <v>1000000000</v>
      </c>
      <c r="V159" s="319">
        <f t="shared" si="77"/>
        <v>80360467.359999999</v>
      </c>
      <c r="X159" s="345">
        <f t="shared" si="71"/>
        <v>23.427082951183742</v>
      </c>
      <c r="Y159" s="346">
        <f t="shared" si="72"/>
        <v>-19.678283888368231</v>
      </c>
      <c r="AA159" s="345">
        <f t="shared" si="73"/>
        <v>47.659548655151234</v>
      </c>
      <c r="AB159" s="346">
        <f t="shared" si="74"/>
        <v>-81.625913153691172</v>
      </c>
      <c r="AD159">
        <f t="shared" si="78"/>
        <v>0</v>
      </c>
      <c r="AE159">
        <f t="shared" si="81"/>
        <v>0</v>
      </c>
    </row>
    <row r="160" spans="1:31" x14ac:dyDescent="0.25">
      <c r="A160" s="347">
        <v>9016.2999999999993</v>
      </c>
      <c r="B160" s="364">
        <f t="shared" si="75"/>
        <v>9.0162999999999993</v>
      </c>
      <c r="C160" s="337">
        <f t="shared" si="54"/>
        <v>4.0351210076989146</v>
      </c>
      <c r="D160" s="338">
        <f t="shared" si="55"/>
        <v>1.3203627411798948</v>
      </c>
      <c r="E160" s="338">
        <f t="shared" si="56"/>
        <v>1.0002670845588784</v>
      </c>
      <c r="F160" s="339">
        <f t="shared" si="57"/>
        <v>2.3109527355131953E-2</v>
      </c>
      <c r="G160" s="338">
        <f t="shared" si="58"/>
        <v>1</v>
      </c>
      <c r="H160" s="339">
        <f t="shared" si="59"/>
        <v>0</v>
      </c>
      <c r="I160" s="337">
        <f t="shared" si="60"/>
        <v>20307.55534698844</v>
      </c>
      <c r="J160" s="340">
        <f t="shared" si="61"/>
        <v>1.5707470840385276</v>
      </c>
      <c r="K160" s="348">
        <f t="shared" si="82"/>
        <v>3.9361008330963352</v>
      </c>
      <c r="L160" s="349">
        <f t="shared" si="83"/>
        <v>1.3139221546721973</v>
      </c>
      <c r="M160" s="337">
        <f t="shared" si="64"/>
        <v>1.0036830849781258</v>
      </c>
      <c r="N160" s="340">
        <f t="shared" si="65"/>
        <v>8.5694995539730631E-2</v>
      </c>
      <c r="O160" s="341">
        <f t="shared" si="66"/>
        <v>1.0016546585535318</v>
      </c>
      <c r="P160" s="342">
        <f t="shared" si="67"/>
        <v>0.12939075619677201</v>
      </c>
      <c r="Q160" s="343">
        <f t="shared" si="68"/>
        <v>7.4267046891805091</v>
      </c>
      <c r="R160" s="344">
        <f t="shared" si="69"/>
        <v>-101.3656245621046</v>
      </c>
      <c r="S160" s="346">
        <f t="shared" si="70"/>
        <v>78.6343754378954</v>
      </c>
      <c r="U160" s="319">
        <f t="shared" si="76"/>
        <v>1000000000</v>
      </c>
      <c r="V160" s="319">
        <f t="shared" si="77"/>
        <v>81293665.689999983</v>
      </c>
      <c r="X160" s="345">
        <f t="shared" si="71"/>
        <v>23.423463697144946</v>
      </c>
      <c r="Y160" s="346">
        <f t="shared" si="72"/>
        <v>-19.624946118679947</v>
      </c>
      <c r="AA160" s="345">
        <f t="shared" si="73"/>
        <v>47.612362281198195</v>
      </c>
      <c r="AB160" s="346">
        <f t="shared" si="74"/>
        <v>-81.740678443424613</v>
      </c>
      <c r="AD160">
        <f t="shared" si="78"/>
        <v>0</v>
      </c>
      <c r="AE160">
        <f t="shared" si="81"/>
        <v>0</v>
      </c>
    </row>
    <row r="161" spans="1:31" x14ac:dyDescent="0.25">
      <c r="A161" s="347">
        <v>9068.2000000000007</v>
      </c>
      <c r="B161" s="364">
        <f t="shared" si="75"/>
        <v>9.0682000000000009</v>
      </c>
      <c r="C161" s="337">
        <f t="shared" si="54"/>
        <v>4.0569254364327589</v>
      </c>
      <c r="D161" s="338">
        <f t="shared" si="55"/>
        <v>1.3217373480611563</v>
      </c>
      <c r="E161" s="338">
        <f t="shared" si="56"/>
        <v>1.0002701677985317</v>
      </c>
      <c r="F161" s="339">
        <f t="shared" si="57"/>
        <v>2.3242503609487236E-2</v>
      </c>
      <c r="G161" s="338">
        <f t="shared" si="58"/>
        <v>1</v>
      </c>
      <c r="H161" s="339">
        <f t="shared" si="59"/>
        <v>0</v>
      </c>
      <c r="I161" s="337">
        <f t="shared" si="60"/>
        <v>20424.450539025122</v>
      </c>
      <c r="J161" s="340">
        <f t="shared" si="61"/>
        <v>1.5707473658694369</v>
      </c>
      <c r="K161" s="348">
        <f t="shared" si="82"/>
        <v>3.9572994739604841</v>
      </c>
      <c r="L161" s="349">
        <f t="shared" si="83"/>
        <v>1.31532901670445</v>
      </c>
      <c r="M161" s="337">
        <f t="shared" si="64"/>
        <v>1.0037255295487135</v>
      </c>
      <c r="N161" s="340">
        <f t="shared" si="65"/>
        <v>8.6185844450641313E-2</v>
      </c>
      <c r="O161" s="341">
        <f t="shared" si="66"/>
        <v>1.0016740097880472</v>
      </c>
      <c r="P161" s="342">
        <f t="shared" si="67"/>
        <v>0.13013725328024306</v>
      </c>
      <c r="Q161" s="343">
        <f t="shared" si="68"/>
        <v>7.3761864094815248</v>
      </c>
      <c r="R161" s="344">
        <f t="shared" si="69"/>
        <v>-101.42706835100256</v>
      </c>
      <c r="S161" s="346">
        <f t="shared" si="70"/>
        <v>78.572931648997439</v>
      </c>
      <c r="U161" s="319">
        <f t="shared" si="76"/>
        <v>1000000000</v>
      </c>
      <c r="V161" s="319">
        <f t="shared" si="77"/>
        <v>82232251.24000001</v>
      </c>
      <c r="X161" s="345">
        <f t="shared" si="71"/>
        <v>23.419895699209295</v>
      </c>
      <c r="Y161" s="346">
        <f t="shared" si="72"/>
        <v>-19.572478580510133</v>
      </c>
      <c r="AA161" s="345">
        <f t="shared" si="73"/>
        <v>47.565411999434858</v>
      </c>
      <c r="AB161" s="346">
        <f t="shared" si="74"/>
        <v>-81.854589770492424</v>
      </c>
      <c r="AD161">
        <f t="shared" si="78"/>
        <v>0</v>
      </c>
      <c r="AE161">
        <f t="shared" si="81"/>
        <v>0</v>
      </c>
    </row>
    <row r="162" spans="1:31" x14ac:dyDescent="0.25">
      <c r="A162" s="347">
        <v>9120.1</v>
      </c>
      <c r="B162" s="364">
        <f t="shared" si="75"/>
        <v>9.1201000000000008</v>
      </c>
      <c r="C162" s="337">
        <f t="shared" si="54"/>
        <v>4.0787374489374386</v>
      </c>
      <c r="D162" s="338">
        <f t="shared" si="55"/>
        <v>1.3230972554188094</v>
      </c>
      <c r="E162" s="338">
        <f t="shared" si="56"/>
        <v>1.0002732687255373</v>
      </c>
      <c r="F162" s="339">
        <f t="shared" si="57"/>
        <v>2.3375479041719851E-2</v>
      </c>
      <c r="G162" s="338">
        <f t="shared" si="58"/>
        <v>1</v>
      </c>
      <c r="H162" s="339">
        <f t="shared" si="59"/>
        <v>0</v>
      </c>
      <c r="I162" s="337">
        <f t="shared" si="60"/>
        <v>20541.345731063408</v>
      </c>
      <c r="J162" s="340">
        <f t="shared" si="61"/>
        <v>1.5707476444927004</v>
      </c>
      <c r="K162" s="348">
        <f t="shared" si="82"/>
        <v>3.978505863875291</v>
      </c>
      <c r="L162" s="349">
        <f t="shared" si="83"/>
        <v>1.3167208836434305</v>
      </c>
      <c r="M162" s="337">
        <f t="shared" si="64"/>
        <v>1.0037682159290706</v>
      </c>
      <c r="N162" s="340">
        <f t="shared" si="65"/>
        <v>8.6676651731983273E-2</v>
      </c>
      <c r="O162" s="341">
        <f t="shared" si="66"/>
        <v>1.001693477774805</v>
      </c>
      <c r="P162" s="342">
        <f t="shared" si="67"/>
        <v>0.13088377911352883</v>
      </c>
      <c r="Q162" s="343">
        <f t="shared" si="68"/>
        <v>7.3259521424850425</v>
      </c>
      <c r="R162" s="344">
        <f t="shared" si="69"/>
        <v>-101.48852820015887</v>
      </c>
      <c r="S162" s="346">
        <f t="shared" si="70"/>
        <v>78.511471799841132</v>
      </c>
      <c r="U162" s="319">
        <f t="shared" si="76"/>
        <v>1000000000</v>
      </c>
      <c r="V162" s="319">
        <f t="shared" si="77"/>
        <v>83176224.010000005</v>
      </c>
      <c r="X162" s="345">
        <f t="shared" si="71"/>
        <v>23.416377810837044</v>
      </c>
      <c r="Y162" s="346">
        <f t="shared" si="72"/>
        <v>-19.52086762891604</v>
      </c>
      <c r="AA162" s="345">
        <f t="shared" si="73"/>
        <v>47.518695620810625</v>
      </c>
      <c r="AB162" s="346">
        <f t="shared" si="74"/>
        <v>-81.967660571242831</v>
      </c>
      <c r="AD162">
        <f t="shared" si="78"/>
        <v>0</v>
      </c>
      <c r="AE162">
        <f t="shared" si="81"/>
        <v>0</v>
      </c>
    </row>
    <row r="163" spans="1:31" x14ac:dyDescent="0.25">
      <c r="A163" s="347">
        <v>9173.2000000000007</v>
      </c>
      <c r="B163" s="364">
        <f t="shared" si="75"/>
        <v>9.1732000000000014</v>
      </c>
      <c r="C163" s="337">
        <f t="shared" si="54"/>
        <v>4.1010615080493418</v>
      </c>
      <c r="D163" s="338">
        <f t="shared" si="55"/>
        <v>1.324473631867654</v>
      </c>
      <c r="E163" s="338">
        <f t="shared" si="56"/>
        <v>1.00027645965562</v>
      </c>
      <c r="F163" s="339">
        <f t="shared" si="57"/>
        <v>2.3511528194668403E-2</v>
      </c>
      <c r="G163" s="338">
        <f t="shared" si="58"/>
        <v>1</v>
      </c>
      <c r="H163" s="339">
        <f t="shared" si="59"/>
        <v>0</v>
      </c>
      <c r="I163" s="337">
        <f t="shared" si="60"/>
        <v>20660.943702109987</v>
      </c>
      <c r="J163" s="340">
        <f t="shared" si="61"/>
        <v>1.5707479262951514</v>
      </c>
      <c r="K163" s="348">
        <f t="shared" si="82"/>
        <v>4.0002104662883395</v>
      </c>
      <c r="L163" s="349">
        <f t="shared" si="83"/>
        <v>1.3181296564547011</v>
      </c>
      <c r="M163" s="337">
        <f t="shared" si="64"/>
        <v>1.0038121395064572</v>
      </c>
      <c r="N163" s="340">
        <f t="shared" si="65"/>
        <v>8.7178763833004297E-2</v>
      </c>
      <c r="O163" s="341">
        <f t="shared" si="66"/>
        <v>1.001713516822478</v>
      </c>
      <c r="P163" s="342">
        <f t="shared" si="67"/>
        <v>0.13164759557411565</v>
      </c>
      <c r="Q163" s="343">
        <f t="shared" si="68"/>
        <v>7.2748469094977661</v>
      </c>
      <c r="R163" s="344">
        <f t="shared" si="69"/>
        <v>-101.55142549295813</v>
      </c>
      <c r="S163" s="346">
        <f t="shared" si="70"/>
        <v>78.448574507041869</v>
      </c>
      <c r="U163" s="319">
        <f t="shared" si="76"/>
        <v>1000000000</v>
      </c>
      <c r="V163" s="319">
        <f t="shared" si="77"/>
        <v>84147598.24000001</v>
      </c>
      <c r="X163" s="345">
        <f t="shared" si="71"/>
        <v>23.412829280949943</v>
      </c>
      <c r="Y163" s="346">
        <f t="shared" si="72"/>
        <v>-19.468935942800165</v>
      </c>
      <c r="AA163" s="345">
        <f t="shared" si="73"/>
        <v>47.471138917710448</v>
      </c>
      <c r="AB163" s="346">
        <f t="shared" si="74"/>
        <v>-82.082489550158002</v>
      </c>
      <c r="AD163">
        <f t="shared" si="78"/>
        <v>0</v>
      </c>
      <c r="AE163">
        <f t="shared" si="81"/>
        <v>0</v>
      </c>
    </row>
    <row r="164" spans="1:31" x14ac:dyDescent="0.25">
      <c r="A164" s="347">
        <v>9226.2999999999993</v>
      </c>
      <c r="B164" s="364">
        <f t="shared" si="75"/>
        <v>9.2262999999999984</v>
      </c>
      <c r="C164" s="337">
        <f t="shared" si="54"/>
        <v>4.1233932521295227</v>
      </c>
      <c r="D164" s="338">
        <f t="shared" si="55"/>
        <v>1.3258351023324597</v>
      </c>
      <c r="E164" s="338">
        <f t="shared" si="56"/>
        <v>1.0002796691000733</v>
      </c>
      <c r="F164" s="339">
        <f t="shared" si="57"/>
        <v>2.3647576477094867E-2</v>
      </c>
      <c r="G164" s="338">
        <f t="shared" si="58"/>
        <v>1</v>
      </c>
      <c r="H164" s="339">
        <f t="shared" si="59"/>
        <v>0</v>
      </c>
      <c r="I164" s="337">
        <f t="shared" si="60"/>
        <v>20780.541673158186</v>
      </c>
      <c r="J164" s="340">
        <f t="shared" si="61"/>
        <v>1.5707482048538945</v>
      </c>
      <c r="K164" s="348">
        <f t="shared" si="82"/>
        <v>4.0219229219867021</v>
      </c>
      <c r="L164" s="349">
        <f t="shared" si="83"/>
        <v>1.3195232214134072</v>
      </c>
      <c r="M164" s="337">
        <f t="shared" si="64"/>
        <v>1.0038563161393252</v>
      </c>
      <c r="N164" s="340">
        <f t="shared" si="65"/>
        <v>8.7680831867773312E-2</v>
      </c>
      <c r="O164" s="341">
        <f t="shared" si="66"/>
        <v>1.0017336782902304</v>
      </c>
      <c r="P164" s="342">
        <f t="shared" si="67"/>
        <v>0.13241144245361747</v>
      </c>
      <c r="Q164" s="343">
        <f t="shared" si="68"/>
        <v>7.224032092398768</v>
      </c>
      <c r="R164" s="344">
        <f t="shared" si="69"/>
        <v>-101.61433916364162</v>
      </c>
      <c r="S164" s="346">
        <f t="shared" si="70"/>
        <v>78.385660836358383</v>
      </c>
      <c r="U164" s="319">
        <f t="shared" si="76"/>
        <v>1000000000</v>
      </c>
      <c r="V164" s="319">
        <f t="shared" si="77"/>
        <v>85124611.689999983</v>
      </c>
      <c r="X164" s="345">
        <f t="shared" si="71"/>
        <v>23.409330872785077</v>
      </c>
      <c r="Y164" s="346">
        <f t="shared" si="72"/>
        <v>-19.417872891791657</v>
      </c>
      <c r="AA164" s="345">
        <f t="shared" si="73"/>
        <v>47.423822508776318</v>
      </c>
      <c r="AB164" s="346">
        <f t="shared" si="74"/>
        <v>-82.196466271849971</v>
      </c>
      <c r="AD164">
        <f t="shared" si="78"/>
        <v>0</v>
      </c>
      <c r="AE164">
        <f t="shared" si="81"/>
        <v>0</v>
      </c>
    </row>
    <row r="165" spans="1:31" x14ac:dyDescent="0.25">
      <c r="A165" s="347">
        <v>9279.4</v>
      </c>
      <c r="B165" s="364">
        <f t="shared" si="75"/>
        <v>9.279399999999999</v>
      </c>
      <c r="C165" s="337">
        <f t="shared" si="54"/>
        <v>4.1457325569885386</v>
      </c>
      <c r="D165" s="338">
        <f t="shared" si="55"/>
        <v>1.3271819026877252</v>
      </c>
      <c r="E165" s="338">
        <f t="shared" si="56"/>
        <v>1.0002828970587194</v>
      </c>
      <c r="F165" s="339">
        <f t="shared" si="57"/>
        <v>2.3783623883971386E-2</v>
      </c>
      <c r="G165" s="338">
        <f t="shared" si="58"/>
        <v>1</v>
      </c>
      <c r="H165" s="339">
        <f t="shared" si="59"/>
        <v>0</v>
      </c>
      <c r="I165" s="337">
        <f t="shared" si="60"/>
        <v>20900.139644207986</v>
      </c>
      <c r="J165" s="340">
        <f t="shared" si="61"/>
        <v>1.570748480224615</v>
      </c>
      <c r="K165" s="348">
        <f t="shared" si="82"/>
        <v>4.043643104465068</v>
      </c>
      <c r="L165" s="349">
        <f t="shared" si="83"/>
        <v>1.3209018181269898</v>
      </c>
      <c r="M165" s="337">
        <f t="shared" si="64"/>
        <v>1.0039007457942677</v>
      </c>
      <c r="N165" s="340">
        <f t="shared" si="65"/>
        <v>8.8182855589009637E-2</v>
      </c>
      <c r="O165" s="341">
        <f t="shared" si="66"/>
        <v>1.0017539622833662</v>
      </c>
      <c r="P165" s="342">
        <f t="shared" si="67"/>
        <v>0.13317531991570017</v>
      </c>
      <c r="Q165" s="343">
        <f t="shared" si="68"/>
        <v>7.1735043003622732</v>
      </c>
      <c r="R165" s="344">
        <f t="shared" si="69"/>
        <v>-101.67726899701523</v>
      </c>
      <c r="S165" s="346">
        <f t="shared" si="70"/>
        <v>78.322731002984767</v>
      </c>
      <c r="U165" s="319">
        <f t="shared" si="76"/>
        <v>1000000000</v>
      </c>
      <c r="V165" s="319">
        <f t="shared" si="77"/>
        <v>86107264.359999999</v>
      </c>
      <c r="X165" s="345">
        <f t="shared" si="71"/>
        <v>23.405881453981216</v>
      </c>
      <c r="Y165" s="346">
        <f t="shared" si="72"/>
        <v>-19.367664736417773</v>
      </c>
      <c r="AA165" s="345">
        <f t="shared" si="73"/>
        <v>47.376744135543689</v>
      </c>
      <c r="AB165" s="346">
        <f t="shared" si="74"/>
        <v>-82.309604260597467</v>
      </c>
      <c r="AD165">
        <f t="shared" si="78"/>
        <v>0</v>
      </c>
      <c r="AE165">
        <f t="shared" si="81"/>
        <v>0</v>
      </c>
    </row>
    <row r="166" spans="1:31" x14ac:dyDescent="0.25">
      <c r="A166" s="347">
        <v>9332.5</v>
      </c>
      <c r="B166" s="364">
        <f t="shared" si="75"/>
        <v>9.3324999999999996</v>
      </c>
      <c r="C166" s="337">
        <f t="shared" si="54"/>
        <v>4.1680793010577721</v>
      </c>
      <c r="D166" s="338">
        <f t="shared" si="55"/>
        <v>1.3285142639649334</v>
      </c>
      <c r="E166" s="338">
        <f t="shared" si="56"/>
        <v>1.0002861435313786</v>
      </c>
      <c r="F166" s="339">
        <f t="shared" si="57"/>
        <v>2.391967041027028E-2</v>
      </c>
      <c r="G166" s="338">
        <f t="shared" si="58"/>
        <v>1</v>
      </c>
      <c r="H166" s="339">
        <f t="shared" si="59"/>
        <v>0</v>
      </c>
      <c r="I166" s="337">
        <f t="shared" si="60"/>
        <v>21019.737615259346</v>
      </c>
      <c r="J166" s="340">
        <f t="shared" si="61"/>
        <v>1.5707487524617303</v>
      </c>
      <c r="K166" s="348">
        <f t="shared" si="82"/>
        <v>4.0653708898771228</v>
      </c>
      <c r="L166" s="349">
        <f t="shared" si="83"/>
        <v>1.3222656813107894</v>
      </c>
      <c r="M166" s="337">
        <f t="shared" si="64"/>
        <v>1.0039454284376921</v>
      </c>
      <c r="N166" s="340">
        <f t="shared" si="65"/>
        <v>8.8684834749565553E-2</v>
      </c>
      <c r="O166" s="341">
        <f t="shared" si="66"/>
        <v>1.0017743689077876</v>
      </c>
      <c r="P166" s="342">
        <f t="shared" si="67"/>
        <v>0.13393922812381467</v>
      </c>
      <c r="Q166" s="343">
        <f t="shared" si="68"/>
        <v>7.1232602009899351</v>
      </c>
      <c r="R166" s="344">
        <f t="shared" si="69"/>
        <v>-101.74021478062002</v>
      </c>
      <c r="S166" s="346">
        <f t="shared" si="70"/>
        <v>78.259785219379978</v>
      </c>
      <c r="U166" s="319">
        <f t="shared" si="76"/>
        <v>1000000000</v>
      </c>
      <c r="V166" s="319">
        <f t="shared" si="77"/>
        <v>87095556.25</v>
      </c>
      <c r="X166" s="345">
        <f t="shared" si="71"/>
        <v>23.402479922388842</v>
      </c>
      <c r="Y166" s="346">
        <f t="shared" si="72"/>
        <v>-19.318298017437474</v>
      </c>
      <c r="AA166" s="345">
        <f t="shared" si="73"/>
        <v>47.329901567763727</v>
      </c>
      <c r="AB166" s="346">
        <f t="shared" si="74"/>
        <v>-82.421916763182523</v>
      </c>
      <c r="AD166">
        <f t="shared" si="78"/>
        <v>0</v>
      </c>
      <c r="AE166">
        <f t="shared" si="81"/>
        <v>0</v>
      </c>
    </row>
    <row r="167" spans="1:31" x14ac:dyDescent="0.25">
      <c r="A167" s="347">
        <v>9386.85</v>
      </c>
      <c r="B167" s="364">
        <f t="shared" si="75"/>
        <v>9.3868500000000008</v>
      </c>
      <c r="C167" s="337">
        <f t="shared" si="54"/>
        <v>4.1909596781770011</v>
      </c>
      <c r="D167" s="338">
        <f t="shared" si="55"/>
        <v>1.3298632729193878</v>
      </c>
      <c r="E167" s="338">
        <f t="shared" si="56"/>
        <v>1.0002894856002924</v>
      </c>
      <c r="F167" s="339">
        <f t="shared" si="57"/>
        <v>2.4058918621249665E-2</v>
      </c>
      <c r="G167" s="338">
        <f t="shared" si="58"/>
        <v>1</v>
      </c>
      <c r="H167" s="339">
        <f t="shared" si="59"/>
        <v>0</v>
      </c>
      <c r="I167" s="337">
        <f t="shared" si="60"/>
        <v>21142.150981111066</v>
      </c>
      <c r="J167" s="340">
        <f t="shared" si="61"/>
        <v>1.5707490279178209</v>
      </c>
      <c r="K167" s="348">
        <f t="shared" si="82"/>
        <v>4.0876179049614532</v>
      </c>
      <c r="L167" s="349">
        <f t="shared" si="83"/>
        <v>1.3236466326052612</v>
      </c>
      <c r="M167" s="337">
        <f t="shared" si="64"/>
        <v>1.0039914248889541</v>
      </c>
      <c r="N167" s="340">
        <f t="shared" si="65"/>
        <v>8.9198584341042469E-2</v>
      </c>
      <c r="O167" s="341">
        <f t="shared" si="66"/>
        <v>1.0017953830207618</v>
      </c>
      <c r="P167" s="342">
        <f t="shared" si="67"/>
        <v>0.1347211511157754</v>
      </c>
      <c r="Q167" s="343">
        <f t="shared" si="68"/>
        <v>7.0721237014452587</v>
      </c>
      <c r="R167" s="344">
        <f t="shared" si="69"/>
        <v>-101.8046586377622</v>
      </c>
      <c r="S167" s="346">
        <f t="shared" si="70"/>
        <v>78.195341362237798</v>
      </c>
      <c r="U167" s="319">
        <f t="shared" si="76"/>
        <v>1000000000</v>
      </c>
      <c r="V167" s="319">
        <f t="shared" si="77"/>
        <v>88112952.922499999</v>
      </c>
      <c r="X167" s="345">
        <f t="shared" si="71"/>
        <v>23.399046788875133</v>
      </c>
      <c r="Y167" s="346">
        <f t="shared" si="72"/>
        <v>-19.268626802283997</v>
      </c>
      <c r="AA167" s="345">
        <f t="shared" si="73"/>
        <v>47.282198201732754</v>
      </c>
      <c r="AB167" s="346">
        <f t="shared" si="74"/>
        <v>-82.536031835478227</v>
      </c>
      <c r="AD167">
        <f t="shared" si="78"/>
        <v>0</v>
      </c>
      <c r="AE167">
        <f t="shared" si="81"/>
        <v>0</v>
      </c>
    </row>
    <row r="168" spans="1:31" x14ac:dyDescent="0.25">
      <c r="A168" s="347">
        <v>9441.2000000000007</v>
      </c>
      <c r="B168" s="364">
        <f t="shared" si="75"/>
        <v>9.4412000000000003</v>
      </c>
      <c r="C168" s="337">
        <f t="shared" si="54"/>
        <v>4.2138475992777993</v>
      </c>
      <c r="D168" s="338">
        <f t="shared" si="55"/>
        <v>1.3311976297347889</v>
      </c>
      <c r="E168" s="338">
        <f t="shared" si="56"/>
        <v>1.0002928470647539</v>
      </c>
      <c r="F168" s="339">
        <f t="shared" si="57"/>
        <v>2.4198165899047292E-2</v>
      </c>
      <c r="G168" s="338">
        <f t="shared" si="58"/>
        <v>1</v>
      </c>
      <c r="H168" s="339">
        <f t="shared" si="59"/>
        <v>0</v>
      </c>
      <c r="I168" s="337">
        <f t="shared" si="60"/>
        <v>21264.564346964373</v>
      </c>
      <c r="J168" s="340">
        <f t="shared" si="61"/>
        <v>1.5707493002024844</v>
      </c>
      <c r="K168" s="348">
        <f t="shared" si="82"/>
        <v>4.109872630840913</v>
      </c>
      <c r="L168" s="349">
        <f t="shared" si="83"/>
        <v>1.3250126309362853</v>
      </c>
      <c r="M168" s="337">
        <f t="shared" si="64"/>
        <v>1.0040376863080298</v>
      </c>
      <c r="N168" s="340">
        <f t="shared" si="65"/>
        <v>8.9712286725678436E-2</v>
      </c>
      <c r="O168" s="341">
        <f t="shared" si="66"/>
        <v>1.0018165258329981</v>
      </c>
      <c r="P168" s="342">
        <f t="shared" si="67"/>
        <v>0.13550310666417029</v>
      </c>
      <c r="Q168" s="343">
        <f t="shared" si="68"/>
        <v>7.0212775256309445</v>
      </c>
      <c r="R168" s="344">
        <f t="shared" si="69"/>
        <v>-101.86911876322415</v>
      </c>
      <c r="S168" s="346">
        <f t="shared" si="70"/>
        <v>78.130881236775849</v>
      </c>
      <c r="U168" s="319">
        <f t="shared" si="76"/>
        <v>1000000000</v>
      </c>
      <c r="V168" s="319">
        <f t="shared" si="77"/>
        <v>89136257.440000013</v>
      </c>
      <c r="X168" s="345">
        <f t="shared" si="71"/>
        <v>23.395661580089268</v>
      </c>
      <c r="Y168" s="346">
        <f t="shared" si="72"/>
        <v>-19.219809442366095</v>
      </c>
      <c r="AA168" s="345">
        <f t="shared" si="73"/>
        <v>47.234737234704298</v>
      </c>
      <c r="AB168" s="346">
        <f t="shared" si="74"/>
        <v>-82.649309320858038</v>
      </c>
      <c r="AD168">
        <f t="shared" si="78"/>
        <v>0</v>
      </c>
      <c r="AE168">
        <f t="shared" si="81"/>
        <v>0</v>
      </c>
    </row>
    <row r="169" spans="1:31" x14ac:dyDescent="0.25">
      <c r="A169" s="347">
        <v>9495.5499999999993</v>
      </c>
      <c r="B169" s="364">
        <f t="shared" si="75"/>
        <v>9.4955499999999997</v>
      </c>
      <c r="C169" s="337">
        <f t="shared" si="54"/>
        <v>4.2367429420968739</v>
      </c>
      <c r="D169" s="338">
        <f t="shared" si="55"/>
        <v>1.3325175671608736</v>
      </c>
      <c r="E169" s="338">
        <f t="shared" si="56"/>
        <v>1.0002962279245671</v>
      </c>
      <c r="F169" s="339">
        <f t="shared" si="57"/>
        <v>2.4337412238272644E-2</v>
      </c>
      <c r="G169" s="338">
        <f t="shared" si="58"/>
        <v>1</v>
      </c>
      <c r="H169" s="339">
        <f t="shared" si="59"/>
        <v>0</v>
      </c>
      <c r="I169" s="337">
        <f t="shared" si="60"/>
        <v>21386.977712819233</v>
      </c>
      <c r="J169" s="340">
        <f t="shared" si="61"/>
        <v>1.5707495693701781</v>
      </c>
      <c r="K169" s="348">
        <f t="shared" si="82"/>
        <v>4.1321349429298113</v>
      </c>
      <c r="L169" s="349">
        <f t="shared" si="83"/>
        <v>1.3263639128464713</v>
      </c>
      <c r="M169" s="337">
        <f t="shared" si="64"/>
        <v>1.0040842126582956</v>
      </c>
      <c r="N169" s="340">
        <f t="shared" si="65"/>
        <v>9.0225941638895191E-2</v>
      </c>
      <c r="O169" s="341">
        <f t="shared" si="66"/>
        <v>1.0018377974599966</v>
      </c>
      <c r="P169" s="342">
        <f t="shared" si="67"/>
        <v>0.13628509494356067</v>
      </c>
      <c r="Q169" s="343">
        <f t="shared" si="68"/>
        <v>6.9707182817933937</v>
      </c>
      <c r="R169" s="344">
        <f t="shared" si="69"/>
        <v>-101.93359493796162</v>
      </c>
      <c r="S169" s="346">
        <f t="shared" si="70"/>
        <v>78.066405062038385</v>
      </c>
      <c r="U169" s="319">
        <f t="shared" si="76"/>
        <v>1000000000</v>
      </c>
      <c r="V169" s="319">
        <f t="shared" si="77"/>
        <v>90165469.80249998</v>
      </c>
      <c r="X169" s="345">
        <f t="shared" si="71"/>
        <v>23.39232320642731</v>
      </c>
      <c r="Y169" s="346">
        <f t="shared" si="72"/>
        <v>-19.171832372751563</v>
      </c>
      <c r="AA169" s="345">
        <f t="shared" si="73"/>
        <v>47.187516364528712</v>
      </c>
      <c r="AB169" s="346">
        <f t="shared" si="74"/>
        <v>-82.761762565210049</v>
      </c>
      <c r="AD169">
        <f t="shared" si="78"/>
        <v>0</v>
      </c>
      <c r="AE169">
        <f t="shared" si="81"/>
        <v>0</v>
      </c>
    </row>
    <row r="170" spans="1:31" x14ac:dyDescent="0.25">
      <c r="A170" s="347">
        <v>9549.9</v>
      </c>
      <c r="B170" s="364">
        <f t="shared" si="75"/>
        <v>9.5498999999999992</v>
      </c>
      <c r="C170" s="337">
        <f t="shared" si="54"/>
        <v>4.2596455869603362</v>
      </c>
      <c r="D170" s="338">
        <f t="shared" si="55"/>
        <v>1.3338233131451378</v>
      </c>
      <c r="E170" s="338">
        <f t="shared" si="56"/>
        <v>1.000299628179536</v>
      </c>
      <c r="F170" s="339">
        <f t="shared" si="57"/>
        <v>2.4476657633535421E-2</v>
      </c>
      <c r="G170" s="338">
        <f t="shared" si="58"/>
        <v>1</v>
      </c>
      <c r="H170" s="339">
        <f t="shared" si="59"/>
        <v>0</v>
      </c>
      <c r="I170" s="337">
        <f t="shared" si="60"/>
        <v>21509.391078675631</v>
      </c>
      <c r="J170" s="340">
        <f t="shared" si="61"/>
        <v>1.5707498354741194</v>
      </c>
      <c r="K170" s="348">
        <f t="shared" si="82"/>
        <v>4.1544047192709206</v>
      </c>
      <c r="L170" s="349">
        <f t="shared" si="83"/>
        <v>1.3277007100240361</v>
      </c>
      <c r="M170" s="337">
        <f t="shared" si="64"/>
        <v>1.004131003902925</v>
      </c>
      <c r="N170" s="340">
        <f t="shared" si="65"/>
        <v>9.0739548816263602E-2</v>
      </c>
      <c r="O170" s="341">
        <f t="shared" si="66"/>
        <v>1.001859198017911</v>
      </c>
      <c r="P170" s="342">
        <f t="shared" si="67"/>
        <v>0.13706711612826677</v>
      </c>
      <c r="Q170" s="343">
        <f t="shared" si="68"/>
        <v>6.9204426366311669</v>
      </c>
      <c r="R170" s="344">
        <f t="shared" si="69"/>
        <v>-101.99808694584223</v>
      </c>
      <c r="S170" s="346">
        <f t="shared" si="70"/>
        <v>78.001913054157768</v>
      </c>
      <c r="U170" s="319">
        <f t="shared" si="76"/>
        <v>1000000000</v>
      </c>
      <c r="V170" s="319">
        <f t="shared" si="77"/>
        <v>91200590.00999999</v>
      </c>
      <c r="X170" s="345">
        <f t="shared" si="71"/>
        <v>23.389030607443129</v>
      </c>
      <c r="Y170" s="346">
        <f t="shared" si="72"/>
        <v>-19.124682306581803</v>
      </c>
      <c r="AA170" s="345">
        <f t="shared" si="73"/>
        <v>47.14053331835067</v>
      </c>
      <c r="AB170" s="346">
        <f t="shared" si="74"/>
        <v>-82.873404639260414</v>
      </c>
      <c r="AD170">
        <f t="shared" si="78"/>
        <v>0</v>
      </c>
      <c r="AE170">
        <f t="shared" si="81"/>
        <v>0</v>
      </c>
    </row>
    <row r="171" spans="1:31" x14ac:dyDescent="0.25">
      <c r="A171" s="347">
        <v>9605.5249999999996</v>
      </c>
      <c r="B171" s="364">
        <f t="shared" si="75"/>
        <v>9.6055250000000001</v>
      </c>
      <c r="C171" s="337">
        <f t="shared" si="54"/>
        <v>4.2830929451438848</v>
      </c>
      <c r="D171" s="338">
        <f t="shared" si="55"/>
        <v>1.335145228944546</v>
      </c>
      <c r="E171" s="338">
        <f t="shared" si="56"/>
        <v>1.0003031282840698</v>
      </c>
      <c r="F171" s="339">
        <f t="shared" si="57"/>
        <v>2.4619168612044495E-2</v>
      </c>
      <c r="G171" s="338">
        <f t="shared" si="58"/>
        <v>1</v>
      </c>
      <c r="H171" s="339">
        <f t="shared" si="59"/>
        <v>0</v>
      </c>
      <c r="I171" s="337">
        <f t="shared" si="60"/>
        <v>21634.676147228463</v>
      </c>
      <c r="J171" s="340">
        <f t="shared" si="61"/>
        <v>1.5707501047024766</v>
      </c>
      <c r="K171" s="348">
        <f t="shared" si="82"/>
        <v>4.1772045280482271</v>
      </c>
      <c r="L171" s="349">
        <f t="shared" si="83"/>
        <v>1.3290541056060496</v>
      </c>
      <c r="M171" s="337">
        <f t="shared" si="64"/>
        <v>1.0041791670761147</v>
      </c>
      <c r="N171" s="340">
        <f t="shared" si="65"/>
        <v>9.1265155031532E-2</v>
      </c>
      <c r="O171" s="341">
        <f t="shared" si="66"/>
        <v>1.0018812342380241</v>
      </c>
      <c r="P171" s="342">
        <f t="shared" si="67"/>
        <v>0.13786751705006769</v>
      </c>
      <c r="Q171" s="343">
        <f t="shared" si="68"/>
        <v>6.8692778096058742</v>
      </c>
      <c r="R171" s="344">
        <f t="shared" si="69"/>
        <v>-102.06410804783842</v>
      </c>
      <c r="S171" s="346">
        <f t="shared" si="70"/>
        <v>77.935891952161583</v>
      </c>
      <c r="U171" s="319">
        <f t="shared" si="76"/>
        <v>1000000000</v>
      </c>
      <c r="V171" s="319">
        <f t="shared" si="77"/>
        <v>92266110.52562499</v>
      </c>
      <c r="X171" s="345">
        <f t="shared" si="71"/>
        <v>23.385707088190884</v>
      </c>
      <c r="Y171" s="346">
        <f t="shared" si="72"/>
        <v>-19.077268895135909</v>
      </c>
      <c r="AA171" s="345">
        <f t="shared" si="73"/>
        <v>47.092692010577615</v>
      </c>
      <c r="AB171" s="346">
        <f t="shared" si="74"/>
        <v>-82.986839152702501</v>
      </c>
      <c r="AD171">
        <f t="shared" si="78"/>
        <v>0</v>
      </c>
      <c r="AE171">
        <f t="shared" si="81"/>
        <v>0</v>
      </c>
    </row>
    <row r="172" spans="1:31" x14ac:dyDescent="0.25">
      <c r="A172" s="347">
        <v>9661.15</v>
      </c>
      <c r="B172" s="364">
        <f t="shared" si="75"/>
        <v>9.6611499999999992</v>
      </c>
      <c r="C172" s="337">
        <f t="shared" si="54"/>
        <v>4.3065477063589643</v>
      </c>
      <c r="D172" s="338">
        <f t="shared" si="55"/>
        <v>1.3364527479016544</v>
      </c>
      <c r="E172" s="338">
        <f t="shared" si="56"/>
        <v>1.0003066487039962</v>
      </c>
      <c r="F172" s="339">
        <f t="shared" si="57"/>
        <v>2.4761678590358459E-2</v>
      </c>
      <c r="G172" s="338">
        <f t="shared" si="58"/>
        <v>1</v>
      </c>
      <c r="H172" s="339">
        <f t="shared" si="59"/>
        <v>0</v>
      </c>
      <c r="I172" s="337">
        <f t="shared" si="60"/>
        <v>21759.961215782852</v>
      </c>
      <c r="J172" s="340">
        <f t="shared" si="61"/>
        <v>1.5707503708306172</v>
      </c>
      <c r="K172" s="348">
        <f t="shared" si="82"/>
        <v>4.200011905047405</v>
      </c>
      <c r="L172" s="349">
        <f t="shared" si="83"/>
        <v>1.3303928048961935</v>
      </c>
      <c r="M172" s="337">
        <f t="shared" si="64"/>
        <v>1.0042276076390879</v>
      </c>
      <c r="N172" s="340">
        <f t="shared" si="65"/>
        <v>9.1790710685026922E-2</v>
      </c>
      <c r="O172" s="341">
        <f t="shared" si="66"/>
        <v>1.0019034057574923</v>
      </c>
      <c r="P172" s="342">
        <f t="shared" si="67"/>
        <v>0.13866795280784253</v>
      </c>
      <c r="Q172" s="343">
        <f t="shared" si="68"/>
        <v>6.8184031601013082</v>
      </c>
      <c r="R172" s="344">
        <f t="shared" si="69"/>
        <v>-102.13014528568688</v>
      </c>
      <c r="S172" s="346">
        <f t="shared" si="70"/>
        <v>77.869854714313121</v>
      </c>
      <c r="U172" s="319">
        <f t="shared" si="76"/>
        <v>1000000000</v>
      </c>
      <c r="V172" s="319">
        <f t="shared" si="77"/>
        <v>93337819.32249999</v>
      </c>
      <c r="X172" s="345">
        <f t="shared" si="71"/>
        <v>23.382429358455209</v>
      </c>
      <c r="Y172" s="346">
        <f t="shared" si="72"/>
        <v>-19.030694444584054</v>
      </c>
      <c r="AA172" s="345">
        <f t="shared" si="73"/>
        <v>47.045095090808722</v>
      </c>
      <c r="AB172" s="346">
        <f t="shared" si="74"/>
        <v>-83.099450841102808</v>
      </c>
      <c r="AD172">
        <f t="shared" si="78"/>
        <v>0</v>
      </c>
      <c r="AE172">
        <f t="shared" si="81"/>
        <v>0</v>
      </c>
    </row>
    <row r="173" spans="1:31" x14ac:dyDescent="0.25">
      <c r="A173" s="347">
        <v>9716.7749999999996</v>
      </c>
      <c r="B173" s="364">
        <f t="shared" si="75"/>
        <v>9.7167750000000002</v>
      </c>
      <c r="C173" s="337">
        <f t="shared" si="54"/>
        <v>4.3300097503035362</v>
      </c>
      <c r="D173" s="338">
        <f t="shared" si="55"/>
        <v>1.3377460995358044</v>
      </c>
      <c r="E173" s="338">
        <f t="shared" si="56"/>
        <v>1.0003101894391013</v>
      </c>
      <c r="F173" s="339">
        <f t="shared" si="57"/>
        <v>2.4904187562699409E-2</v>
      </c>
      <c r="G173" s="338">
        <f t="shared" si="58"/>
        <v>1</v>
      </c>
      <c r="H173" s="339">
        <f t="shared" si="59"/>
        <v>0</v>
      </c>
      <c r="I173" s="337">
        <f t="shared" si="60"/>
        <v>21885.246284338762</v>
      </c>
      <c r="J173" s="340">
        <f t="shared" si="61"/>
        <v>1.5707506339117847</v>
      </c>
      <c r="K173" s="348">
        <f t="shared" si="82"/>
        <v>4.2228267276411522</v>
      </c>
      <c r="L173" s="349">
        <f t="shared" si="83"/>
        <v>1.3317170412575827</v>
      </c>
      <c r="M173" s="337">
        <f t="shared" si="64"/>
        <v>1.0042763255517055</v>
      </c>
      <c r="N173" s="340">
        <f t="shared" si="65"/>
        <v>9.2316215493759776E-2</v>
      </c>
      <c r="O173" s="341">
        <f t="shared" si="66"/>
        <v>1.0019257127029657</v>
      </c>
      <c r="P173" s="342">
        <f t="shared" si="67"/>
        <v>0.13946842358767619</v>
      </c>
      <c r="Q173" s="343">
        <f t="shared" si="68"/>
        <v>6.7678152962724178</v>
      </c>
      <c r="R173" s="344">
        <f t="shared" si="69"/>
        <v>-102.19619843698503</v>
      </c>
      <c r="S173" s="346">
        <f t="shared" si="70"/>
        <v>77.803801563014972</v>
      </c>
      <c r="U173" s="319">
        <f t="shared" si="76"/>
        <v>1000000000</v>
      </c>
      <c r="V173" s="319">
        <f t="shared" si="77"/>
        <v>94415716.40062499</v>
      </c>
      <c r="X173" s="345">
        <f t="shared" si="71"/>
        <v>23.379196370361306</v>
      </c>
      <c r="Y173" s="346">
        <f t="shared" si="72"/>
        <v>-18.984945571041209</v>
      </c>
      <c r="AA173" s="345">
        <f t="shared" si="73"/>
        <v>46.99774021507374</v>
      </c>
      <c r="AB173" s="346">
        <f t="shared" si="74"/>
        <v>-83.211252865943834</v>
      </c>
      <c r="AD173">
        <f t="shared" si="78"/>
        <v>0</v>
      </c>
      <c r="AE173">
        <f t="shared" si="81"/>
        <v>0</v>
      </c>
    </row>
    <row r="174" spans="1:31" x14ac:dyDescent="0.25">
      <c r="A174" s="347">
        <v>9772.4</v>
      </c>
      <c r="B174" s="364">
        <f t="shared" si="75"/>
        <v>9.7723999999999993</v>
      </c>
      <c r="C174" s="337">
        <f t="shared" si="54"/>
        <v>4.3534789592319632</v>
      </c>
      <c r="D174" s="338">
        <f t="shared" si="55"/>
        <v>1.3390255086089671</v>
      </c>
      <c r="E174" s="338">
        <f t="shared" si="56"/>
        <v>1.000313750489169</v>
      </c>
      <c r="F174" s="339">
        <f t="shared" si="57"/>
        <v>2.5046695523289683E-2</v>
      </c>
      <c r="G174" s="338">
        <f t="shared" si="58"/>
        <v>1</v>
      </c>
      <c r="H174" s="339">
        <f t="shared" si="59"/>
        <v>0</v>
      </c>
      <c r="I174" s="337">
        <f t="shared" si="60"/>
        <v>22010.531352896171</v>
      </c>
      <c r="J174" s="340">
        <f t="shared" si="61"/>
        <v>1.570750893998009</v>
      </c>
      <c r="K174" s="348">
        <f t="shared" si="82"/>
        <v>4.2456488757984037</v>
      </c>
      <c r="L174" s="349">
        <f t="shared" si="83"/>
        <v>1.3330270432409963</v>
      </c>
      <c r="M174" s="337">
        <f t="shared" si="64"/>
        <v>1.0043253207736063</v>
      </c>
      <c r="N174" s="340">
        <f t="shared" si="65"/>
        <v>9.2841669174909019E-2</v>
      </c>
      <c r="O174" s="341">
        <f t="shared" si="66"/>
        <v>1.001948155201811</v>
      </c>
      <c r="P174" s="342">
        <f t="shared" si="67"/>
        <v>0.14026892957538295</v>
      </c>
      <c r="Q174" s="343">
        <f t="shared" si="68"/>
        <v>6.7175108847310288</v>
      </c>
      <c r="R174" s="344">
        <f t="shared" si="69"/>
        <v>-102.26226728240427</v>
      </c>
      <c r="S174" s="346">
        <f t="shared" si="70"/>
        <v>77.737732717595733</v>
      </c>
      <c r="U174" s="319">
        <f t="shared" si="76"/>
        <v>1000000000</v>
      </c>
      <c r="V174" s="319">
        <f t="shared" si="77"/>
        <v>95499801.75999999</v>
      </c>
      <c r="X174" s="345">
        <f t="shared" si="71"/>
        <v>23.37600710415435</v>
      </c>
      <c r="Y174" s="346">
        <f t="shared" si="72"/>
        <v>-18.94000916628892</v>
      </c>
      <c r="AA174" s="345">
        <f t="shared" si="73"/>
        <v>46.950625069739303</v>
      </c>
      <c r="AB174" s="346">
        <f t="shared" si="74"/>
        <v>-83.32225811611535</v>
      </c>
      <c r="AD174">
        <f t="shared" si="78"/>
        <v>0</v>
      </c>
      <c r="AE174">
        <f t="shared" si="81"/>
        <v>0</v>
      </c>
    </row>
    <row r="175" spans="1:31" x14ac:dyDescent="0.25">
      <c r="A175" s="347">
        <v>9829.2999999999993</v>
      </c>
      <c r="B175" s="364">
        <f t="shared" si="75"/>
        <v>9.8292999999999999</v>
      </c>
      <c r="C175" s="337">
        <f t="shared" si="54"/>
        <v>4.3774934071402356</v>
      </c>
      <c r="D175" s="338">
        <f t="shared" si="55"/>
        <v>1.3403200473298336</v>
      </c>
      <c r="E175" s="338">
        <f t="shared" si="56"/>
        <v>1.0003174141818485</v>
      </c>
      <c r="F175" s="339">
        <f t="shared" si="57"/>
        <v>2.5192468905656518E-2</v>
      </c>
      <c r="G175" s="338">
        <f t="shared" si="58"/>
        <v>1</v>
      </c>
      <c r="H175" s="339">
        <f t="shared" si="59"/>
        <v>0</v>
      </c>
      <c r="I175" s="337">
        <f t="shared" si="60"/>
        <v>22138.688124150125</v>
      </c>
      <c r="J175" s="340">
        <f t="shared" si="61"/>
        <v>1.5707511570000681</v>
      </c>
      <c r="K175" s="348">
        <f t="shared" si="82"/>
        <v>4.2690015952313933</v>
      </c>
      <c r="L175" s="349">
        <f t="shared" si="83"/>
        <v>1.3343525780689849</v>
      </c>
      <c r="M175" s="337">
        <f t="shared" si="64"/>
        <v>1.0043757259063277</v>
      </c>
      <c r="N175" s="340">
        <f t="shared" si="65"/>
        <v>9.3379113769343422E-2</v>
      </c>
      <c r="O175" s="341">
        <f t="shared" si="66"/>
        <v>1.0019712524961073</v>
      </c>
      <c r="P175" s="342">
        <f t="shared" si="67"/>
        <v>0.14108782086073701</v>
      </c>
      <c r="Q175" s="343">
        <f t="shared" si="68"/>
        <v>6.6663432853264908</v>
      </c>
      <c r="R175" s="344">
        <f t="shared" si="69"/>
        <v>-102.32986652720915</v>
      </c>
      <c r="S175" s="346">
        <f t="shared" si="70"/>
        <v>77.670133472790852</v>
      </c>
      <c r="U175" s="319">
        <f t="shared" si="76"/>
        <v>1000000000</v>
      </c>
      <c r="V175" s="319">
        <f t="shared" si="77"/>
        <v>96615138.48999998</v>
      </c>
      <c r="X175" s="345">
        <f t="shared" si="71"/>
        <v>23.372788937685307</v>
      </c>
      <c r="Y175" s="346">
        <f t="shared" si="72"/>
        <v>-18.894869990887194</v>
      </c>
      <c r="AA175" s="345">
        <f t="shared" si="73"/>
        <v>46.902675636803806</v>
      </c>
      <c r="AB175" s="346">
        <f t="shared" si="74"/>
        <v>-83.434996536321933</v>
      </c>
      <c r="AD175">
        <f t="shared" si="78"/>
        <v>0</v>
      </c>
      <c r="AE175">
        <f t="shared" si="81"/>
        <v>0</v>
      </c>
    </row>
    <row r="176" spans="1:31" x14ac:dyDescent="0.25">
      <c r="A176" s="347">
        <v>9886.2000000000007</v>
      </c>
      <c r="B176" s="364">
        <f t="shared" si="75"/>
        <v>9.8862000000000005</v>
      </c>
      <c r="C176" s="337">
        <f t="shared" si="54"/>
        <v>4.4015151109293305</v>
      </c>
      <c r="D176" s="338">
        <f t="shared" si="55"/>
        <v>1.3416004580309209</v>
      </c>
      <c r="E176" s="338">
        <f t="shared" si="56"/>
        <v>1.0003210991309961</v>
      </c>
      <c r="F176" s="339">
        <f t="shared" si="57"/>
        <v>2.5338241217130835E-2</v>
      </c>
      <c r="G176" s="338">
        <f t="shared" si="58"/>
        <v>1</v>
      </c>
      <c r="H176" s="339">
        <f t="shared" si="59"/>
        <v>0</v>
      </c>
      <c r="I176" s="337">
        <f t="shared" si="60"/>
        <v>22266.8448954056</v>
      </c>
      <c r="J176" s="340">
        <f t="shared" si="61"/>
        <v>1.5707514169747119</v>
      </c>
      <c r="K176" s="348">
        <f t="shared" si="82"/>
        <v>4.2923617338574891</v>
      </c>
      <c r="L176" s="349">
        <f t="shared" si="83"/>
        <v>1.3356636873755972</v>
      </c>
      <c r="M176" s="337">
        <f t="shared" si="64"/>
        <v>1.004426421120489</v>
      </c>
      <c r="N176" s="340">
        <f t="shared" si="65"/>
        <v>9.3916504267391079E-2</v>
      </c>
      <c r="O176" s="341">
        <f t="shared" si="66"/>
        <v>1.0019944919010213</v>
      </c>
      <c r="P176" s="342">
        <f t="shared" si="67"/>
        <v>0.14190674937892914</v>
      </c>
      <c r="Q176" s="343">
        <f t="shared" si="68"/>
        <v>6.6154654070561225</v>
      </c>
      <c r="R176" s="344">
        <f t="shared" si="69"/>
        <v>-102.39748173928929</v>
      </c>
      <c r="S176" s="346">
        <f t="shared" si="70"/>
        <v>77.60251826071071</v>
      </c>
      <c r="U176" s="319">
        <f t="shared" si="76"/>
        <v>1000000000</v>
      </c>
      <c r="V176" s="319">
        <f t="shared" si="77"/>
        <v>97736950.440000013</v>
      </c>
      <c r="X176" s="345">
        <f t="shared" si="71"/>
        <v>23.369614448146642</v>
      </c>
      <c r="Y176" s="346">
        <f t="shared" si="72"/>
        <v>-18.850554064025786</v>
      </c>
      <c r="AA176" s="345">
        <f t="shared" si="73"/>
        <v>46.854972248072109</v>
      </c>
      <c r="AB176" s="346">
        <f t="shared" si="74"/>
        <v>-83.546927675263518</v>
      </c>
      <c r="AD176">
        <f t="shared" si="78"/>
        <v>0</v>
      </c>
      <c r="AE176">
        <f t="shared" si="81"/>
        <v>0</v>
      </c>
    </row>
    <row r="177" spans="1:31" x14ac:dyDescent="0.25">
      <c r="A177" s="347">
        <v>9943.1</v>
      </c>
      <c r="B177" s="364">
        <f t="shared" si="75"/>
        <v>9.9431000000000012</v>
      </c>
      <c r="C177" s="337">
        <f t="shared" si="54"/>
        <v>4.4255439524452171</v>
      </c>
      <c r="D177" s="338">
        <f t="shared" si="55"/>
        <v>1.3428669666069499</v>
      </c>
      <c r="E177" s="338">
        <f t="shared" si="56"/>
        <v>1.0003248053363767</v>
      </c>
      <c r="F177" s="339">
        <f t="shared" si="57"/>
        <v>2.5484012451529304E-2</v>
      </c>
      <c r="G177" s="338">
        <f t="shared" si="58"/>
        <v>1</v>
      </c>
      <c r="H177" s="339">
        <f t="shared" si="59"/>
        <v>0</v>
      </c>
      <c r="I177" s="337">
        <f t="shared" si="60"/>
        <v>22395.001666662552</v>
      </c>
      <c r="J177" s="340">
        <f t="shared" si="61"/>
        <v>1.5707516739739138</v>
      </c>
      <c r="K177" s="348">
        <f t="shared" si="82"/>
        <v>4.3157291712010704</v>
      </c>
      <c r="L177" s="349">
        <f t="shared" si="83"/>
        <v>1.3369606009364072</v>
      </c>
      <c r="M177" s="337">
        <f t="shared" si="64"/>
        <v>1.0044774063721695</v>
      </c>
      <c r="N177" s="340">
        <f t="shared" si="65"/>
        <v>9.4453840366881717E-2</v>
      </c>
      <c r="O177" s="341">
        <f t="shared" si="66"/>
        <v>1.0020178735552074</v>
      </c>
      <c r="P177" s="342">
        <f t="shared" si="67"/>
        <v>0.14272571532795694</v>
      </c>
      <c r="Q177" s="343">
        <f t="shared" si="68"/>
        <v>6.5648738632920871</v>
      </c>
      <c r="R177" s="344">
        <f t="shared" si="69"/>
        <v>-102.46511269365166</v>
      </c>
      <c r="S177" s="346">
        <f t="shared" si="70"/>
        <v>77.534887306348338</v>
      </c>
      <c r="U177" s="319">
        <f t="shared" si="76"/>
        <v>1000000000</v>
      </c>
      <c r="V177" s="319">
        <f t="shared" si="77"/>
        <v>98865237.610000014</v>
      </c>
      <c r="X177" s="345">
        <f t="shared" si="71"/>
        <v>23.366482629667832</v>
      </c>
      <c r="Y177" s="346">
        <f t="shared" si="72"/>
        <v>-18.807048206198818</v>
      </c>
      <c r="AA177" s="345">
        <f t="shared" si="73"/>
        <v>46.80751252278688</v>
      </c>
      <c r="AB177" s="346">
        <f t="shared" si="74"/>
        <v>-83.658064487452862</v>
      </c>
      <c r="AD177">
        <f t="shared" si="78"/>
        <v>0</v>
      </c>
      <c r="AE177">
        <f t="shared" si="81"/>
        <v>0</v>
      </c>
    </row>
    <row r="178" spans="1:31" x14ac:dyDescent="0.25">
      <c r="A178" s="347">
        <v>10000</v>
      </c>
      <c r="B178" s="364">
        <f t="shared" si="75"/>
        <v>10</v>
      </c>
      <c r="C178" s="337">
        <f t="shared" si="54"/>
        <v>4.449579816051382</v>
      </c>
      <c r="D178" s="338">
        <f t="shared" si="55"/>
        <v>1.3441197942522438</v>
      </c>
      <c r="E178" s="338">
        <f t="shared" si="56"/>
        <v>1.000328532797754</v>
      </c>
      <c r="F178" s="339">
        <f t="shared" si="57"/>
        <v>2.562978260266887E-2</v>
      </c>
      <c r="G178" s="338">
        <f t="shared" si="58"/>
        <v>1</v>
      </c>
      <c r="H178" s="339">
        <f t="shared" si="59"/>
        <v>0</v>
      </c>
      <c r="I178" s="337">
        <f t="shared" si="60"/>
        <v>22523.158437920971</v>
      </c>
      <c r="J178" s="340">
        <f t="shared" si="61"/>
        <v>1.5707519280484648</v>
      </c>
      <c r="K178" s="348">
        <f t="shared" si="82"/>
        <v>4.339103789344481</v>
      </c>
      <c r="L178" s="349">
        <f t="shared" si="83"/>
        <v>1.3382435437691578</v>
      </c>
      <c r="M178" s="337">
        <f t="shared" si="64"/>
        <v>1.0045286816172065</v>
      </c>
      <c r="N178" s="340">
        <f t="shared" si="65"/>
        <v>9.4991121765831965E-2</v>
      </c>
      <c r="O178" s="341">
        <f t="shared" si="66"/>
        <v>1.0020413975981042</v>
      </c>
      <c r="P178" s="342">
        <f t="shared" si="67"/>
        <v>0.14354471890551493</v>
      </c>
      <c r="Q178" s="343">
        <f t="shared" si="68"/>
        <v>6.5145653257457878</v>
      </c>
      <c r="R178" s="344">
        <f t="shared" si="69"/>
        <v>-102.53275916851958</v>
      </c>
      <c r="S178" s="346">
        <f t="shared" si="70"/>
        <v>77.467240831480424</v>
      </c>
      <c r="U178" s="319">
        <f t="shared" si="76"/>
        <v>1000000000</v>
      </c>
      <c r="V178" s="319">
        <f t="shared" si="77"/>
        <v>100000000</v>
      </c>
      <c r="X178" s="345">
        <f t="shared" si="71"/>
        <v>23.363392503430525</v>
      </c>
      <c r="Y178" s="346">
        <f t="shared" si="72"/>
        <v>-18.76433951044703</v>
      </c>
      <c r="AA178" s="345">
        <f t="shared" si="73"/>
        <v>46.760294111477883</v>
      </c>
      <c r="AB178" s="346">
        <f t="shared" si="74"/>
        <v>-83.768419658072531</v>
      </c>
      <c r="AD178">
        <f t="shared" si="78"/>
        <v>0</v>
      </c>
      <c r="AE178">
        <f t="shared" si="81"/>
        <v>0</v>
      </c>
    </row>
    <row r="179" spans="1:31" x14ac:dyDescent="0.25">
      <c r="A179" s="347">
        <v>10058.25</v>
      </c>
      <c r="B179" s="364">
        <f t="shared" si="75"/>
        <v>10.058249999999999</v>
      </c>
      <c r="C179" s="337">
        <f t="shared" si="54"/>
        <v>4.4741931064036926</v>
      </c>
      <c r="D179" s="338">
        <f t="shared" si="55"/>
        <v>1.3453884007405199</v>
      </c>
      <c r="E179" s="338">
        <f t="shared" si="56"/>
        <v>1.0003323707144702</v>
      </c>
      <c r="F179" s="339">
        <f t="shared" si="57"/>
        <v>2.5779010143762004E-2</v>
      </c>
      <c r="G179" s="338">
        <f t="shared" si="58"/>
        <v>1</v>
      </c>
      <c r="H179" s="339">
        <f t="shared" si="59"/>
        <v>0</v>
      </c>
      <c r="I179" s="337">
        <f t="shared" si="60"/>
        <v>22654.355835563987</v>
      </c>
      <c r="J179" s="340">
        <f t="shared" si="61"/>
        <v>1.5707521851734096</v>
      </c>
      <c r="K179" s="348">
        <f t="shared" si="82"/>
        <v>4.3630403076959325</v>
      </c>
      <c r="L179" s="349">
        <f t="shared" si="83"/>
        <v>1.3395426836927646</v>
      </c>
      <c r="M179" s="337">
        <f t="shared" si="64"/>
        <v>1.0045814737593524</v>
      </c>
      <c r="N179" s="340">
        <f t="shared" si="65"/>
        <v>9.554109363674114E-2</v>
      </c>
      <c r="O179" s="341">
        <f t="shared" si="66"/>
        <v>1.002065627411185</v>
      </c>
      <c r="P179" s="342">
        <f t="shared" si="67"/>
        <v>0.14438319321101173</v>
      </c>
      <c r="Q179" s="343">
        <f t="shared" si="68"/>
        <v>6.463352918783297</v>
      </c>
      <c r="R179" s="344">
        <f t="shared" si="69"/>
        <v>-102.60202646149175</v>
      </c>
      <c r="S179" s="346">
        <f t="shared" si="70"/>
        <v>77.397973538508253</v>
      </c>
      <c r="U179" s="319">
        <f t="shared" si="76"/>
        <v>1000000000</v>
      </c>
      <c r="V179" s="319">
        <f t="shared" si="77"/>
        <v>101168393.0625</v>
      </c>
      <c r="X179" s="345">
        <f t="shared" si="71"/>
        <v>23.360271254676519</v>
      </c>
      <c r="Y179" s="346">
        <f t="shared" si="72"/>
        <v>-18.721430075006541</v>
      </c>
      <c r="AA179" s="345">
        <f t="shared" si="73"/>
        <v>46.712202953269404</v>
      </c>
      <c r="AB179" s="346">
        <f t="shared" si="74"/>
        <v>-83.880596386485209</v>
      </c>
      <c r="AD179">
        <f t="shared" si="78"/>
        <v>0</v>
      </c>
      <c r="AE179">
        <f t="shared" si="81"/>
        <v>0</v>
      </c>
    </row>
    <row r="180" spans="1:31" x14ac:dyDescent="0.25">
      <c r="A180" s="347">
        <v>10116.5</v>
      </c>
      <c r="B180" s="364">
        <f t="shared" si="75"/>
        <v>10.1165</v>
      </c>
      <c r="C180" s="337">
        <f t="shared" si="54"/>
        <v>4.498813518557693</v>
      </c>
      <c r="D180" s="338">
        <f t="shared" si="55"/>
        <v>1.3466431239622099</v>
      </c>
      <c r="E180" s="338">
        <f t="shared" si="56"/>
        <v>1.0003362309072759</v>
      </c>
      <c r="F180" s="339">
        <f t="shared" si="57"/>
        <v>2.5928236536471305E-2</v>
      </c>
      <c r="G180" s="338">
        <f t="shared" si="58"/>
        <v>1</v>
      </c>
      <c r="H180" s="339">
        <f t="shared" si="59"/>
        <v>0</v>
      </c>
      <c r="I180" s="337">
        <f t="shared" si="60"/>
        <v>22785.55323320848</v>
      </c>
      <c r="J180" s="340">
        <f t="shared" si="61"/>
        <v>1.5707524393373447</v>
      </c>
      <c r="K180" s="348">
        <f t="shared" si="82"/>
        <v>4.3869841094674822</v>
      </c>
      <c r="L180" s="349">
        <f t="shared" si="83"/>
        <v>1.3408276445657303</v>
      </c>
      <c r="M180" s="337">
        <f t="shared" si="64"/>
        <v>1.0046345697243233</v>
      </c>
      <c r="N180" s="340">
        <f t="shared" si="65"/>
        <v>9.6091007540815399E-2</v>
      </c>
      <c r="O180" s="341">
        <f t="shared" si="66"/>
        <v>1.0020900067479606</v>
      </c>
      <c r="P180" s="342">
        <f t="shared" si="67"/>
        <v>0.14522170737006534</v>
      </c>
      <c r="Q180" s="343">
        <f t="shared" si="68"/>
        <v>6.4124302291229371</v>
      </c>
      <c r="R180" s="344">
        <f t="shared" si="69"/>
        <v>-102.67130955997177</v>
      </c>
      <c r="S180" s="346">
        <f t="shared" si="70"/>
        <v>77.328690440028225</v>
      </c>
      <c r="U180" s="319">
        <f t="shared" si="76"/>
        <v>1000000000</v>
      </c>
      <c r="V180" s="319">
        <f t="shared" si="77"/>
        <v>102343572.25</v>
      </c>
      <c r="X180" s="345">
        <f t="shared" si="71"/>
        <v>23.357191707211999</v>
      </c>
      <c r="Y180" s="346">
        <f t="shared" si="72"/>
        <v>-18.679329548417854</v>
      </c>
      <c r="AA180" s="345">
        <f t="shared" si="73"/>
        <v>46.66435981107356</v>
      </c>
      <c r="AB180" s="346">
        <f t="shared" si="74"/>
        <v>-83.991980011553906</v>
      </c>
      <c r="AD180">
        <f t="shared" si="78"/>
        <v>0</v>
      </c>
      <c r="AE180">
        <f t="shared" si="81"/>
        <v>0</v>
      </c>
    </row>
    <row r="181" spans="1:31" x14ac:dyDescent="0.25">
      <c r="A181" s="347">
        <v>10174.75</v>
      </c>
      <c r="B181" s="364">
        <f t="shared" si="75"/>
        <v>10.17475</v>
      </c>
      <c r="C181" s="337">
        <f t="shared" si="54"/>
        <v>4.5234409362246835</v>
      </c>
      <c r="D181" s="338">
        <f t="shared" si="55"/>
        <v>1.3478841866921492</v>
      </c>
      <c r="E181" s="338">
        <f t="shared" si="56"/>
        <v>1.0003401133759127</v>
      </c>
      <c r="F181" s="339">
        <f t="shared" si="57"/>
        <v>2.607746177416399E-2</v>
      </c>
      <c r="G181" s="338">
        <f t="shared" si="58"/>
        <v>1</v>
      </c>
      <c r="H181" s="339">
        <f t="shared" si="59"/>
        <v>0</v>
      </c>
      <c r="I181" s="337">
        <f t="shared" si="60"/>
        <v>22916.750630854433</v>
      </c>
      <c r="J181" s="340">
        <f t="shared" si="61"/>
        <v>1.5707526905911247</v>
      </c>
      <c r="K181" s="348">
        <f t="shared" si="82"/>
        <v>4.4109350760497419</v>
      </c>
      <c r="L181" s="349">
        <f t="shared" si="83"/>
        <v>1.3420986530826498</v>
      </c>
      <c r="M181" s="337">
        <f t="shared" si="64"/>
        <v>1.0046879694639494</v>
      </c>
      <c r="N181" s="340">
        <f t="shared" si="65"/>
        <v>9.664086315467782E-2</v>
      </c>
      <c r="O181" s="341">
        <f t="shared" si="66"/>
        <v>1.0021145357605825</v>
      </c>
      <c r="P181" s="342">
        <f t="shared" si="67"/>
        <v>0.14606026159377969</v>
      </c>
      <c r="Q181" s="343">
        <f t="shared" si="68"/>
        <v>6.361793867318112</v>
      </c>
      <c r="R181" s="344">
        <f t="shared" si="69"/>
        <v>-102.74060823623495</v>
      </c>
      <c r="S181" s="346">
        <f t="shared" si="70"/>
        <v>77.259391763765052</v>
      </c>
      <c r="U181" s="319">
        <f t="shared" si="76"/>
        <v>1000000000</v>
      </c>
      <c r="V181" s="319">
        <f t="shared" si="77"/>
        <v>103525537.5625</v>
      </c>
      <c r="X181" s="345">
        <f t="shared" si="71"/>
        <v>23.354152893470086</v>
      </c>
      <c r="Y181" s="346">
        <f t="shared" si="72"/>
        <v>-18.638024926423061</v>
      </c>
      <c r="AA181" s="345">
        <f t="shared" si="73"/>
        <v>46.616762263010649</v>
      </c>
      <c r="AB181" s="346">
        <f t="shared" si="74"/>
        <v>-84.102583309811862</v>
      </c>
      <c r="AD181">
        <f t="shared" si="78"/>
        <v>0</v>
      </c>
      <c r="AE181">
        <f t="shared" si="81"/>
        <v>0</v>
      </c>
    </row>
    <row r="182" spans="1:31" x14ac:dyDescent="0.25">
      <c r="A182" s="347">
        <v>10233</v>
      </c>
      <c r="B182" s="364">
        <f t="shared" si="75"/>
        <v>10.233000000000001</v>
      </c>
      <c r="C182" s="337">
        <f t="shared" si="54"/>
        <v>4.5480752456019991</v>
      </c>
      <c r="D182" s="338">
        <f t="shared" si="55"/>
        <v>1.3491118070489909</v>
      </c>
      <c r="E182" s="338">
        <f t="shared" si="56"/>
        <v>1.0003440181201217</v>
      </c>
      <c r="F182" s="339">
        <f t="shared" si="57"/>
        <v>2.6226685850207612E-2</v>
      </c>
      <c r="G182" s="338">
        <f t="shared" si="58"/>
        <v>1</v>
      </c>
      <c r="H182" s="339">
        <f t="shared" si="59"/>
        <v>0</v>
      </c>
      <c r="I182" s="337">
        <f t="shared" si="60"/>
        <v>23047.948028501814</v>
      </c>
      <c r="J182" s="340">
        <f t="shared" si="61"/>
        <v>1.570752938984447</v>
      </c>
      <c r="K182" s="348">
        <f t="shared" si="82"/>
        <v>4.4348930913604523</v>
      </c>
      <c r="L182" s="349">
        <f t="shared" si="83"/>
        <v>1.3433559312220769</v>
      </c>
      <c r="M182" s="337">
        <f t="shared" si="64"/>
        <v>1.0047416729297964</v>
      </c>
      <c r="N182" s="340">
        <f t="shared" si="65"/>
        <v>9.7190660155160979E-2</v>
      </c>
      <c r="O182" s="341">
        <f t="shared" si="66"/>
        <v>1.0021392146020618</v>
      </c>
      <c r="P182" s="342">
        <f t="shared" si="67"/>
        <v>0.14689885609291778</v>
      </c>
      <c r="Q182" s="343">
        <f t="shared" si="68"/>
        <v>6.3114405023272493</v>
      </c>
      <c r="R182" s="344">
        <f t="shared" si="69"/>
        <v>-102.80992226591242</v>
      </c>
      <c r="S182" s="346">
        <f t="shared" si="70"/>
        <v>77.190077734087581</v>
      </c>
      <c r="U182" s="319">
        <f t="shared" si="76"/>
        <v>1000000000</v>
      </c>
      <c r="V182" s="319">
        <f t="shared" si="77"/>
        <v>104714289</v>
      </c>
      <c r="X182" s="345">
        <f t="shared" si="71"/>
        <v>23.351153871981175</v>
      </c>
      <c r="Y182" s="346">
        <f t="shared" si="72"/>
        <v>-18.597503474919186</v>
      </c>
      <c r="AA182" s="345">
        <f t="shared" si="73"/>
        <v>46.569407919508699</v>
      </c>
      <c r="AB182" s="346">
        <f t="shared" si="74"/>
        <v>-84.212418790993212</v>
      </c>
      <c r="AD182">
        <f t="shared" si="78"/>
        <v>0</v>
      </c>
      <c r="AE182">
        <f t="shared" si="81"/>
        <v>0</v>
      </c>
    </row>
    <row r="183" spans="1:31" x14ac:dyDescent="0.25">
      <c r="A183" s="347">
        <v>10292.5</v>
      </c>
      <c r="B183" s="364">
        <f t="shared" si="75"/>
        <v>10.2925</v>
      </c>
      <c r="C183" s="337">
        <f t="shared" si="54"/>
        <v>4.573245187558987</v>
      </c>
      <c r="D183" s="338">
        <f t="shared" si="55"/>
        <v>1.3503521150854925</v>
      </c>
      <c r="E183" s="338">
        <f t="shared" si="56"/>
        <v>1.0003480296545795</v>
      </c>
      <c r="F183" s="339">
        <f t="shared" si="57"/>
        <v>2.6379110953437916E-2</v>
      </c>
      <c r="G183" s="338">
        <f t="shared" si="58"/>
        <v>1</v>
      </c>
      <c r="H183" s="339">
        <f t="shared" si="59"/>
        <v>0</v>
      </c>
      <c r="I183" s="337">
        <f t="shared" si="60"/>
        <v>23181.960820949946</v>
      </c>
      <c r="J183" s="340">
        <f t="shared" si="61"/>
        <v>1.5707531898054057</v>
      </c>
      <c r="K183" s="348">
        <f t="shared" si="82"/>
        <v>4.4593723862829027</v>
      </c>
      <c r="L183" s="349">
        <f t="shared" si="83"/>
        <v>1.3446262400848605</v>
      </c>
      <c r="M183" s="337">
        <f t="shared" si="64"/>
        <v>1.0047968423526414</v>
      </c>
      <c r="N183" s="340">
        <f t="shared" si="65"/>
        <v>9.775219452515635E-2</v>
      </c>
      <c r="O183" s="341">
        <f t="shared" si="66"/>
        <v>1.002164577878587</v>
      </c>
      <c r="P183" s="342">
        <f t="shared" si="67"/>
        <v>0.14775548798207683</v>
      </c>
      <c r="Q183" s="343">
        <f t="shared" si="68"/>
        <v>6.2602953603611073</v>
      </c>
      <c r="R183" s="344">
        <f t="shared" si="69"/>
        <v>-102.88073934243828</v>
      </c>
      <c r="S183" s="346">
        <f t="shared" si="70"/>
        <v>77.119260657561725</v>
      </c>
      <c r="U183" s="319">
        <f t="shared" si="76"/>
        <v>1000000000</v>
      </c>
      <c r="V183" s="319">
        <f t="shared" si="77"/>
        <v>105935556.25</v>
      </c>
      <c r="X183" s="345">
        <f t="shared" si="71"/>
        <v>23.348130623553867</v>
      </c>
      <c r="Y183" s="346">
        <f t="shared" si="72"/>
        <v>-18.556908058791851</v>
      </c>
      <c r="AA183" s="345">
        <f t="shared" si="73"/>
        <v>46.521286025969872</v>
      </c>
      <c r="AB183" s="346">
        <f t="shared" si="74"/>
        <v>-84.323831283646399</v>
      </c>
      <c r="AD183">
        <f t="shared" si="78"/>
        <v>0</v>
      </c>
      <c r="AE183">
        <f t="shared" si="81"/>
        <v>0</v>
      </c>
    </row>
    <row r="184" spans="1:31" x14ac:dyDescent="0.25">
      <c r="A184" s="347">
        <v>10352</v>
      </c>
      <c r="B184" s="364">
        <f t="shared" si="75"/>
        <v>10.352</v>
      </c>
      <c r="C184" s="337">
        <f t="shared" si="54"/>
        <v>4.5984220878085118</v>
      </c>
      <c r="D184" s="338">
        <f t="shared" si="55"/>
        <v>1.3515788433280327</v>
      </c>
      <c r="E184" s="338">
        <f t="shared" si="56"/>
        <v>1.0003520644303485</v>
      </c>
      <c r="F184" s="339">
        <f t="shared" si="57"/>
        <v>2.6531534830640188E-2</v>
      </c>
      <c r="G184" s="338">
        <f t="shared" si="58"/>
        <v>1</v>
      </c>
      <c r="H184" s="339">
        <f t="shared" si="59"/>
        <v>0</v>
      </c>
      <c r="I184" s="337">
        <f t="shared" si="60"/>
        <v>23315.973613399521</v>
      </c>
      <c r="J184" s="340">
        <f t="shared" si="61"/>
        <v>1.5707534377430865</v>
      </c>
      <c r="K184" s="348">
        <f t="shared" si="82"/>
        <v>4.4838587986469181</v>
      </c>
      <c r="L184" s="349">
        <f t="shared" si="83"/>
        <v>1.3458826766096326</v>
      </c>
      <c r="M184" s="337">
        <f t="shared" si="64"/>
        <v>1.004852328574031</v>
      </c>
      <c r="N184" s="340">
        <f t="shared" si="65"/>
        <v>9.8313667058250676E-2</v>
      </c>
      <c r="O184" s="341">
        <f t="shared" si="66"/>
        <v>1.0021900978088536</v>
      </c>
      <c r="P184" s="342">
        <f t="shared" si="67"/>
        <v>0.14861216233720115</v>
      </c>
      <c r="Q184" s="343">
        <f t="shared" si="68"/>
        <v>6.2094386463024618</v>
      </c>
      <c r="R184" s="344">
        <f t="shared" si="69"/>
        <v>-102.95157197567724</v>
      </c>
      <c r="S184" s="346">
        <f t="shared" si="70"/>
        <v>77.04842802432276</v>
      </c>
      <c r="U184" s="319">
        <f t="shared" si="76"/>
        <v>1000000000</v>
      </c>
      <c r="V184" s="319">
        <f t="shared" si="77"/>
        <v>107163904</v>
      </c>
      <c r="X184" s="345">
        <f t="shared" si="71"/>
        <v>23.34514698755082</v>
      </c>
      <c r="Y184" s="346">
        <f t="shared" si="72"/>
        <v>-18.517103760892372</v>
      </c>
      <c r="AA184" s="345">
        <f t="shared" si="73"/>
        <v>46.473412947914269</v>
      </c>
      <c r="AB184" s="346">
        <f t="shared" si="74"/>
        <v>-84.4344682147849</v>
      </c>
      <c r="AD184">
        <f t="shared" si="78"/>
        <v>0</v>
      </c>
      <c r="AE184">
        <f t="shared" si="81"/>
        <v>0</v>
      </c>
    </row>
    <row r="185" spans="1:31" x14ac:dyDescent="0.25">
      <c r="A185" s="347">
        <v>10411.5</v>
      </c>
      <c r="B185" s="364">
        <f t="shared" si="75"/>
        <v>10.4115</v>
      </c>
      <c r="C185" s="337">
        <f t="shared" si="54"/>
        <v>4.6236058326806955</v>
      </c>
      <c r="D185" s="338">
        <f t="shared" si="55"/>
        <v>1.3527922099523029</v>
      </c>
      <c r="E185" s="338">
        <f t="shared" si="56"/>
        <v>1.0003561224471478</v>
      </c>
      <c r="F185" s="339">
        <f t="shared" si="57"/>
        <v>2.668395747474676E-2</v>
      </c>
      <c r="G185" s="338">
        <f t="shared" si="58"/>
        <v>1</v>
      </c>
      <c r="H185" s="339">
        <f t="shared" si="59"/>
        <v>0</v>
      </c>
      <c r="I185" s="337">
        <f t="shared" si="60"/>
        <v>23449.986405850512</v>
      </c>
      <c r="J185" s="340">
        <f t="shared" si="61"/>
        <v>1.5707536828469217</v>
      </c>
      <c r="K185" s="348">
        <f t="shared" si="82"/>
        <v>4.5083522124806725</v>
      </c>
      <c r="L185" s="349">
        <f t="shared" si="83"/>
        <v>1.3471254628977842</v>
      </c>
      <c r="M185" s="337">
        <f t="shared" si="64"/>
        <v>1.0049081315414889</v>
      </c>
      <c r="N185" s="340">
        <f t="shared" si="65"/>
        <v>9.8875077410706419E-2</v>
      </c>
      <c r="O185" s="341">
        <f t="shared" si="66"/>
        <v>1.0022157745587117</v>
      </c>
      <c r="P185" s="342">
        <f t="shared" si="67"/>
        <v>0.14946887938180214</v>
      </c>
      <c r="Q185" s="343">
        <f t="shared" si="68"/>
        <v>6.1588669902395416</v>
      </c>
      <c r="R185" s="344">
        <f t="shared" si="69"/>
        <v>-103.02241993705209</v>
      </c>
      <c r="S185" s="346">
        <f t="shared" si="70"/>
        <v>76.977580062947908</v>
      </c>
      <c r="U185" s="319">
        <f t="shared" si="76"/>
        <v>1000000000</v>
      </c>
      <c r="V185" s="319">
        <f t="shared" si="77"/>
        <v>108399332.25</v>
      </c>
      <c r="X185" s="345">
        <f t="shared" si="71"/>
        <v>23.342202039627043</v>
      </c>
      <c r="Y185" s="346">
        <f t="shared" si="72"/>
        <v>-18.47807783888592</v>
      </c>
      <c r="AA185" s="345">
        <f t="shared" si="73"/>
        <v>46.425786239775128</v>
      </c>
      <c r="AB185" s="346">
        <f t="shared" si="74"/>
        <v>-84.544342098166183</v>
      </c>
      <c r="AD185">
        <f t="shared" si="78"/>
        <v>0</v>
      </c>
      <c r="AE185">
        <f t="shared" si="81"/>
        <v>0</v>
      </c>
    </row>
    <row r="186" spans="1:31" x14ac:dyDescent="0.25">
      <c r="A186" s="347">
        <v>10471</v>
      </c>
      <c r="B186" s="364">
        <f t="shared" si="75"/>
        <v>10.471</v>
      </c>
      <c r="C186" s="337">
        <f t="shared" si="54"/>
        <v>4.6487963109382076</v>
      </c>
      <c r="D186" s="338">
        <f t="shared" si="55"/>
        <v>1.3539924285643801</v>
      </c>
      <c r="E186" s="338">
        <f t="shared" si="56"/>
        <v>1.0003602037046941</v>
      </c>
      <c r="F186" s="339">
        <f t="shared" si="57"/>
        <v>2.6836378878690312E-2</v>
      </c>
      <c r="G186" s="338">
        <f t="shared" si="58"/>
        <v>1</v>
      </c>
      <c r="H186" s="339">
        <f t="shared" si="59"/>
        <v>0</v>
      </c>
      <c r="I186" s="337">
        <f t="shared" si="60"/>
        <v>23583.999198302899</v>
      </c>
      <c r="J186" s="340">
        <f t="shared" si="61"/>
        <v>1.5707539251652201</v>
      </c>
      <c r="K186" s="348">
        <f t="shared" si="82"/>
        <v>4.532852514286172</v>
      </c>
      <c r="L186" s="349">
        <f t="shared" si="83"/>
        <v>1.3483548164195593</v>
      </c>
      <c r="M186" s="337">
        <f t="shared" si="64"/>
        <v>1.004964251202251</v>
      </c>
      <c r="N186" s="340">
        <f t="shared" si="65"/>
        <v>9.943642523901898E-2</v>
      </c>
      <c r="O186" s="341">
        <f t="shared" si="66"/>
        <v>1.0022416082949466</v>
      </c>
      <c r="P186" s="342">
        <f t="shared" si="67"/>
        <v>0.15032563933901186</v>
      </c>
      <c r="Q186" s="343">
        <f t="shared" si="68"/>
        <v>6.1085770802189749</v>
      </c>
      <c r="R186" s="344">
        <f t="shared" si="69"/>
        <v>-103.09328300143834</v>
      </c>
      <c r="S186" s="346">
        <f t="shared" si="70"/>
        <v>76.906716998561663</v>
      </c>
      <c r="U186" s="319">
        <f t="shared" si="76"/>
        <v>1000000000</v>
      </c>
      <c r="V186" s="319">
        <f t="shared" si="77"/>
        <v>109641841</v>
      </c>
      <c r="X186" s="345">
        <f t="shared" si="71"/>
        <v>23.339294880384905</v>
      </c>
      <c r="Y186" s="346">
        <f t="shared" si="72"/>
        <v>-18.439817815731882</v>
      </c>
      <c r="AA186" s="345">
        <f t="shared" si="73"/>
        <v>46.378403488996696</v>
      </c>
      <c r="AB186" s="346">
        <f t="shared" si="74"/>
        <v>-84.653465185706438</v>
      </c>
      <c r="AD186">
        <f t="shared" si="78"/>
        <v>0</v>
      </c>
      <c r="AE186">
        <f t="shared" si="81"/>
        <v>0</v>
      </c>
    </row>
    <row r="187" spans="1:31" x14ac:dyDescent="0.25">
      <c r="A187" s="347">
        <v>10532</v>
      </c>
      <c r="B187" s="364">
        <f t="shared" si="75"/>
        <v>10.532</v>
      </c>
      <c r="C187" s="337">
        <f t="shared" si="54"/>
        <v>4.6746287194636462</v>
      </c>
      <c r="D187" s="338">
        <f t="shared" si="55"/>
        <v>1.3552094743292806</v>
      </c>
      <c r="E187" s="338">
        <f t="shared" si="56"/>
        <v>1.0003644119777728</v>
      </c>
      <c r="F187" s="339">
        <f t="shared" si="57"/>
        <v>2.6992641544183679E-2</v>
      </c>
      <c r="G187" s="338">
        <f t="shared" si="58"/>
        <v>1</v>
      </c>
      <c r="H187" s="339">
        <f t="shared" si="59"/>
        <v>0</v>
      </c>
      <c r="I187" s="337">
        <f t="shared" si="60"/>
        <v>23721.390464516011</v>
      </c>
      <c r="J187" s="340">
        <f t="shared" si="61"/>
        <v>1.5707541707500479</v>
      </c>
      <c r="K187" s="348">
        <f t="shared" si="82"/>
        <v>4.5579775051104985</v>
      </c>
      <c r="L187" s="349">
        <f t="shared" si="83"/>
        <v>1.3496014399563692</v>
      </c>
      <c r="M187" s="337">
        <f t="shared" si="64"/>
        <v>1.0050221143585754</v>
      </c>
      <c r="N187" s="340">
        <f t="shared" si="65"/>
        <v>0.10001185942553178</v>
      </c>
      <c r="O187" s="341">
        <f t="shared" si="66"/>
        <v>1.0022682564501495</v>
      </c>
      <c r="P187" s="342">
        <f t="shared" si="67"/>
        <v>0.1512040430689158</v>
      </c>
      <c r="Q187" s="343">
        <f t="shared" si="68"/>
        <v>6.0573084396937746</v>
      </c>
      <c r="R187" s="344">
        <f t="shared" si="69"/>
        <v>-103.16594797647626</v>
      </c>
      <c r="S187" s="346">
        <f t="shared" si="70"/>
        <v>76.834052023523739</v>
      </c>
      <c r="U187" s="319">
        <f t="shared" si="76"/>
        <v>1000000000</v>
      </c>
      <c r="V187" s="319">
        <f t="shared" si="77"/>
        <v>110923024</v>
      </c>
      <c r="X187" s="345">
        <f t="shared" si="71"/>
        <v>23.336352744985337</v>
      </c>
      <c r="Y187" s="346">
        <f t="shared" si="72"/>
        <v>-18.401375569635949</v>
      </c>
      <c r="AA187" s="345">
        <f t="shared" si="73"/>
        <v>46.330076983871066</v>
      </c>
      <c r="AB187" s="346">
        <f t="shared" si="74"/>
        <v>-84.764572406840287</v>
      </c>
      <c r="AD187">
        <f t="shared" si="78"/>
        <v>0</v>
      </c>
      <c r="AE187">
        <f t="shared" si="81"/>
        <v>0</v>
      </c>
    </row>
    <row r="188" spans="1:31" x14ac:dyDescent="0.25">
      <c r="A188" s="347">
        <v>10593</v>
      </c>
      <c r="B188" s="364">
        <f t="shared" si="75"/>
        <v>10.593</v>
      </c>
      <c r="C188" s="337">
        <f t="shared" si="54"/>
        <v>4.7004679759397705</v>
      </c>
      <c r="D188" s="338">
        <f t="shared" si="55"/>
        <v>1.3564131412536242</v>
      </c>
      <c r="E188" s="338">
        <f t="shared" si="56"/>
        <v>1.0003686446775646</v>
      </c>
      <c r="F188" s="339">
        <f t="shared" si="57"/>
        <v>2.7148902891154177E-2</v>
      </c>
      <c r="G188" s="338">
        <f t="shared" si="58"/>
        <v>1</v>
      </c>
      <c r="H188" s="339">
        <f t="shared" si="59"/>
        <v>0</v>
      </c>
      <c r="I188" s="337">
        <f t="shared" si="60"/>
        <v>23858.781730730534</v>
      </c>
      <c r="J188" s="340">
        <f t="shared" si="61"/>
        <v>1.5707544135064655</v>
      </c>
      <c r="K188" s="348">
        <f t="shared" si="82"/>
        <v>4.5831095016818759</v>
      </c>
      <c r="L188" s="349">
        <f t="shared" si="83"/>
        <v>1.3508343933909752</v>
      </c>
      <c r="M188" s="337">
        <f t="shared" si="64"/>
        <v>1.0050803102639663</v>
      </c>
      <c r="N188" s="340">
        <f t="shared" si="65"/>
        <v>0.10058722716525577</v>
      </c>
      <c r="O188" s="341">
        <f t="shared" si="66"/>
        <v>1.0022950699648123</v>
      </c>
      <c r="P188" s="342">
        <f t="shared" si="67"/>
        <v>0.15208249237609078</v>
      </c>
      <c r="Q188" s="343">
        <f t="shared" si="68"/>
        <v>6.0063290612899412</v>
      </c>
      <c r="R188" s="344">
        <f t="shared" si="69"/>
        <v>-103.23862835733181</v>
      </c>
      <c r="S188" s="346">
        <f t="shared" si="70"/>
        <v>76.761371642668195</v>
      </c>
      <c r="U188" s="319">
        <f t="shared" si="76"/>
        <v>1000000000</v>
      </c>
      <c r="V188" s="319">
        <f t="shared" si="77"/>
        <v>112211649</v>
      </c>
      <c r="X188" s="345">
        <f t="shared" si="71"/>
        <v>23.333448490148577</v>
      </c>
      <c r="Y188" s="346">
        <f t="shared" si="72"/>
        <v>-18.363712593526174</v>
      </c>
      <c r="AA188" s="345">
        <f t="shared" si="73"/>
        <v>46.282001860303986</v>
      </c>
      <c r="AB188" s="346">
        <f t="shared" si="74"/>
        <v>-84.874915763805632</v>
      </c>
      <c r="AD188">
        <f t="shared" si="78"/>
        <v>0</v>
      </c>
      <c r="AE188">
        <f t="shared" si="81"/>
        <v>0</v>
      </c>
    </row>
    <row r="189" spans="1:31" x14ac:dyDescent="0.25">
      <c r="A189" s="347">
        <v>10654</v>
      </c>
      <c r="B189" s="364">
        <f t="shared" si="75"/>
        <v>10.654</v>
      </c>
      <c r="C189" s="337">
        <f t="shared" si="54"/>
        <v>4.7263139680511781</v>
      </c>
      <c r="D189" s="338">
        <f t="shared" si="55"/>
        <v>1.3576036453085147</v>
      </c>
      <c r="E189" s="338">
        <f t="shared" si="56"/>
        <v>1.000372901803759</v>
      </c>
      <c r="F189" s="339">
        <f t="shared" si="57"/>
        <v>2.7305162911987538E-2</v>
      </c>
      <c r="G189" s="338">
        <f t="shared" si="58"/>
        <v>1</v>
      </c>
      <c r="H189" s="339">
        <f t="shared" si="59"/>
        <v>0</v>
      </c>
      <c r="I189" s="337">
        <f t="shared" si="60"/>
        <v>23996.172996946443</v>
      </c>
      <c r="J189" s="340">
        <f t="shared" si="61"/>
        <v>1.5707546534830557</v>
      </c>
      <c r="K189" s="348">
        <f t="shared" si="82"/>
        <v>4.6082483893786144</v>
      </c>
      <c r="L189" s="349">
        <f t="shared" si="83"/>
        <v>1.3520538966629427</v>
      </c>
      <c r="M189" s="337">
        <f t="shared" si="64"/>
        <v>1.0051388388606264</v>
      </c>
      <c r="N189" s="340">
        <f t="shared" si="65"/>
        <v>0.1011625280888169</v>
      </c>
      <c r="O189" s="341">
        <f t="shared" si="66"/>
        <v>1.0023220490217108</v>
      </c>
      <c r="P189" s="342">
        <f t="shared" si="67"/>
        <v>0.15296098749971732</v>
      </c>
      <c r="Q189" s="343">
        <f t="shared" si="68"/>
        <v>5.9556355573486766</v>
      </c>
      <c r="R189" s="344">
        <f t="shared" si="69"/>
        <v>-103.31132391238927</v>
      </c>
      <c r="S189" s="346">
        <f t="shared" si="70"/>
        <v>76.68867608761073</v>
      </c>
      <c r="U189" s="319">
        <f t="shared" si="76"/>
        <v>1000000000</v>
      </c>
      <c r="V189" s="319">
        <f t="shared" si="77"/>
        <v>113507716</v>
      </c>
      <c r="X189" s="345">
        <f t="shared" si="71"/>
        <v>23.330581223252867</v>
      </c>
      <c r="Y189" s="346">
        <f t="shared" si="72"/>
        <v>-18.326816267413712</v>
      </c>
      <c r="AA189" s="345">
        <f t="shared" si="73"/>
        <v>46.234175623258437</v>
      </c>
      <c r="AB189" s="346">
        <f t="shared" si="74"/>
        <v>-84.984507644975537</v>
      </c>
      <c r="AD189">
        <f t="shared" si="78"/>
        <v>0</v>
      </c>
      <c r="AE189">
        <f t="shared" si="81"/>
        <v>0</v>
      </c>
    </row>
    <row r="190" spans="1:31" x14ac:dyDescent="0.25">
      <c r="A190" s="347">
        <v>10715</v>
      </c>
      <c r="B190" s="364">
        <f t="shared" si="75"/>
        <v>10.715</v>
      </c>
      <c r="C190" s="337">
        <f t="shared" si="54"/>
        <v>4.7521665858969371</v>
      </c>
      <c r="D190" s="338">
        <f t="shared" si="55"/>
        <v>1.3587811979164646</v>
      </c>
      <c r="E190" s="338">
        <f t="shared" si="56"/>
        <v>1.0003771833560446</v>
      </c>
      <c r="F190" s="339">
        <f t="shared" si="57"/>
        <v>2.746142159906988E-2</v>
      </c>
      <c r="G190" s="338">
        <f t="shared" si="58"/>
        <v>1</v>
      </c>
      <c r="H190" s="339">
        <f t="shared" si="59"/>
        <v>0</v>
      </c>
      <c r="I190" s="337">
        <f t="shared" si="60"/>
        <v>24133.564263163727</v>
      </c>
      <c r="J190" s="340">
        <f t="shared" si="61"/>
        <v>1.5707548907272946</v>
      </c>
      <c r="K190" s="348">
        <f t="shared" si="82"/>
        <v>4.63339405603549</v>
      </c>
      <c r="L190" s="349">
        <f t="shared" si="83"/>
        <v>1.353260165099339</v>
      </c>
      <c r="M190" s="337">
        <f t="shared" si="64"/>
        <v>1.005197700090442</v>
      </c>
      <c r="N190" s="340">
        <f t="shared" si="65"/>
        <v>0.10173776182710391</v>
      </c>
      <c r="O190" s="341">
        <f t="shared" si="66"/>
        <v>1.0023491938046518</v>
      </c>
      <c r="P190" s="342">
        <f t="shared" si="67"/>
        <v>0.15383952867854722</v>
      </c>
      <c r="Q190" s="343">
        <f t="shared" si="68"/>
        <v>5.9052245985756047</v>
      </c>
      <c r="R190" s="344">
        <f t="shared" si="69"/>
        <v>-103.38403441362146</v>
      </c>
      <c r="S190" s="346">
        <f t="shared" si="70"/>
        <v>76.615965586378536</v>
      </c>
      <c r="U190" s="319">
        <f t="shared" si="76"/>
        <v>1000000000</v>
      </c>
      <c r="V190" s="319">
        <f t="shared" si="77"/>
        <v>114811225</v>
      </c>
      <c r="X190" s="345">
        <f t="shared" si="71"/>
        <v>23.327750075868408</v>
      </c>
      <c r="Y190" s="346">
        <f t="shared" si="72"/>
        <v>-18.290674235538042</v>
      </c>
      <c r="AA190" s="345">
        <f t="shared" si="73"/>
        <v>46.186595811869822</v>
      </c>
      <c r="AB190" s="346">
        <f t="shared" si="74"/>
        <v>-85.093360178083401</v>
      </c>
      <c r="AD190">
        <f t="shared" si="78"/>
        <v>0</v>
      </c>
      <c r="AE190">
        <f t="shared" si="81"/>
        <v>0</v>
      </c>
    </row>
    <row r="191" spans="1:31" x14ac:dyDescent="0.25">
      <c r="A191" s="347">
        <v>10777.5</v>
      </c>
      <c r="B191" s="364">
        <f t="shared" si="75"/>
        <v>10.7775</v>
      </c>
      <c r="C191" s="337">
        <f t="shared" si="54"/>
        <v>4.7786616835337554</v>
      </c>
      <c r="D191" s="338">
        <f t="shared" si="55"/>
        <v>1.3599744900764565</v>
      </c>
      <c r="E191" s="338">
        <f t="shared" si="56"/>
        <v>1.0003815955265134</v>
      </c>
      <c r="F191" s="339">
        <f t="shared" si="57"/>
        <v>2.7621521321572414E-2</v>
      </c>
      <c r="G191" s="338">
        <f t="shared" si="58"/>
        <v>1</v>
      </c>
      <c r="H191" s="339">
        <f t="shared" si="59"/>
        <v>0</v>
      </c>
      <c r="I191" s="337">
        <f t="shared" si="60"/>
        <v>24274.334003141837</v>
      </c>
      <c r="J191" s="340">
        <f t="shared" si="61"/>
        <v>1.5707551310199619</v>
      </c>
      <c r="K191" s="348">
        <f t="shared" si="82"/>
        <v>4.6591649750372</v>
      </c>
      <c r="L191" s="349">
        <f t="shared" si="83"/>
        <v>1.3544825893043242</v>
      </c>
      <c r="M191" s="337">
        <f t="shared" si="64"/>
        <v>1.0052583536694251</v>
      </c>
      <c r="N191" s="340">
        <f t="shared" si="65"/>
        <v>0.102327070587886</v>
      </c>
      <c r="O191" s="341">
        <f t="shared" si="66"/>
        <v>1.0023771781645363</v>
      </c>
      <c r="P191" s="342">
        <f t="shared" si="67"/>
        <v>0.15473972134607933</v>
      </c>
      <c r="Q191" s="343">
        <f t="shared" si="68"/>
        <v>5.8538636569925231</v>
      </c>
      <c r="R191" s="344">
        <f t="shared" si="69"/>
        <v>-103.45854814525607</v>
      </c>
      <c r="S191" s="346">
        <f t="shared" si="70"/>
        <v>76.541451854743926</v>
      </c>
      <c r="U191" s="319">
        <f t="shared" si="76"/>
        <v>1000000000</v>
      </c>
      <c r="V191" s="319">
        <f t="shared" si="77"/>
        <v>116154506.25</v>
      </c>
      <c r="X191" s="345">
        <f t="shared" si="71"/>
        <v>23.324885889339889</v>
      </c>
      <c r="Y191" s="346">
        <f t="shared" si="72"/>
        <v>-18.254413160354915</v>
      </c>
      <c r="AA191" s="345">
        <f t="shared" si="73"/>
        <v>46.138099056815264</v>
      </c>
      <c r="AB191" s="346">
        <f t="shared" si="74"/>
        <v>-85.204134984901174</v>
      </c>
      <c r="AD191">
        <f t="shared" si="78"/>
        <v>0</v>
      </c>
      <c r="AE191">
        <f t="shared" si="81"/>
        <v>0</v>
      </c>
    </row>
    <row r="192" spans="1:31" x14ac:dyDescent="0.25">
      <c r="A192" s="347">
        <v>10840</v>
      </c>
      <c r="B192" s="364">
        <f t="shared" si="75"/>
        <v>10.84</v>
      </c>
      <c r="C192" s="337">
        <f t="shared" si="54"/>
        <v>4.8051635106829744</v>
      </c>
      <c r="D192" s="338">
        <f t="shared" si="55"/>
        <v>1.3611546212182581</v>
      </c>
      <c r="E192" s="338">
        <f t="shared" si="56"/>
        <v>1.0003860333384578</v>
      </c>
      <c r="F192" s="339">
        <f t="shared" si="57"/>
        <v>2.7781619627741963E-2</v>
      </c>
      <c r="G192" s="338">
        <f t="shared" si="58"/>
        <v>1</v>
      </c>
      <c r="H192" s="339">
        <f t="shared" si="59"/>
        <v>0</v>
      </c>
      <c r="I192" s="337">
        <f t="shared" si="60"/>
        <v>24415.103743121337</v>
      </c>
      <c r="J192" s="340">
        <f t="shared" si="61"/>
        <v>1.5707553685417268</v>
      </c>
      <c r="K192" s="348">
        <f t="shared" si="82"/>
        <v>4.6849427797243886</v>
      </c>
      <c r="L192" s="349">
        <f t="shared" si="83"/>
        <v>1.3556915630913624</v>
      </c>
      <c r="M192" s="337">
        <f t="shared" si="64"/>
        <v>1.0053193563171738</v>
      </c>
      <c r="N192" s="340">
        <f t="shared" si="65"/>
        <v>0.1029163080349228</v>
      </c>
      <c r="O192" s="341">
        <f t="shared" si="66"/>
        <v>1.0024053368951091</v>
      </c>
      <c r="P192" s="342">
        <f t="shared" si="67"/>
        <v>0.15563996286772214</v>
      </c>
      <c r="Q192" s="343">
        <f t="shared" si="68"/>
        <v>5.802792433185358</v>
      </c>
      <c r="R192" s="344">
        <f t="shared" si="69"/>
        <v>-103.53307709382203</v>
      </c>
      <c r="S192" s="346">
        <f t="shared" si="70"/>
        <v>76.46692290617797</v>
      </c>
      <c r="U192" s="319">
        <f t="shared" si="76"/>
        <v>1000000000</v>
      </c>
      <c r="V192" s="319">
        <f t="shared" si="77"/>
        <v>117505600</v>
      </c>
      <c r="X192" s="345">
        <f t="shared" si="71"/>
        <v>23.32205784932761</v>
      </c>
      <c r="Y192" s="346">
        <f t="shared" si="72"/>
        <v>-18.218918492616051</v>
      </c>
      <c r="AA192" s="345">
        <f t="shared" si="73"/>
        <v>46.089855873020369</v>
      </c>
      <c r="AB192" s="346">
        <f t="shared" si="74"/>
        <v>-85.314158601205932</v>
      </c>
      <c r="AD192">
        <f t="shared" si="78"/>
        <v>0</v>
      </c>
      <c r="AE192">
        <f t="shared" si="81"/>
        <v>0</v>
      </c>
    </row>
    <row r="193" spans="1:31" x14ac:dyDescent="0.25">
      <c r="A193" s="347">
        <v>10902.5</v>
      </c>
      <c r="B193" s="364">
        <f t="shared" si="75"/>
        <v>10.9025</v>
      </c>
      <c r="C193" s="337">
        <f t="shared" si="54"/>
        <v>4.8316719566100232</v>
      </c>
      <c r="D193" s="338">
        <f t="shared" si="55"/>
        <v>1.3623218046468826</v>
      </c>
      <c r="E193" s="338">
        <f t="shared" si="56"/>
        <v>1.0003904967915365</v>
      </c>
      <c r="F193" s="339">
        <f t="shared" si="57"/>
        <v>2.7941716509390313E-2</v>
      </c>
      <c r="G193" s="338">
        <f t="shared" si="58"/>
        <v>1</v>
      </c>
      <c r="H193" s="339">
        <f t="shared" si="59"/>
        <v>0</v>
      </c>
      <c r="I193" s="337">
        <f t="shared" si="60"/>
        <v>24555.873483102197</v>
      </c>
      <c r="J193" s="340">
        <f t="shared" si="61"/>
        <v>1.5707556033402428</v>
      </c>
      <c r="K193" s="348">
        <f t="shared" si="82"/>
        <v>4.7107273570585528</v>
      </c>
      <c r="L193" s="349">
        <f t="shared" si="83"/>
        <v>1.3568873037631277</v>
      </c>
      <c r="M193" s="337">
        <f t="shared" si="64"/>
        <v>1.0053807079701476</v>
      </c>
      <c r="N193" s="340">
        <f t="shared" si="65"/>
        <v>0.10350547377206548</v>
      </c>
      <c r="O193" s="341">
        <f t="shared" si="66"/>
        <v>1.002433670197435</v>
      </c>
      <c r="P193" s="342">
        <f t="shared" si="67"/>
        <v>0.15654025349886044</v>
      </c>
      <c r="Q193" s="343">
        <f t="shared" si="68"/>
        <v>5.7520075281826069</v>
      </c>
      <c r="R193" s="344">
        <f t="shared" si="69"/>
        <v>-103.60762102540438</v>
      </c>
      <c r="S193" s="346">
        <f t="shared" si="70"/>
        <v>76.392378974595616</v>
      </c>
      <c r="U193" s="319">
        <f t="shared" si="76"/>
        <v>1000000000</v>
      </c>
      <c r="V193" s="319">
        <f t="shared" si="77"/>
        <v>118864506.25</v>
      </c>
      <c r="X193" s="345">
        <f t="shared" si="71"/>
        <v>23.319265095781788</v>
      </c>
      <c r="Y193" s="346">
        <f t="shared" si="72"/>
        <v>-18.184177761828064</v>
      </c>
      <c r="AA193" s="345">
        <f t="shared" si="73"/>
        <v>46.041863721563445</v>
      </c>
      <c r="AB193" s="346">
        <f t="shared" si="74"/>
        <v>-85.423443263576345</v>
      </c>
      <c r="AD193">
        <f t="shared" si="78"/>
        <v>0</v>
      </c>
      <c r="AE193">
        <f t="shared" si="81"/>
        <v>0</v>
      </c>
    </row>
    <row r="194" spans="1:31" x14ac:dyDescent="0.25">
      <c r="A194" s="347">
        <v>10965</v>
      </c>
      <c r="B194" s="364">
        <f t="shared" si="75"/>
        <v>10.965</v>
      </c>
      <c r="C194" s="337">
        <f t="shared" si="54"/>
        <v>4.8581869129698454</v>
      </c>
      <c r="D194" s="338">
        <f t="shared" si="55"/>
        <v>1.3634762491535117</v>
      </c>
      <c r="E194" s="338">
        <f t="shared" si="56"/>
        <v>1.000394985885406</v>
      </c>
      <c r="F194" s="339">
        <f t="shared" si="57"/>
        <v>2.8101811958329701E-2</v>
      </c>
      <c r="G194" s="338">
        <f t="shared" si="58"/>
        <v>1</v>
      </c>
      <c r="H194" s="339">
        <f t="shared" si="59"/>
        <v>0</v>
      </c>
      <c r="I194" s="337">
        <f t="shared" si="60"/>
        <v>24696.643223084397</v>
      </c>
      <c r="J194" s="340">
        <f t="shared" si="61"/>
        <v>1.570755835462077</v>
      </c>
      <c r="K194" s="348">
        <f t="shared" si="82"/>
        <v>4.7365185964332435</v>
      </c>
      <c r="L194" s="349">
        <f t="shared" si="83"/>
        <v>1.3580700240425145</v>
      </c>
      <c r="M194" s="337">
        <f t="shared" si="64"/>
        <v>1.0054424085644582</v>
      </c>
      <c r="N194" s="340">
        <f t="shared" si="65"/>
        <v>0.10409456740346071</v>
      </c>
      <c r="O194" s="341">
        <f t="shared" si="66"/>
        <v>1.0024621782737133</v>
      </c>
      <c r="P194" s="342">
        <f t="shared" si="67"/>
        <v>0.15744059349439557</v>
      </c>
      <c r="Q194" s="343">
        <f t="shared" si="68"/>
        <v>5.7015056016357253</v>
      </c>
      <c r="R194" s="344">
        <f t="shared" si="69"/>
        <v>-103.68217970979406</v>
      </c>
      <c r="S194" s="346">
        <f t="shared" si="70"/>
        <v>76.317820290205944</v>
      </c>
      <c r="U194" s="319">
        <f t="shared" si="76"/>
        <v>1000000000</v>
      </c>
      <c r="V194" s="319">
        <f t="shared" si="77"/>
        <v>120231225</v>
      </c>
      <c r="X194" s="345">
        <f t="shared" si="71"/>
        <v>23.316506792043118</v>
      </c>
      <c r="Y194" s="346">
        <f t="shared" si="72"/>
        <v>-18.150178759854235</v>
      </c>
      <c r="AA194" s="345">
        <f t="shared" si="73"/>
        <v>45.994120098755232</v>
      </c>
      <c r="AB194" s="346">
        <f t="shared" si="74"/>
        <v>-85.532000949939828</v>
      </c>
      <c r="AD194">
        <f t="shared" si="78"/>
        <v>0</v>
      </c>
      <c r="AE194">
        <f t="shared" si="81"/>
        <v>0</v>
      </c>
    </row>
    <row r="195" spans="1:31" x14ac:dyDescent="0.25">
      <c r="A195" s="347">
        <v>11028.75</v>
      </c>
      <c r="B195" s="364">
        <f t="shared" si="75"/>
        <v>11.02875</v>
      </c>
      <c r="C195" s="337">
        <f t="shared" si="54"/>
        <v>4.885238765567677</v>
      </c>
      <c r="D195" s="338">
        <f t="shared" si="55"/>
        <v>1.3646408708611724</v>
      </c>
      <c r="E195" s="338">
        <f t="shared" si="56"/>
        <v>1.0003995911759385</v>
      </c>
      <c r="F195" s="339">
        <f t="shared" si="57"/>
        <v>2.8265107831780295E-2</v>
      </c>
      <c r="G195" s="338">
        <f t="shared" si="58"/>
        <v>1</v>
      </c>
      <c r="H195" s="339">
        <f t="shared" si="59"/>
        <v>0</v>
      </c>
      <c r="I195" s="337">
        <f t="shared" si="60"/>
        <v>24840.2283578676</v>
      </c>
      <c r="J195" s="340">
        <f t="shared" si="61"/>
        <v>1.5707560695160236</v>
      </c>
      <c r="K195" s="348">
        <f t="shared" si="82"/>
        <v>4.7628324115907219</v>
      </c>
      <c r="L195" s="349">
        <f t="shared" si="83"/>
        <v>1.3592632010774812</v>
      </c>
      <c r="M195" s="337">
        <f t="shared" si="64"/>
        <v>1.0055057025834011</v>
      </c>
      <c r="N195" s="340">
        <f t="shared" si="65"/>
        <v>0.10469536821392569</v>
      </c>
      <c r="O195" s="341">
        <f t="shared" si="66"/>
        <v>1.0024914367745181</v>
      </c>
      <c r="P195" s="342">
        <f t="shared" si="67"/>
        <v>0.15835899140888646</v>
      </c>
      <c r="Q195" s="343">
        <f t="shared" si="68"/>
        <v>5.6502817564917827</v>
      </c>
      <c r="R195" s="344">
        <f t="shared" si="69"/>
        <v>-103.75824453126802</v>
      </c>
      <c r="S195" s="346">
        <f t="shared" si="70"/>
        <v>76.241755468731981</v>
      </c>
      <c r="U195" s="319">
        <f t="shared" si="76"/>
        <v>1000000000</v>
      </c>
      <c r="V195" s="319">
        <f t="shared" si="77"/>
        <v>121633326.5625</v>
      </c>
      <c r="X195" s="345">
        <f t="shared" si="71"/>
        <v>23.313727968340039</v>
      </c>
      <c r="Y195" s="346">
        <f t="shared" si="72"/>
        <v>-18.116251512570948</v>
      </c>
      <c r="AA195" s="345">
        <f t="shared" si="73"/>
        <v>45.94567507731437</v>
      </c>
      <c r="AB195" s="346">
        <f t="shared" si="74"/>
        <v>-85.641993018697093</v>
      </c>
      <c r="AD195">
        <f t="shared" si="78"/>
        <v>0</v>
      </c>
      <c r="AE195">
        <f t="shared" si="81"/>
        <v>0</v>
      </c>
    </row>
    <row r="196" spans="1:31" x14ac:dyDescent="0.25">
      <c r="A196" s="347">
        <v>11092.5</v>
      </c>
      <c r="B196" s="364">
        <f t="shared" si="75"/>
        <v>11.092499999999999</v>
      </c>
      <c r="C196" s="337">
        <f t="shared" si="54"/>
        <v>4.9122971712442256</v>
      </c>
      <c r="D196" s="338">
        <f t="shared" si="55"/>
        <v>1.365792663945641</v>
      </c>
      <c r="E196" s="338">
        <f t="shared" si="56"/>
        <v>1.0004042231424224</v>
      </c>
      <c r="F196" s="339">
        <f t="shared" si="57"/>
        <v>2.8428402197434408E-2</v>
      </c>
      <c r="G196" s="338">
        <f t="shared" si="58"/>
        <v>1</v>
      </c>
      <c r="H196" s="339">
        <f t="shared" si="59"/>
        <v>0</v>
      </c>
      <c r="I196" s="337">
        <f t="shared" si="60"/>
        <v>24983.813492652142</v>
      </c>
      <c r="J196" s="340">
        <f t="shared" si="61"/>
        <v>1.5707563008796952</v>
      </c>
      <c r="K196" s="348">
        <f t="shared" si="82"/>
        <v>4.7891529329383893</v>
      </c>
      <c r="L196" s="349">
        <f t="shared" si="83"/>
        <v>1.3604432647055966</v>
      </c>
      <c r="M196" s="337">
        <f t="shared" si="64"/>
        <v>1.0055693595055384</v>
      </c>
      <c r="N196" s="340">
        <f t="shared" si="65"/>
        <v>0.10529609317458805</v>
      </c>
      <c r="O196" s="341">
        <f t="shared" si="66"/>
        <v>1.0025208775386856</v>
      </c>
      <c r="P196" s="342">
        <f t="shared" si="67"/>
        <v>0.1592774412162512</v>
      </c>
      <c r="Q196" s="343">
        <f t="shared" si="68"/>
        <v>5.5993454825976716</v>
      </c>
      <c r="R196" s="344">
        <f t="shared" si="69"/>
        <v>-103.83432422926187</v>
      </c>
      <c r="S196" s="346">
        <f t="shared" si="70"/>
        <v>76.165675770738133</v>
      </c>
      <c r="U196" s="319">
        <f t="shared" si="76"/>
        <v>1000000000</v>
      </c>
      <c r="V196" s="319">
        <f t="shared" si="77"/>
        <v>123043556.25</v>
      </c>
      <c r="X196" s="345">
        <f t="shared" si="71"/>
        <v>23.310983299019739</v>
      </c>
      <c r="Y196" s="346">
        <f t="shared" si="72"/>
        <v>-18.083071108141151</v>
      </c>
      <c r="AA196" s="345">
        <f t="shared" si="73"/>
        <v>45.897483472740561</v>
      </c>
      <c r="AB196" s="346">
        <f t="shared" si="74"/>
        <v>-85.751253121120712</v>
      </c>
      <c r="AD196">
        <f t="shared" si="78"/>
        <v>0</v>
      </c>
      <c r="AE196">
        <f t="shared" si="81"/>
        <v>0</v>
      </c>
    </row>
    <row r="197" spans="1:31" x14ac:dyDescent="0.25">
      <c r="A197" s="347">
        <v>11156.25</v>
      </c>
      <c r="B197" s="364">
        <f t="shared" si="75"/>
        <v>11.15625</v>
      </c>
      <c r="C197" s="337">
        <f t="shared" si="54"/>
        <v>4.9393620223038859</v>
      </c>
      <c r="D197" s="338">
        <f t="shared" si="55"/>
        <v>1.3669318362058716</v>
      </c>
      <c r="E197" s="338">
        <f t="shared" si="56"/>
        <v>1.0004088817844872</v>
      </c>
      <c r="F197" s="339">
        <f t="shared" si="57"/>
        <v>2.859169504660454E-2</v>
      </c>
      <c r="G197" s="338">
        <f t="shared" si="58"/>
        <v>1</v>
      </c>
      <c r="H197" s="339">
        <f t="shared" si="59"/>
        <v>0</v>
      </c>
      <c r="I197" s="337">
        <f t="shared" si="60"/>
        <v>25127.398627438004</v>
      </c>
      <c r="J197" s="340">
        <f t="shared" si="61"/>
        <v>1.5707565295992103</v>
      </c>
      <c r="K197" s="348">
        <f t="shared" si="82"/>
        <v>4.8154800505118676</v>
      </c>
      <c r="L197" s="349">
        <f t="shared" si="83"/>
        <v>1.3616104266932705</v>
      </c>
      <c r="M197" s="337">
        <f t="shared" si="64"/>
        <v>1.0056333792619538</v>
      </c>
      <c r="N197" s="340">
        <f t="shared" si="65"/>
        <v>0.10589674186632525</v>
      </c>
      <c r="O197" s="341">
        <f t="shared" si="66"/>
        <v>1.0025505007844329</v>
      </c>
      <c r="P197" s="342">
        <f t="shared" si="67"/>
        <v>0.16019594318542116</v>
      </c>
      <c r="Q197" s="343">
        <f t="shared" si="68"/>
        <v>5.5486934151211189</v>
      </c>
      <c r="R197" s="344">
        <f t="shared" si="69"/>
        <v>-103.91041857099187</v>
      </c>
      <c r="S197" s="346">
        <f t="shared" si="70"/>
        <v>76.089581429008135</v>
      </c>
      <c r="U197" s="319">
        <f t="shared" si="76"/>
        <v>1000000000</v>
      </c>
      <c r="V197" s="319">
        <f t="shared" si="77"/>
        <v>124461914.0625</v>
      </c>
      <c r="X197" s="345">
        <f t="shared" si="71"/>
        <v>23.308271966666751</v>
      </c>
      <c r="Y197" s="346">
        <f t="shared" si="72"/>
        <v>-18.050625391871765</v>
      </c>
      <c r="AA197" s="345">
        <f t="shared" si="73"/>
        <v>45.849542737616993</v>
      </c>
      <c r="AB197" s="346">
        <f t="shared" si="74"/>
        <v>-85.859793179120103</v>
      </c>
      <c r="AD197">
        <f t="shared" si="78"/>
        <v>0</v>
      </c>
      <c r="AE197">
        <f t="shared" si="81"/>
        <v>0</v>
      </c>
    </row>
    <row r="198" spans="1:31" x14ac:dyDescent="0.25">
      <c r="A198" s="347">
        <v>11220</v>
      </c>
      <c r="B198" s="364">
        <f t="shared" si="75"/>
        <v>11.22</v>
      </c>
      <c r="C198" s="337">
        <f t="shared" si="54"/>
        <v>4.9664332133732492</v>
      </c>
      <c r="D198" s="338">
        <f t="shared" si="55"/>
        <v>1.3680585910427594</v>
      </c>
      <c r="E198" s="338">
        <f t="shared" si="56"/>
        <v>1.0004135671017604</v>
      </c>
      <c r="F198" s="339">
        <f t="shared" si="57"/>
        <v>2.8754986370603676E-2</v>
      </c>
      <c r="G198" s="338">
        <f t="shared" si="58"/>
        <v>1</v>
      </c>
      <c r="H198" s="339">
        <f t="shared" si="59"/>
        <v>0</v>
      </c>
      <c r="I198" s="337">
        <f t="shared" si="60"/>
        <v>25270.983762225169</v>
      </c>
      <c r="J198" s="340">
        <f t="shared" si="61"/>
        <v>1.57075675571964</v>
      </c>
      <c r="K198" s="348">
        <f t="shared" si="82"/>
        <v>4.8418136567112224</v>
      </c>
      <c r="L198" s="349">
        <f t="shared" si="83"/>
        <v>1.3627648943422432</v>
      </c>
      <c r="M198" s="337">
        <f t="shared" si="64"/>
        <v>1.0056977617833573</v>
      </c>
      <c r="N198" s="340">
        <f t="shared" si="65"/>
        <v>0.10649731387034135</v>
      </c>
      <c r="O198" s="341">
        <f t="shared" si="66"/>
        <v>1.002580306731202</v>
      </c>
      <c r="P198" s="342">
        <f t="shared" si="67"/>
        <v>0.16111449758479232</v>
      </c>
      <c r="Q198" s="343">
        <f t="shared" si="68"/>
        <v>5.4983222470700257</v>
      </c>
      <c r="R198" s="344">
        <f t="shared" si="69"/>
        <v>-103.98652732741894</v>
      </c>
      <c r="S198" s="346">
        <f t="shared" si="70"/>
        <v>76.013472672581059</v>
      </c>
      <c r="U198" s="319">
        <f t="shared" si="76"/>
        <v>1000000000</v>
      </c>
      <c r="V198" s="319">
        <f t="shared" si="77"/>
        <v>125888400</v>
      </c>
      <c r="X198" s="345">
        <f t="shared" si="71"/>
        <v>23.305593176074595</v>
      </c>
      <c r="Y198" s="346">
        <f t="shared" si="72"/>
        <v>-18.018902464835108</v>
      </c>
      <c r="AA198" s="345">
        <f t="shared" si="73"/>
        <v>45.801850360158056</v>
      </c>
      <c r="AB198" s="346">
        <f t="shared" si="74"/>
        <v>-85.967624862583833</v>
      </c>
      <c r="AD198">
        <f t="shared" si="78"/>
        <v>0</v>
      </c>
      <c r="AE198">
        <f t="shared" si="81"/>
        <v>0</v>
      </c>
    </row>
    <row r="199" spans="1:31" x14ac:dyDescent="0.25">
      <c r="A199" s="347">
        <v>11285.5</v>
      </c>
      <c r="B199" s="364">
        <f t="shared" si="75"/>
        <v>11.285500000000001</v>
      </c>
      <c r="C199" s="337">
        <f t="shared" si="54"/>
        <v>4.9942540302713248</v>
      </c>
      <c r="D199" s="338">
        <f t="shared" si="55"/>
        <v>1.3692035522551282</v>
      </c>
      <c r="E199" s="338">
        <f t="shared" si="56"/>
        <v>1.0004184088188424</v>
      </c>
      <c r="F199" s="339">
        <f t="shared" si="57"/>
        <v>2.8922758603859049E-2</v>
      </c>
      <c r="G199" s="338">
        <f t="shared" si="58"/>
        <v>1</v>
      </c>
      <c r="H199" s="339">
        <f t="shared" si="59"/>
        <v>0</v>
      </c>
      <c r="I199" s="337">
        <f t="shared" si="60"/>
        <v>25418.510449733312</v>
      </c>
      <c r="J199" s="340">
        <f t="shared" si="61"/>
        <v>1.5707569853865071</v>
      </c>
      <c r="K199" s="348">
        <f t="shared" si="82"/>
        <v>4.8688767938066215</v>
      </c>
      <c r="L199" s="349">
        <f t="shared" si="83"/>
        <v>1.3639380447193306</v>
      </c>
      <c r="M199" s="337">
        <f t="shared" si="64"/>
        <v>1.0057642894339174</v>
      </c>
      <c r="N199" s="340">
        <f t="shared" si="65"/>
        <v>0.10711429185047645</v>
      </c>
      <c r="O199" s="341">
        <f t="shared" si="66"/>
        <v>1.0026111214052222</v>
      </c>
      <c r="P199" s="342">
        <f t="shared" si="67"/>
        <v>0.16205832209335327</v>
      </c>
      <c r="Q199" s="343">
        <f t="shared" si="68"/>
        <v>5.44685749666505</v>
      </c>
      <c r="R199" s="344">
        <f t="shared" si="69"/>
        <v>-104.0647401206549</v>
      </c>
      <c r="S199" s="346">
        <f t="shared" si="70"/>
        <v>75.935259879345097</v>
      </c>
      <c r="U199" s="319">
        <f t="shared" si="76"/>
        <v>1000000000</v>
      </c>
      <c r="V199" s="319">
        <f t="shared" si="77"/>
        <v>127362510.25</v>
      </c>
      <c r="X199" s="345">
        <f t="shared" si="71"/>
        <v>23.302873930946944</v>
      </c>
      <c r="Y199" s="346">
        <f t="shared" si="72"/>
        <v>-17.987049292713849</v>
      </c>
      <c r="AA199" s="345">
        <f t="shared" si="73"/>
        <v>45.753104854880732</v>
      </c>
      <c r="AB199" s="346">
        <f t="shared" si="74"/>
        <v>-86.077690827941055</v>
      </c>
      <c r="AD199">
        <f t="shared" si="78"/>
        <v>0</v>
      </c>
      <c r="AE199">
        <f t="shared" si="81"/>
        <v>0</v>
      </c>
    </row>
    <row r="200" spans="1:31" x14ac:dyDescent="0.25">
      <c r="A200" s="347">
        <v>11351</v>
      </c>
      <c r="B200" s="364">
        <f t="shared" si="75"/>
        <v>11.351000000000001</v>
      </c>
      <c r="C200" s="337">
        <f t="shared" si="54"/>
        <v>5.0220813217742579</v>
      </c>
      <c r="D200" s="338">
        <f t="shared" si="55"/>
        <v>1.3703358265058649</v>
      </c>
      <c r="E200" s="338">
        <f t="shared" si="56"/>
        <v>1.0004232786949507</v>
      </c>
      <c r="F200" s="339">
        <f t="shared" si="57"/>
        <v>2.9090529208468104E-2</v>
      </c>
      <c r="G200" s="338">
        <f t="shared" si="58"/>
        <v>1</v>
      </c>
      <c r="H200" s="339">
        <f t="shared" si="59"/>
        <v>0</v>
      </c>
      <c r="I200" s="337">
        <f t="shared" si="60"/>
        <v>25566.03713724278</v>
      </c>
      <c r="J200" s="340">
        <f t="shared" si="61"/>
        <v>1.5707572124028268</v>
      </c>
      <c r="K200" s="348">
        <f t="shared" si="82"/>
        <v>4.8959465577620946</v>
      </c>
      <c r="L200" s="349">
        <f t="shared" si="83"/>
        <v>1.3650982239454497</v>
      </c>
      <c r="M200" s="337">
        <f t="shared" si="64"/>
        <v>1.0058311998898197</v>
      </c>
      <c r="N200" s="340">
        <f t="shared" si="65"/>
        <v>0.10773118797951781</v>
      </c>
      <c r="O200" s="341">
        <f t="shared" si="66"/>
        <v>1.0026421294222261</v>
      </c>
      <c r="P200" s="342">
        <f t="shared" si="67"/>
        <v>0.16300220252284073</v>
      </c>
      <c r="Q200" s="343">
        <f t="shared" si="68"/>
        <v>5.3956823833293219</v>
      </c>
      <c r="R200" s="344">
        <f t="shared" si="69"/>
        <v>-104.14296765250067</v>
      </c>
      <c r="S200" s="346">
        <f t="shared" si="70"/>
        <v>75.857032347499327</v>
      </c>
      <c r="U200" s="319">
        <f t="shared" si="76"/>
        <v>1000000000</v>
      </c>
      <c r="V200" s="319">
        <f t="shared" si="77"/>
        <v>128845201</v>
      </c>
      <c r="X200" s="345">
        <f t="shared" si="71"/>
        <v>23.300187405713373</v>
      </c>
      <c r="Y200" s="346">
        <f t="shared" si="72"/>
        <v>-17.955934471211943</v>
      </c>
      <c r="AA200" s="345">
        <f t="shared" si="73"/>
        <v>45.704616266778572</v>
      </c>
      <c r="AB200" s="346">
        <f t="shared" si="74"/>
        <v>-86.187033181288726</v>
      </c>
      <c r="AD200">
        <f t="shared" si="78"/>
        <v>0</v>
      </c>
      <c r="AE200">
        <f t="shared" si="81"/>
        <v>0</v>
      </c>
    </row>
    <row r="201" spans="1:31" x14ac:dyDescent="0.25">
      <c r="A201" s="347">
        <v>11416.5</v>
      </c>
      <c r="B201" s="364">
        <f t="shared" si="75"/>
        <v>11.416499999999999</v>
      </c>
      <c r="C201" s="337">
        <f t="shared" si="54"/>
        <v>5.0499149808481407</v>
      </c>
      <c r="D201" s="338">
        <f t="shared" si="55"/>
        <v>1.3714556206479589</v>
      </c>
      <c r="E201" s="338">
        <f t="shared" si="56"/>
        <v>1.0004281767296741</v>
      </c>
      <c r="F201" s="339">
        <f t="shared" si="57"/>
        <v>2.9258298175010217E-2</v>
      </c>
      <c r="G201" s="338">
        <f t="shared" si="58"/>
        <v>1</v>
      </c>
      <c r="H201" s="339">
        <f t="shared" si="59"/>
        <v>0</v>
      </c>
      <c r="I201" s="337">
        <f t="shared" si="60"/>
        <v>25713.56382475355</v>
      </c>
      <c r="J201" s="340">
        <f t="shared" si="61"/>
        <v>1.5707574368142208</v>
      </c>
      <c r="K201" s="348">
        <f t="shared" si="82"/>
        <v>4.9230228392621624</v>
      </c>
      <c r="L201" s="349">
        <f t="shared" si="83"/>
        <v>1.3662456428925924</v>
      </c>
      <c r="M201" s="337">
        <f t="shared" si="64"/>
        <v>1.0058984930746737</v>
      </c>
      <c r="N201" s="340">
        <f t="shared" si="65"/>
        <v>0.1083480018043132</v>
      </c>
      <c r="O201" s="341">
        <f t="shared" si="66"/>
        <v>1.0026733310242641</v>
      </c>
      <c r="P201" s="342">
        <f t="shared" si="67"/>
        <v>0.1639461391625805</v>
      </c>
      <c r="Q201" s="343">
        <f t="shared" si="68"/>
        <v>5.3447935023461923</v>
      </c>
      <c r="R201" s="344">
        <f t="shared" si="69"/>
        <v>-104.22120968645143</v>
      </c>
      <c r="S201" s="346">
        <f t="shared" si="70"/>
        <v>75.778790313548569</v>
      </c>
      <c r="U201" s="319">
        <f t="shared" si="76"/>
        <v>1000000000</v>
      </c>
      <c r="V201" s="319">
        <f t="shared" si="77"/>
        <v>130336472.25</v>
      </c>
      <c r="X201" s="345">
        <f t="shared" si="71"/>
        <v>23.297532806480639</v>
      </c>
      <c r="Y201" s="346">
        <f t="shared" si="72"/>
        <v>-17.925545894904445</v>
      </c>
      <c r="AA201" s="345">
        <f t="shared" si="73"/>
        <v>45.656381985028176</v>
      </c>
      <c r="AB201" s="346">
        <f t="shared" si="74"/>
        <v>-86.295663791547014</v>
      </c>
      <c r="AD201">
        <f t="shared" si="78"/>
        <v>0</v>
      </c>
      <c r="AE201">
        <f t="shared" si="81"/>
        <v>0</v>
      </c>
    </row>
    <row r="202" spans="1:31" x14ac:dyDescent="0.25">
      <c r="A202" s="347">
        <v>11482</v>
      </c>
      <c r="B202" s="364">
        <f t="shared" si="75"/>
        <v>11.481999999999999</v>
      </c>
      <c r="C202" s="337">
        <f t="shared" si="54"/>
        <v>5.0777549027816562</v>
      </c>
      <c r="D202" s="338">
        <f t="shared" si="55"/>
        <v>1.3725631371246856</v>
      </c>
      <c r="E202" s="338">
        <f t="shared" si="56"/>
        <v>1.000433102922599</v>
      </c>
      <c r="F202" s="339">
        <f t="shared" si="57"/>
        <v>2.9426065494065328E-2</v>
      </c>
      <c r="G202" s="338">
        <f t="shared" si="58"/>
        <v>1</v>
      </c>
      <c r="H202" s="339">
        <f t="shared" si="59"/>
        <v>0</v>
      </c>
      <c r="I202" s="337">
        <f t="shared" si="60"/>
        <v>25861.0905122656</v>
      </c>
      <c r="J202" s="340">
        <f t="shared" si="61"/>
        <v>1.5707576586652687</v>
      </c>
      <c r="K202" s="348">
        <f t="shared" si="82"/>
        <v>4.9501055313570621</v>
      </c>
      <c r="L202" s="349">
        <f t="shared" si="83"/>
        <v>1.3673805079539862</v>
      </c>
      <c r="M202" s="337">
        <f t="shared" si="64"/>
        <v>1.0059661689116726</v>
      </c>
      <c r="N202" s="340">
        <f t="shared" si="65"/>
        <v>0.10896473287208183</v>
      </c>
      <c r="O202" s="341">
        <f t="shared" si="66"/>
        <v>1.0027047264547502</v>
      </c>
      <c r="P202" s="342">
        <f t="shared" si="67"/>
        <v>0.16489013230128818</v>
      </c>
      <c r="Q202" s="343">
        <f t="shared" si="68"/>
        <v>5.2941875077506637</v>
      </c>
      <c r="R202" s="344">
        <f t="shared" si="69"/>
        <v>-104.29946598988546</v>
      </c>
      <c r="S202" s="346">
        <f t="shared" si="70"/>
        <v>75.700534010114538</v>
      </c>
      <c r="U202" s="319">
        <f t="shared" si="76"/>
        <v>1000000000</v>
      </c>
      <c r="V202" s="319">
        <f t="shared" si="77"/>
        <v>131836324</v>
      </c>
      <c r="X202" s="345">
        <f t="shared" si="71"/>
        <v>23.294909361057993</v>
      </c>
      <c r="Y202" s="346">
        <f t="shared" si="72"/>
        <v>-17.895871714942277</v>
      </c>
      <c r="AA202" s="345">
        <f t="shared" si="73"/>
        <v>45.608399435855304</v>
      </c>
      <c r="AB202" s="346">
        <f t="shared" si="74"/>
        <v>-86.40359427494316</v>
      </c>
      <c r="AD202">
        <f t="shared" si="78"/>
        <v>0</v>
      </c>
      <c r="AE202">
        <f t="shared" si="81"/>
        <v>0</v>
      </c>
    </row>
    <row r="203" spans="1:31" x14ac:dyDescent="0.25">
      <c r="A203" s="347">
        <v>11548.75</v>
      </c>
      <c r="B203" s="364">
        <f t="shared" si="75"/>
        <v>11.54875</v>
      </c>
      <c r="C203" s="337">
        <f t="shared" si="54"/>
        <v>5.1061324581539962</v>
      </c>
      <c r="D203" s="338">
        <f t="shared" si="55"/>
        <v>1.3736793631840705</v>
      </c>
      <c r="E203" s="338">
        <f t="shared" si="56"/>
        <v>1.0004381520957935</v>
      </c>
      <c r="F203" s="339">
        <f t="shared" si="57"/>
        <v>2.9597032774814212E-2</v>
      </c>
      <c r="G203" s="338">
        <f t="shared" si="58"/>
        <v>1</v>
      </c>
      <c r="H203" s="339">
        <f t="shared" si="59"/>
        <v>0</v>
      </c>
      <c r="I203" s="337">
        <f t="shared" si="60"/>
        <v>26011.432594578797</v>
      </c>
      <c r="J203" s="340">
        <f t="shared" si="61"/>
        <v>1.5707578821611146</v>
      </c>
      <c r="K203" s="348">
        <f t="shared" si="82"/>
        <v>4.977711555657117</v>
      </c>
      <c r="L203" s="349">
        <f t="shared" si="83"/>
        <v>1.3685243243589216</v>
      </c>
      <c r="M203" s="337">
        <f t="shared" si="64"/>
        <v>1.0060355298679318</v>
      </c>
      <c r="N203" s="340">
        <f t="shared" si="65"/>
        <v>0.10959314800722128</v>
      </c>
      <c r="O203" s="341">
        <f t="shared" si="66"/>
        <v>1.002736920700376</v>
      </c>
      <c r="P203" s="342">
        <f t="shared" si="67"/>
        <v>0.16585219900110795</v>
      </c>
      <c r="Q203" s="343">
        <f t="shared" si="68"/>
        <v>5.2429033811544565</v>
      </c>
      <c r="R203" s="344">
        <f t="shared" si="69"/>
        <v>-104.37923017790358</v>
      </c>
      <c r="S203" s="346">
        <f t="shared" si="70"/>
        <v>75.62076982209642</v>
      </c>
      <c r="U203" s="319">
        <f t="shared" si="76"/>
        <v>1000000000</v>
      </c>
      <c r="V203" s="319">
        <f t="shared" si="77"/>
        <v>133373626.5625</v>
      </c>
      <c r="X203" s="345">
        <f t="shared" si="71"/>
        <v>23.292267123528248</v>
      </c>
      <c r="Y203" s="346">
        <f t="shared" si="72"/>
        <v>-17.866354202762267</v>
      </c>
      <c r="AA203" s="345">
        <f t="shared" si="73"/>
        <v>45.55975754678883</v>
      </c>
      <c r="AB203" s="346">
        <f t="shared" si="74"/>
        <v>-86.512875975141299</v>
      </c>
      <c r="AD203">
        <f t="shared" si="78"/>
        <v>0</v>
      </c>
      <c r="AE203">
        <f t="shared" si="81"/>
        <v>0</v>
      </c>
    </row>
    <row r="204" spans="1:31" x14ac:dyDescent="0.25">
      <c r="A204" s="347">
        <v>11615.5</v>
      </c>
      <c r="B204" s="364">
        <f t="shared" si="75"/>
        <v>11.615500000000001</v>
      </c>
      <c r="C204" s="337">
        <f t="shared" si="54"/>
        <v>5.1345163052379634</v>
      </c>
      <c r="D204" s="338">
        <f t="shared" si="55"/>
        <v>1.3747832495061358</v>
      </c>
      <c r="E204" s="338">
        <f t="shared" si="56"/>
        <v>1.0004432305113102</v>
      </c>
      <c r="F204" s="339">
        <f t="shared" si="57"/>
        <v>2.9767998324843885E-2</v>
      </c>
      <c r="G204" s="338">
        <f t="shared" si="58"/>
        <v>1</v>
      </c>
      <c r="H204" s="339">
        <f t="shared" si="59"/>
        <v>0</v>
      </c>
      <c r="I204" s="337">
        <f t="shared" si="60"/>
        <v>26161.774676893274</v>
      </c>
      <c r="J204" s="340">
        <f t="shared" si="61"/>
        <v>1.5707581030882638</v>
      </c>
      <c r="K204" s="348">
        <f t="shared" si="82"/>
        <v>5.0053240205354328</v>
      </c>
      <c r="L204" s="349">
        <f t="shared" si="83"/>
        <v>1.3696555222319478</v>
      </c>
      <c r="M204" s="337">
        <f t="shared" si="64"/>
        <v>1.0061052880583674</v>
      </c>
      <c r="N204" s="340">
        <f t="shared" si="65"/>
        <v>0.1102214762482852</v>
      </c>
      <c r="O204" s="341">
        <f t="shared" si="66"/>
        <v>1.0027693167577976</v>
      </c>
      <c r="P204" s="342">
        <f t="shared" si="67"/>
        <v>0.16681432498037638</v>
      </c>
      <c r="Q204" s="343">
        <f t="shared" si="68"/>
        <v>5.191906205554714</v>
      </c>
      <c r="R204" s="344">
        <f t="shared" si="69"/>
        <v>-104.45900870946095</v>
      </c>
      <c r="S204" s="346">
        <f t="shared" si="70"/>
        <v>75.540991290539054</v>
      </c>
      <c r="U204" s="319">
        <f t="shared" si="76"/>
        <v>1000000000</v>
      </c>
      <c r="V204" s="319">
        <f t="shared" si="77"/>
        <v>134919840.25</v>
      </c>
      <c r="X204" s="345">
        <f t="shared" si="71"/>
        <v>23.289655686851276</v>
      </c>
      <c r="Y204" s="346">
        <f t="shared" si="72"/>
        <v>-17.837554553365859</v>
      </c>
      <c r="AA204" s="345">
        <f t="shared" si="73"/>
        <v>45.51137180786607</v>
      </c>
      <c r="AB204" s="346">
        <f t="shared" si="74"/>
        <v>-86.621454156095098</v>
      </c>
      <c r="AD204">
        <f t="shared" si="78"/>
        <v>0</v>
      </c>
      <c r="AE204">
        <f t="shared" si="81"/>
        <v>0</v>
      </c>
    </row>
    <row r="205" spans="1:31" x14ac:dyDescent="0.25">
      <c r="A205" s="347">
        <v>11682.25</v>
      </c>
      <c r="B205" s="364">
        <f t="shared" si="75"/>
        <v>11.68225</v>
      </c>
      <c r="C205" s="337">
        <f t="shared" ref="C205:C268" si="84">SQRT(1+(A205/pole1)^2)</f>
        <v>5.1629063402646915</v>
      </c>
      <c r="D205" s="338">
        <f t="shared" ref="D205:D268" si="85">ATAN(A205/pole1)</f>
        <v>1.3758749969411443</v>
      </c>
      <c r="E205" s="338">
        <f t="shared" ref="E205:E268" si="86">SQRT(1+(A205/Zero1)^2)</f>
        <v>1.0004483381687044</v>
      </c>
      <c r="F205" s="339">
        <f t="shared" ref="F205:F268" si="87">ATAN(A205/Zero1)</f>
        <v>2.9938962134186398E-2</v>
      </c>
      <c r="G205" s="338">
        <f t="shared" ref="G205:G268" si="88">IF(VIN_nom&gt;Vout, 1, SQRT(1+(A205/z_RHP)^2))</f>
        <v>1</v>
      </c>
      <c r="H205" s="339">
        <f t="shared" ref="H205:H268" si="89">IF(VIN_nom&gt;Vout, 0, -ATAN(A205/z_RHP))</f>
        <v>0</v>
      </c>
      <c r="I205" s="337">
        <f t="shared" ref="I205:I268" si="90">SQRT(1+(A205/Pole2)^2)</f>
        <v>26312.116759209013</v>
      </c>
      <c r="J205" s="340">
        <f t="shared" ref="J205:J268" si="91">ATAN(A205/Pole2)</f>
        <v>1.5707583214907475</v>
      </c>
      <c r="K205" s="348">
        <f t="shared" si="82"/>
        <v>5.0329428199862933</v>
      </c>
      <c r="L205" s="349">
        <f t="shared" si="83"/>
        <v>1.3707743063905369</v>
      </c>
      <c r="M205" s="337">
        <f t="shared" ref="M205:M268" si="92">SQRT(1+(A205/pole4)^2)</f>
        <v>1.0061754434003589</v>
      </c>
      <c r="N205" s="340">
        <f t="shared" ref="N205:N268" si="93">ATAN(A205/pole4)</f>
        <v>0.11084971711727512</v>
      </c>
      <c r="O205" s="341">
        <f t="shared" ref="O205:O268" si="94">SQRT((1-(V205/pterm2))^2+(A205/pterm1)^2)</f>
        <v>1.0028019148889935</v>
      </c>
      <c r="P205" s="342">
        <f t="shared" ref="P205:P268" si="95">IF((ATAN((A205/pterm1)/(1-A205^2/pterm2))&gt;0),ATAN((A205/pterm1)/(1-A205^2/pterm2)),PI()+ATAN((A205/pterm1)/(1-A205^2/pterm2)))</f>
        <v>0.16777651054267764</v>
      </c>
      <c r="Q205" s="343">
        <f t="shared" ref="Q205:Q268" si="96">20*LOG10(((E205*K205*G205)/(C205*I205*O205*M205))*Adc)</f>
        <v>5.1411926195421369</v>
      </c>
      <c r="R205" s="344">
        <f t="shared" ref="R205:R268" si="97">((F205+L205+H205)-(D205+J205+P205+N205))*radconv</f>
        <v>-104.53880135035389</v>
      </c>
      <c r="S205" s="346">
        <f t="shared" ref="S205:S268" si="98">IF(R205&gt;0,R205,R205+180)</f>
        <v>75.461198649646107</v>
      </c>
      <c r="U205" s="319">
        <f t="shared" si="76"/>
        <v>1000000000</v>
      </c>
      <c r="V205" s="319">
        <f t="shared" si="77"/>
        <v>136474965.0625</v>
      </c>
      <c r="X205" s="345">
        <f t="shared" ref="X205:X268" si="99">20*LOG10((K205/(I205*M205))*AEA)</f>
        <v>23.287074298921301</v>
      </c>
      <c r="Y205" s="346">
        <f t="shared" ref="Y205:Y268" si="100">(L205-(J205+N205))*radconv</f>
        <v>-17.809461006711807</v>
      </c>
      <c r="AA205" s="345">
        <f t="shared" ref="AA205:AA268" si="101">20*LOG10((E205*G205/(C205*O205))*Acs*Am)</f>
        <v>45.463239609783471</v>
      </c>
      <c r="AB205" s="346">
        <f t="shared" ref="AB205:AB268" si="102">(F205+H205-(D205+P205))*radconv</f>
        <v>-86.729340343642065</v>
      </c>
      <c r="AD205">
        <f t="shared" si="78"/>
        <v>0</v>
      </c>
      <c r="AE205">
        <f t="shared" si="81"/>
        <v>0</v>
      </c>
    </row>
    <row r="206" spans="1:31" x14ac:dyDescent="0.25">
      <c r="A206" s="347">
        <v>11749</v>
      </c>
      <c r="B206" s="364">
        <f t="shared" ref="B206:B269" si="103">A206/1000</f>
        <v>11.749000000000001</v>
      </c>
      <c r="C206" s="337">
        <f t="shared" si="84"/>
        <v>5.1913024617128913</v>
      </c>
      <c r="D206" s="338">
        <f t="shared" si="85"/>
        <v>1.3769548020619915</v>
      </c>
      <c r="E206" s="338">
        <f t="shared" si="86"/>
        <v>1.0004534750675278</v>
      </c>
      <c r="F206" s="339">
        <f t="shared" si="87"/>
        <v>3.0109924192874418E-2</v>
      </c>
      <c r="G206" s="338">
        <f t="shared" si="88"/>
        <v>1</v>
      </c>
      <c r="H206" s="339">
        <f t="shared" si="89"/>
        <v>0</v>
      </c>
      <c r="I206" s="337">
        <f t="shared" si="90"/>
        <v>26462.458841525997</v>
      </c>
      <c r="J206" s="340">
        <f t="shared" si="91"/>
        <v>1.570758537411596</v>
      </c>
      <c r="K206" s="348">
        <f t="shared" si="82"/>
        <v>5.0605678502940918</v>
      </c>
      <c r="L206" s="349">
        <f t="shared" si="83"/>
        <v>1.3718808773057138</v>
      </c>
      <c r="M206" s="337">
        <f t="shared" si="92"/>
        <v>1.0062459958108385</v>
      </c>
      <c r="N206" s="340">
        <f t="shared" si="93"/>
        <v>0.11147787013660136</v>
      </c>
      <c r="O206" s="341">
        <f t="shared" si="94"/>
        <v>1.0028347153574104</v>
      </c>
      <c r="P206" s="342">
        <f t="shared" si="95"/>
        <v>0.16873875599092281</v>
      </c>
      <c r="Q206" s="343">
        <f t="shared" si="96"/>
        <v>5.0907593194653113</v>
      </c>
      <c r="R206" s="344">
        <f t="shared" si="97"/>
        <v>-104.61860787026417</v>
      </c>
      <c r="S206" s="346">
        <f t="shared" si="98"/>
        <v>75.381392129735829</v>
      </c>
      <c r="U206" s="319">
        <f t="shared" ref="U206:U269" si="104">IF(Q206&lt;0,A206,1000000000)</f>
        <v>1000000000</v>
      </c>
      <c r="V206" s="319">
        <f t="shared" ref="V206:V269" si="105">A206^2</f>
        <v>138039001</v>
      </c>
      <c r="X206" s="345">
        <f t="shared" si="99"/>
        <v>23.284522228152017</v>
      </c>
      <c r="Y206" s="346">
        <f t="shared" si="100"/>
        <v>-17.78206205175805</v>
      </c>
      <c r="AA206" s="345">
        <f t="shared" si="101"/>
        <v>45.415358380475922</v>
      </c>
      <c r="AB206" s="346">
        <f t="shared" si="102"/>
        <v>-86.836545818506153</v>
      </c>
      <c r="AD206">
        <f t="shared" ref="AD206:AD269" si="106">SUM((Q207&lt;0)*(Q206&gt;0))*A206</f>
        <v>0</v>
      </c>
      <c r="AE206">
        <f t="shared" si="81"/>
        <v>0</v>
      </c>
    </row>
    <row r="207" spans="1:31" x14ac:dyDescent="0.25">
      <c r="A207" s="347">
        <v>11817.5</v>
      </c>
      <c r="B207" s="364">
        <f t="shared" si="103"/>
        <v>11.817500000000001</v>
      </c>
      <c r="C207" s="337">
        <f t="shared" si="84"/>
        <v>5.2204492744694866</v>
      </c>
      <c r="D207" s="338">
        <f t="shared" si="85"/>
        <v>1.3780507023804627</v>
      </c>
      <c r="E207" s="338">
        <f t="shared" si="86"/>
        <v>1.0004587770425515</v>
      </c>
      <c r="F207" s="339">
        <f t="shared" si="87"/>
        <v>3.0285366572359054E-2</v>
      </c>
      <c r="G207" s="338">
        <f t="shared" si="88"/>
        <v>1</v>
      </c>
      <c r="H207" s="339">
        <f t="shared" si="89"/>
        <v>0</v>
      </c>
      <c r="I207" s="337">
        <f t="shared" si="90"/>
        <v>26616.742476564166</v>
      </c>
      <c r="J207" s="340">
        <f t="shared" si="91"/>
        <v>1.5707587564573124</v>
      </c>
      <c r="K207" s="348">
        <f t="shared" si="82"/>
        <v>5.0889235039454475</v>
      </c>
      <c r="L207" s="349">
        <f t="shared" si="83"/>
        <v>1.3730039674832248</v>
      </c>
      <c r="M207" s="337">
        <f t="shared" si="92"/>
        <v>1.0063188106423944</v>
      </c>
      <c r="N207" s="340">
        <f t="shared" si="93"/>
        <v>0.11212239975208778</v>
      </c>
      <c r="O207" s="341">
        <f t="shared" si="94"/>
        <v>1.0028685864048783</v>
      </c>
      <c r="P207" s="342">
        <f t="shared" si="95"/>
        <v>0.16972629142647855</v>
      </c>
      <c r="Q207" s="343">
        <f t="shared" si="96"/>
        <v>5.0392917976332949</v>
      </c>
      <c r="R207" s="344">
        <f t="shared" si="97"/>
        <v>-104.70052088800766</v>
      </c>
      <c r="S207" s="346">
        <f t="shared" si="98"/>
        <v>75.299479111992341</v>
      </c>
      <c r="U207" s="319">
        <f t="shared" si="104"/>
        <v>1000000000</v>
      </c>
      <c r="V207" s="319">
        <f t="shared" si="105"/>
        <v>139653306.25</v>
      </c>
      <c r="X207" s="345">
        <f t="shared" si="99"/>
        <v>23.281932983022024</v>
      </c>
      <c r="Y207" s="346">
        <f t="shared" si="100"/>
        <v>-17.754655101676391</v>
      </c>
      <c r="AA207" s="345">
        <f t="shared" si="101"/>
        <v>45.366480103773902</v>
      </c>
      <c r="AB207" s="346">
        <f t="shared" si="102"/>
        <v>-86.945865786331268</v>
      </c>
      <c r="AD207">
        <f t="shared" si="106"/>
        <v>0</v>
      </c>
      <c r="AE207">
        <f t="shared" si="81"/>
        <v>0</v>
      </c>
    </row>
    <row r="208" spans="1:31" x14ac:dyDescent="0.25">
      <c r="A208" s="347">
        <v>11886</v>
      </c>
      <c r="B208" s="364">
        <f t="shared" si="103"/>
        <v>11.885999999999999</v>
      </c>
      <c r="C208" s="337">
        <f t="shared" si="84"/>
        <v>5.2496022873465806</v>
      </c>
      <c r="D208" s="338">
        <f t="shared" si="85"/>
        <v>1.3791344320964514</v>
      </c>
      <c r="E208" s="338">
        <f t="shared" si="86"/>
        <v>1.0004641098113978</v>
      </c>
      <c r="F208" s="339">
        <f t="shared" si="87"/>
        <v>3.0460807086924425E-2</v>
      </c>
      <c r="G208" s="338">
        <f t="shared" si="88"/>
        <v>1</v>
      </c>
      <c r="H208" s="339">
        <f t="shared" si="89"/>
        <v>0</v>
      </c>
      <c r="I208" s="337">
        <f t="shared" si="90"/>
        <v>26771.026111603598</v>
      </c>
      <c r="J208" s="340">
        <f t="shared" si="91"/>
        <v>1.5707589729782718</v>
      </c>
      <c r="K208" s="348">
        <f t="shared" si="82"/>
        <v>5.1172855052765618</v>
      </c>
      <c r="L208" s="349">
        <f t="shared" si="83"/>
        <v>1.3741146098370851</v>
      </c>
      <c r="M208" s="337">
        <f t="shared" si="92"/>
        <v>1.0063920434567319</v>
      </c>
      <c r="N208" s="340">
        <f t="shared" si="93"/>
        <v>0.11276683583340259</v>
      </c>
      <c r="O208" s="341">
        <f t="shared" si="94"/>
        <v>1.0029026711049771</v>
      </c>
      <c r="P208" s="342">
        <f t="shared" si="95"/>
        <v>0.17071389057340169</v>
      </c>
      <c r="Q208" s="343">
        <f t="shared" si="96"/>
        <v>4.9881125825968677</v>
      </c>
      <c r="R208" s="344">
        <f t="shared" si="97"/>
        <v>-104.78244804282734</v>
      </c>
      <c r="S208" s="346">
        <f t="shared" si="98"/>
        <v>75.21755195717266</v>
      </c>
      <c r="U208" s="319">
        <f t="shared" si="104"/>
        <v>1000000000</v>
      </c>
      <c r="V208" s="319">
        <f t="shared" si="105"/>
        <v>141276996</v>
      </c>
      <c r="X208" s="345">
        <f t="shared" si="99"/>
        <v>23.279373114832325</v>
      </c>
      <c r="Y208" s="346">
        <f t="shared" si="100"/>
        <v>-17.727955855583655</v>
      </c>
      <c r="AA208" s="345">
        <f t="shared" si="101"/>
        <v>45.317860756927175</v>
      </c>
      <c r="AB208" s="346">
        <f t="shared" si="102"/>
        <v>-87.054492187243667</v>
      </c>
      <c r="AD208">
        <f t="shared" si="106"/>
        <v>0</v>
      </c>
      <c r="AE208">
        <f t="shared" si="81"/>
        <v>0</v>
      </c>
    </row>
    <row r="209" spans="1:31" x14ac:dyDescent="0.25">
      <c r="A209" s="347">
        <v>11954.5</v>
      </c>
      <c r="B209" s="364">
        <f t="shared" si="103"/>
        <v>11.954499999999999</v>
      </c>
      <c r="C209" s="337">
        <f t="shared" si="84"/>
        <v>5.278761397619971</v>
      </c>
      <c r="D209" s="338">
        <f t="shared" si="85"/>
        <v>1.380206190328936</v>
      </c>
      <c r="E209" s="338">
        <f t="shared" si="86"/>
        <v>1.0004694733735746</v>
      </c>
      <c r="F209" s="339">
        <f t="shared" si="87"/>
        <v>3.0636245725800544E-2</v>
      </c>
      <c r="G209" s="338">
        <f t="shared" si="88"/>
        <v>1</v>
      </c>
      <c r="H209" s="339">
        <f t="shared" si="89"/>
        <v>0</v>
      </c>
      <c r="I209" s="337">
        <f t="shared" si="90"/>
        <v>26925.30974664427</v>
      </c>
      <c r="J209" s="340">
        <f t="shared" si="91"/>
        <v>1.570759187017875</v>
      </c>
      <c r="K209" s="348">
        <f t="shared" si="82"/>
        <v>5.1456537493253185</v>
      </c>
      <c r="L209" s="349">
        <f t="shared" si="83"/>
        <v>1.3752130074807856</v>
      </c>
      <c r="M209" s="337">
        <f t="shared" si="92"/>
        <v>1.0064656941626104</v>
      </c>
      <c r="N209" s="340">
        <f t="shared" si="93"/>
        <v>0.11341117786575594</v>
      </c>
      <c r="O209" s="341">
        <f t="shared" si="94"/>
        <v>1.0029369697472319</v>
      </c>
      <c r="P209" s="342">
        <f t="shared" si="95"/>
        <v>0.17170155375682128</v>
      </c>
      <c r="Q209" s="343">
        <f t="shared" si="96"/>
        <v>4.9372182851376722</v>
      </c>
      <c r="R209" s="344">
        <f t="shared" si="97"/>
        <v>-104.86438909809149</v>
      </c>
      <c r="S209" s="346">
        <f t="shared" si="98"/>
        <v>75.135610901908507</v>
      </c>
      <c r="U209" s="319">
        <f t="shared" si="104"/>
        <v>1000000000</v>
      </c>
      <c r="V209" s="319">
        <f t="shared" si="105"/>
        <v>142910070.25</v>
      </c>
      <c r="X209" s="345">
        <f t="shared" si="99"/>
        <v>23.276841896047866</v>
      </c>
      <c r="Y209" s="346">
        <f t="shared" si="100"/>
        <v>-17.701952648925424</v>
      </c>
      <c r="AA209" s="345">
        <f t="shared" si="101"/>
        <v>45.269497678252435</v>
      </c>
      <c r="AB209" s="346">
        <f t="shared" si="102"/>
        <v>-87.162436449166066</v>
      </c>
      <c r="AD209">
        <f t="shared" si="106"/>
        <v>0</v>
      </c>
      <c r="AE209">
        <f t="shared" si="81"/>
        <v>0</v>
      </c>
    </row>
    <row r="210" spans="1:31" x14ac:dyDescent="0.25">
      <c r="A210" s="347">
        <v>12023</v>
      </c>
      <c r="B210" s="364">
        <f t="shared" si="103"/>
        <v>12.023</v>
      </c>
      <c r="C210" s="337">
        <f t="shared" si="84"/>
        <v>5.3079265048014621</v>
      </c>
      <c r="D210" s="338">
        <f t="shared" si="85"/>
        <v>1.3812661719319412</v>
      </c>
      <c r="E210" s="338">
        <f t="shared" si="86"/>
        <v>1.0004748677285862</v>
      </c>
      <c r="F210" s="339">
        <f t="shared" si="87"/>
        <v>3.0811682478218114E-2</v>
      </c>
      <c r="G210" s="338">
        <f t="shared" si="88"/>
        <v>1</v>
      </c>
      <c r="H210" s="339">
        <f t="shared" si="89"/>
        <v>0</v>
      </c>
      <c r="I210" s="337">
        <f t="shared" si="90"/>
        <v>27079.593381686165</v>
      </c>
      <c r="J210" s="340">
        <f t="shared" si="91"/>
        <v>1.570759398618534</v>
      </c>
      <c r="K210" s="348">
        <f t="shared" si="82"/>
        <v>5.1740281334087044</v>
      </c>
      <c r="L210" s="349">
        <f t="shared" si="83"/>
        <v>1.3762993591919774</v>
      </c>
      <c r="M210" s="337">
        <f t="shared" si="92"/>
        <v>1.0065397626682964</v>
      </c>
      <c r="N210" s="340">
        <f t="shared" si="93"/>
        <v>0.11405542533482059</v>
      </c>
      <c r="O210" s="341">
        <f t="shared" si="94"/>
        <v>1.0029714826227916</v>
      </c>
      <c r="P210" s="342">
        <f t="shared" si="95"/>
        <v>0.17268928130110239</v>
      </c>
      <c r="Q210" s="343">
        <f t="shared" si="96"/>
        <v>4.886605574428601</v>
      </c>
      <c r="R210" s="344">
        <f t="shared" si="97"/>
        <v>-104.94634382115596</v>
      </c>
      <c r="S210" s="346">
        <f t="shared" si="98"/>
        <v>75.053656178844037</v>
      </c>
      <c r="U210" s="319">
        <f t="shared" si="104"/>
        <v>1000000000</v>
      </c>
      <c r="V210" s="319">
        <f t="shared" si="105"/>
        <v>144552529</v>
      </c>
      <c r="X210" s="345">
        <f t="shared" si="99"/>
        <v>23.274338619079661</v>
      </c>
      <c r="Y210" s="346">
        <f t="shared" si="100"/>
        <v>-17.676634065542476</v>
      </c>
      <c r="AA210" s="345">
        <f t="shared" si="101"/>
        <v>45.221388244511559</v>
      </c>
      <c r="AB210" s="346">
        <f t="shared" si="102"/>
        <v>-87.269709755613476</v>
      </c>
      <c r="AD210">
        <f t="shared" si="106"/>
        <v>0</v>
      </c>
      <c r="AE210">
        <f t="shared" si="81"/>
        <v>0</v>
      </c>
    </row>
    <row r="211" spans="1:31" x14ac:dyDescent="0.25">
      <c r="A211" s="347">
        <v>12093</v>
      </c>
      <c r="B211" s="364">
        <f t="shared" si="103"/>
        <v>12.093</v>
      </c>
      <c r="C211" s="337">
        <f t="shared" si="84"/>
        <v>5.3377363569955181</v>
      </c>
      <c r="D211" s="338">
        <f t="shared" si="85"/>
        <v>1.3823373969599619</v>
      </c>
      <c r="E211" s="338">
        <f t="shared" si="86"/>
        <v>1.0004804120193036</v>
      </c>
      <c r="F211" s="339">
        <f t="shared" si="87"/>
        <v>3.0990958951264653E-2</v>
      </c>
      <c r="G211" s="338">
        <f t="shared" si="88"/>
        <v>1</v>
      </c>
      <c r="H211" s="339">
        <f t="shared" si="89"/>
        <v>0</v>
      </c>
      <c r="I211" s="337">
        <f t="shared" si="90"/>
        <v>27237.255490489337</v>
      </c>
      <c r="J211" s="340">
        <f t="shared" si="91"/>
        <v>1.5707596123762735</v>
      </c>
      <c r="K211" s="348">
        <f t="shared" si="82"/>
        <v>5.203030093022468</v>
      </c>
      <c r="L211" s="349">
        <f t="shared" si="83"/>
        <v>1.3773972575728173</v>
      </c>
      <c r="M211" s="337">
        <f t="shared" si="92"/>
        <v>1.0066158846394146</v>
      </c>
      <c r="N211" s="340">
        <f t="shared" si="93"/>
        <v>0.11471368218590609</v>
      </c>
      <c r="O211" s="341">
        <f t="shared" si="94"/>
        <v>1.0030069728809536</v>
      </c>
      <c r="P211" s="342">
        <f t="shared" si="95"/>
        <v>0.17369870474277124</v>
      </c>
      <c r="Q211" s="343">
        <f t="shared" si="96"/>
        <v>4.835172053192669</v>
      </c>
      <c r="R211" s="344">
        <f t="shared" si="97"/>
        <v>-105.03010705520637</v>
      </c>
      <c r="S211" s="346">
        <f t="shared" si="98"/>
        <v>74.969892944793628</v>
      </c>
      <c r="U211" s="319">
        <f t="shared" si="104"/>
        <v>1000000000</v>
      </c>
      <c r="V211" s="319">
        <f t="shared" si="105"/>
        <v>146240649</v>
      </c>
      <c r="X211" s="345">
        <f t="shared" si="99"/>
        <v>23.271808675994031</v>
      </c>
      <c r="Y211" s="346">
        <f t="shared" si="100"/>
        <v>-17.651456708776422</v>
      </c>
      <c r="AA211" s="345">
        <f t="shared" si="101"/>
        <v>45.172484666361257</v>
      </c>
      <c r="AB211" s="346">
        <f t="shared" si="102"/>
        <v>-87.37865034642995</v>
      </c>
      <c r="AD211">
        <f t="shared" si="106"/>
        <v>0</v>
      </c>
      <c r="AE211">
        <f t="shared" si="81"/>
        <v>0</v>
      </c>
    </row>
    <row r="212" spans="1:31" x14ac:dyDescent="0.25">
      <c r="A212" s="347">
        <v>12163</v>
      </c>
      <c r="B212" s="364">
        <f t="shared" si="103"/>
        <v>12.163</v>
      </c>
      <c r="C212" s="337">
        <f t="shared" si="84"/>
        <v>5.3675522663261104</v>
      </c>
      <c r="D212" s="338">
        <f t="shared" si="85"/>
        <v>1.3833967222189789</v>
      </c>
      <c r="E212" s="338">
        <f t="shared" si="86"/>
        <v>1.0004859884651578</v>
      </c>
      <c r="F212" s="339">
        <f t="shared" si="87"/>
        <v>3.1170233431593183E-2</v>
      </c>
      <c r="G212" s="338">
        <f t="shared" si="88"/>
        <v>1</v>
      </c>
      <c r="H212" s="339">
        <f t="shared" si="89"/>
        <v>0</v>
      </c>
      <c r="I212" s="337">
        <f t="shared" si="90"/>
        <v>27394.917599293742</v>
      </c>
      <c r="J212" s="340">
        <f t="shared" si="91"/>
        <v>1.5707598236735933</v>
      </c>
      <c r="K212" s="348">
        <f t="shared" si="82"/>
        <v>5.2320382547355395</v>
      </c>
      <c r="L212" s="349">
        <f t="shared" si="83"/>
        <v>1.3784829830221259</v>
      </c>
      <c r="M212" s="337">
        <f t="shared" si="92"/>
        <v>1.0066924427132184</v>
      </c>
      <c r="N212" s="340">
        <f t="shared" si="93"/>
        <v>0.11537183920242858</v>
      </c>
      <c r="O212" s="341">
        <f t="shared" si="94"/>
        <v>1.0030426874775447</v>
      </c>
      <c r="P212" s="342">
        <f t="shared" si="95"/>
        <v>0.17470819607729962</v>
      </c>
      <c r="Q212" s="343">
        <f t="shared" si="96"/>
        <v>4.7840257340575585</v>
      </c>
      <c r="R212" s="344">
        <f t="shared" si="97"/>
        <v>-105.11388408339465</v>
      </c>
      <c r="S212" s="346">
        <f t="shared" si="98"/>
        <v>74.886115916605348</v>
      </c>
      <c r="U212" s="319">
        <f t="shared" si="104"/>
        <v>1000000000</v>
      </c>
      <c r="V212" s="319">
        <f t="shared" si="105"/>
        <v>147938569</v>
      </c>
      <c r="X212" s="345">
        <f t="shared" si="99"/>
        <v>23.269306478799543</v>
      </c>
      <c r="Y212" s="346">
        <f t="shared" si="100"/>
        <v>-17.626970948541427</v>
      </c>
      <c r="AA212" s="345">
        <f t="shared" si="101"/>
        <v>45.123840544420645</v>
      </c>
      <c r="AB212" s="346">
        <f t="shared" si="102"/>
        <v>-87.486913134853225</v>
      </c>
      <c r="AD212">
        <f t="shared" si="106"/>
        <v>0</v>
      </c>
      <c r="AE212">
        <f t="shared" si="81"/>
        <v>0</v>
      </c>
    </row>
    <row r="213" spans="1:31" x14ac:dyDescent="0.25">
      <c r="A213" s="347">
        <v>12233</v>
      </c>
      <c r="B213" s="364">
        <f t="shared" si="103"/>
        <v>12.233000000000001</v>
      </c>
      <c r="C213" s="337">
        <f t="shared" si="84"/>
        <v>5.397374132411632</v>
      </c>
      <c r="D213" s="338">
        <f t="shared" si="85"/>
        <v>1.384444342559348</v>
      </c>
      <c r="E213" s="338">
        <f t="shared" si="86"/>
        <v>1.0004915970656119</v>
      </c>
      <c r="F213" s="339">
        <f t="shared" si="87"/>
        <v>3.1349505907713578E-2</v>
      </c>
      <c r="G213" s="338">
        <f t="shared" si="88"/>
        <v>1</v>
      </c>
      <c r="H213" s="339">
        <f t="shared" si="89"/>
        <v>0</v>
      </c>
      <c r="I213" s="337">
        <f t="shared" si="90"/>
        <v>27552.579708099351</v>
      </c>
      <c r="J213" s="340">
        <f t="shared" si="91"/>
        <v>1.5707600325527307</v>
      </c>
      <c r="K213" s="348">
        <f t="shared" si="82"/>
        <v>5.2610525159573251</v>
      </c>
      <c r="L213" s="349">
        <f t="shared" si="83"/>
        <v>1.3795567343568702</v>
      </c>
      <c r="M213" s="337">
        <f t="shared" si="92"/>
        <v>1.0067694367902202</v>
      </c>
      <c r="N213" s="340">
        <f t="shared" si="93"/>
        <v>0.11602989583704001</v>
      </c>
      <c r="O213" s="341">
        <f t="shared" si="94"/>
        <v>1.0030786267285077</v>
      </c>
      <c r="P213" s="342">
        <f t="shared" si="95"/>
        <v>0.17571775564833128</v>
      </c>
      <c r="Q213" s="343">
        <f t="shared" si="96"/>
        <v>4.7331632429886348</v>
      </c>
      <c r="R213" s="344">
        <f t="shared" si="97"/>
        <v>-105.19767466985759</v>
      </c>
      <c r="S213" s="346">
        <f t="shared" si="98"/>
        <v>74.802325330142409</v>
      </c>
      <c r="U213" s="319">
        <f t="shared" si="104"/>
        <v>1000000000</v>
      </c>
      <c r="V213" s="319">
        <f t="shared" si="105"/>
        <v>149646289</v>
      </c>
      <c r="X213" s="345">
        <f t="shared" si="99"/>
        <v>23.266831332835043</v>
      </c>
      <c r="Y213" s="346">
        <f t="shared" si="100"/>
        <v>-17.603165364523655</v>
      </c>
      <c r="AA213" s="345">
        <f t="shared" si="101"/>
        <v>45.075453199316222</v>
      </c>
      <c r="AB213" s="346">
        <f t="shared" si="102"/>
        <v>-87.594509305333972</v>
      </c>
      <c r="AD213">
        <f t="shared" si="106"/>
        <v>0</v>
      </c>
      <c r="AE213">
        <f t="shared" si="81"/>
        <v>0</v>
      </c>
    </row>
    <row r="214" spans="1:31" x14ac:dyDescent="0.25">
      <c r="A214" s="347">
        <v>12303</v>
      </c>
      <c r="B214" s="364">
        <f t="shared" si="103"/>
        <v>12.303000000000001</v>
      </c>
      <c r="C214" s="337">
        <f t="shared" si="84"/>
        <v>5.4272018570569793</v>
      </c>
      <c r="D214" s="338">
        <f t="shared" si="85"/>
        <v>1.3854804486519194</v>
      </c>
      <c r="E214" s="338">
        <f t="shared" si="86"/>
        <v>1.0004972378201247</v>
      </c>
      <c r="F214" s="339">
        <f t="shared" si="87"/>
        <v>3.1528776368136523E-2</v>
      </c>
      <c r="G214" s="338">
        <f t="shared" si="88"/>
        <v>1</v>
      </c>
      <c r="H214" s="339">
        <f t="shared" si="89"/>
        <v>0</v>
      </c>
      <c r="I214" s="337">
        <f t="shared" si="90"/>
        <v>27710.241816906149</v>
      </c>
      <c r="J214" s="340">
        <f t="shared" si="91"/>
        <v>1.570760239054962</v>
      </c>
      <c r="K214" s="348">
        <f t="shared" si="82"/>
        <v>5.2900727763265953</v>
      </c>
      <c r="L214" s="349">
        <f t="shared" si="83"/>
        <v>1.3806187061431638</v>
      </c>
      <c r="M214" s="337">
        <f t="shared" si="92"/>
        <v>1.0068468667703956</v>
      </c>
      <c r="N214" s="340">
        <f t="shared" si="93"/>
        <v>0.11668785154290709</v>
      </c>
      <c r="O214" s="341">
        <f t="shared" si="94"/>
        <v>1.0031147909515521</v>
      </c>
      <c r="P214" s="342">
        <f t="shared" si="95"/>
        <v>0.17672738379865777</v>
      </c>
      <c r="Q214" s="343">
        <f t="shared" si="96"/>
        <v>4.6825812639917714</v>
      </c>
      <c r="R214" s="344">
        <f t="shared" si="97"/>
        <v>-105.28147858274568</v>
      </c>
      <c r="S214" s="346">
        <f t="shared" si="98"/>
        <v>74.718521417254323</v>
      </c>
      <c r="U214" s="319">
        <f t="shared" si="104"/>
        <v>1000000000</v>
      </c>
      <c r="V214" s="319">
        <f t="shared" si="105"/>
        <v>151363809</v>
      </c>
      <c r="X214" s="345">
        <f t="shared" si="99"/>
        <v>23.264382562496962</v>
      </c>
      <c r="Y214" s="346">
        <f t="shared" si="100"/>
        <v>-17.580028779939667</v>
      </c>
      <c r="AA214" s="345">
        <f t="shared" si="101"/>
        <v>45.027319990657439</v>
      </c>
      <c r="AB214" s="346">
        <f t="shared" si="102"/>
        <v>-87.70144980280601</v>
      </c>
      <c r="AD214">
        <f t="shared" si="106"/>
        <v>0</v>
      </c>
      <c r="AE214">
        <f t="shared" si="81"/>
        <v>0</v>
      </c>
    </row>
    <row r="215" spans="1:31" x14ac:dyDescent="0.25">
      <c r="A215" s="347">
        <v>12374.5</v>
      </c>
      <c r="B215" s="364">
        <f t="shared" si="103"/>
        <v>12.374499999999999</v>
      </c>
      <c r="C215" s="337">
        <f t="shared" si="84"/>
        <v>5.457674695572174</v>
      </c>
      <c r="D215" s="338">
        <f t="shared" si="85"/>
        <v>1.3865270640216751</v>
      </c>
      <c r="E215" s="338">
        <f t="shared" si="86"/>
        <v>1.0005030326423476</v>
      </c>
      <c r="F215" s="339">
        <f t="shared" si="87"/>
        <v>3.1711886245529959E-2</v>
      </c>
      <c r="G215" s="338">
        <f t="shared" si="88"/>
        <v>1</v>
      </c>
      <c r="H215" s="339">
        <f t="shared" si="89"/>
        <v>0</v>
      </c>
      <c r="I215" s="337">
        <f t="shared" si="90"/>
        <v>27871.282399474301</v>
      </c>
      <c r="J215" s="340">
        <f t="shared" si="91"/>
        <v>1.5707604475703285</v>
      </c>
      <c r="K215" s="348">
        <f t="shared" ref="K215:K278" si="107">SQRT(1+(A215/Zero2)^2)</f>
        <v>5.3197209906901675</v>
      </c>
      <c r="L215" s="349">
        <f t="shared" ref="L215:L278" si="108">ATAN(A215/Zero2)</f>
        <v>1.3816914715594366</v>
      </c>
      <c r="M215" s="337">
        <f t="shared" si="92"/>
        <v>1.006926405874299</v>
      </c>
      <c r="N215" s="340">
        <f t="shared" si="93"/>
        <v>0.11735980153553184</v>
      </c>
      <c r="O215" s="341">
        <f t="shared" si="94"/>
        <v>1.0031519627093932</v>
      </c>
      <c r="P215" s="342">
        <f t="shared" si="95"/>
        <v>0.17775871799281528</v>
      </c>
      <c r="Q215" s="343">
        <f t="shared" si="96"/>
        <v>4.6312015898667722</v>
      </c>
      <c r="R215" s="344">
        <f t="shared" si="97"/>
        <v>-105.36709181464664</v>
      </c>
      <c r="S215" s="346">
        <f t="shared" si="98"/>
        <v>74.632908185353358</v>
      </c>
      <c r="U215" s="319">
        <f t="shared" si="104"/>
        <v>1000000000</v>
      </c>
      <c r="V215" s="319">
        <f t="shared" si="105"/>
        <v>153128250.25</v>
      </c>
      <c r="X215" s="345">
        <f t="shared" si="99"/>
        <v>23.261907864794598</v>
      </c>
      <c r="Y215" s="346">
        <f t="shared" si="100"/>
        <v>-17.557075694825134</v>
      </c>
      <c r="AA215" s="345">
        <f t="shared" si="101"/>
        <v>44.978415014234798</v>
      </c>
      <c r="AB215" s="346">
        <f t="shared" si="102"/>
        <v>-87.81001611982154</v>
      </c>
      <c r="AD215">
        <f t="shared" si="106"/>
        <v>0</v>
      </c>
      <c r="AE215">
        <f t="shared" si="81"/>
        <v>0</v>
      </c>
    </row>
    <row r="216" spans="1:31" x14ac:dyDescent="0.25">
      <c r="A216" s="347">
        <v>12446</v>
      </c>
      <c r="B216" s="364">
        <f t="shared" si="103"/>
        <v>12.446</v>
      </c>
      <c r="C216" s="337">
        <f t="shared" si="84"/>
        <v>5.4881534460514381</v>
      </c>
      <c r="D216" s="338">
        <f t="shared" si="85"/>
        <v>1.3875620556470538</v>
      </c>
      <c r="E216" s="338">
        <f t="shared" si="86"/>
        <v>1.0005088610102748</v>
      </c>
      <c r="F216" s="339">
        <f t="shared" si="87"/>
        <v>3.1894993995684927E-2</v>
      </c>
      <c r="G216" s="338">
        <f t="shared" si="88"/>
        <v>1</v>
      </c>
      <c r="H216" s="339">
        <f t="shared" si="89"/>
        <v>0</v>
      </c>
      <c r="I216" s="337">
        <f t="shared" si="90"/>
        <v>28032.322982043654</v>
      </c>
      <c r="J216" s="340">
        <f t="shared" si="91"/>
        <v>1.5707606536899295</v>
      </c>
      <c r="K216" s="348">
        <f t="shared" si="107"/>
        <v>5.3493752592593982</v>
      </c>
      <c r="L216" s="349">
        <f t="shared" si="108"/>
        <v>1.3827523444324297</v>
      </c>
      <c r="M216" s="337">
        <f t="shared" si="92"/>
        <v>1.007006399550443</v>
      </c>
      <c r="N216" s="340">
        <f t="shared" si="93"/>
        <v>0.11803164507593687</v>
      </c>
      <c r="O216" s="341">
        <f t="shared" si="94"/>
        <v>1.0031893698599523</v>
      </c>
      <c r="P216" s="342">
        <f t="shared" si="95"/>
        <v>0.17879012445707645</v>
      </c>
      <c r="Q216" s="343">
        <f t="shared" si="96"/>
        <v>4.5801077646796653</v>
      </c>
      <c r="R216" s="344">
        <f t="shared" si="97"/>
        <v>-105.45271847371387</v>
      </c>
      <c r="S216" s="346">
        <f t="shared" si="98"/>
        <v>74.547281526286127</v>
      </c>
      <c r="U216" s="319">
        <f t="shared" si="104"/>
        <v>1000000000</v>
      </c>
      <c r="V216" s="319">
        <f t="shared" si="105"/>
        <v>154902916</v>
      </c>
      <c r="X216" s="345">
        <f t="shared" si="99"/>
        <v>23.259459318541928</v>
      </c>
      <c r="Y216" s="346">
        <f t="shared" si="100"/>
        <v>-17.534797765718796</v>
      </c>
      <c r="AA216" s="345">
        <f t="shared" si="101"/>
        <v>44.929769735300368</v>
      </c>
      <c r="AB216" s="346">
        <f t="shared" si="102"/>
        <v>-87.917920707995066</v>
      </c>
      <c r="AD216">
        <f t="shared" si="106"/>
        <v>0</v>
      </c>
      <c r="AE216">
        <f t="shared" si="81"/>
        <v>0</v>
      </c>
    </row>
    <row r="217" spans="1:31" x14ac:dyDescent="0.25">
      <c r="A217" s="347">
        <v>12517.5</v>
      </c>
      <c r="B217" s="364">
        <f t="shared" si="103"/>
        <v>12.5175</v>
      </c>
      <c r="C217" s="337">
        <f t="shared" si="84"/>
        <v>5.5186380105416495</v>
      </c>
      <c r="D217" s="338">
        <f t="shared" si="85"/>
        <v>1.3885856139183177</v>
      </c>
      <c r="E217" s="338">
        <f t="shared" si="86"/>
        <v>1.0005147229233198</v>
      </c>
      <c r="F217" s="339">
        <f t="shared" si="87"/>
        <v>3.2078099606360051E-2</v>
      </c>
      <c r="G217" s="338">
        <f t="shared" si="88"/>
        <v>1</v>
      </c>
      <c r="H217" s="339">
        <f t="shared" si="89"/>
        <v>0</v>
      </c>
      <c r="I217" s="337">
        <f t="shared" si="90"/>
        <v>28193.363564614181</v>
      </c>
      <c r="J217" s="340">
        <f t="shared" si="91"/>
        <v>1.5707608574548189</v>
      </c>
      <c r="K217" s="348">
        <f t="shared" si="107"/>
        <v>5.3790354819049773</v>
      </c>
      <c r="L217" s="349">
        <f t="shared" si="108"/>
        <v>1.3838015190821755</v>
      </c>
      <c r="M217" s="337">
        <f t="shared" si="92"/>
        <v>1.0070868476905068</v>
      </c>
      <c r="N217" s="340">
        <f t="shared" si="93"/>
        <v>0.11870338158305645</v>
      </c>
      <c r="O217" s="341">
        <f t="shared" si="94"/>
        <v>1.0032270127475027</v>
      </c>
      <c r="P217" s="342">
        <f t="shared" si="95"/>
        <v>0.17982160355396085</v>
      </c>
      <c r="Q217" s="343">
        <f t="shared" si="96"/>
        <v>4.5292964337383257</v>
      </c>
      <c r="R217" s="344">
        <f t="shared" si="97"/>
        <v>-105.53835832531988</v>
      </c>
      <c r="S217" s="346">
        <f t="shared" si="98"/>
        <v>74.461641674680124</v>
      </c>
      <c r="U217" s="319">
        <f t="shared" si="104"/>
        <v>1000000000</v>
      </c>
      <c r="V217" s="319">
        <f t="shared" si="105"/>
        <v>156687806.25</v>
      </c>
      <c r="X217" s="345">
        <f t="shared" si="99"/>
        <v>23.257036261417092</v>
      </c>
      <c r="Y217" s="346">
        <f t="shared" si="100"/>
        <v>-17.513183827962536</v>
      </c>
      <c r="AA217" s="345">
        <f t="shared" si="101"/>
        <v>44.881381461483862</v>
      </c>
      <c r="AB217" s="346">
        <f t="shared" si="102"/>
        <v>-88.025174497357341</v>
      </c>
      <c r="AD217">
        <f t="shared" si="106"/>
        <v>0</v>
      </c>
      <c r="AE217">
        <f t="shared" si="81"/>
        <v>0</v>
      </c>
    </row>
    <row r="218" spans="1:31" x14ac:dyDescent="0.25">
      <c r="A218" s="347">
        <v>12589</v>
      </c>
      <c r="B218" s="364">
        <f t="shared" si="103"/>
        <v>12.589</v>
      </c>
      <c r="C218" s="337">
        <f t="shared" si="84"/>
        <v>5.549128293223653</v>
      </c>
      <c r="D218" s="338">
        <f t="shared" si="85"/>
        <v>1.3895979251382786</v>
      </c>
      <c r="E218" s="338">
        <f t="shared" si="86"/>
        <v>1.0005206183808932</v>
      </c>
      <c r="F218" s="339">
        <f t="shared" si="87"/>
        <v>3.2261203065314846E-2</v>
      </c>
      <c r="G218" s="338">
        <f t="shared" si="88"/>
        <v>1</v>
      </c>
      <c r="H218" s="339">
        <f t="shared" si="89"/>
        <v>0</v>
      </c>
      <c r="I218" s="337">
        <f t="shared" si="90"/>
        <v>28354.404147185865</v>
      </c>
      <c r="J218" s="340">
        <f t="shared" si="91"/>
        <v>1.5707610589051177</v>
      </c>
      <c r="K218" s="348">
        <f t="shared" si="107"/>
        <v>5.4087015606740607</v>
      </c>
      <c r="L218" s="349">
        <f t="shared" si="108"/>
        <v>1.3848391856697231</v>
      </c>
      <c r="M218" s="337">
        <f t="shared" si="92"/>
        <v>1.0071677501855882</v>
      </c>
      <c r="N218" s="340">
        <f t="shared" si="93"/>
        <v>0.11937501047639634</v>
      </c>
      <c r="O218" s="341">
        <f t="shared" si="94"/>
        <v>1.0032648917182341</v>
      </c>
      <c r="P218" s="342">
        <f t="shared" si="95"/>
        <v>0.18085315564503934</v>
      </c>
      <c r="Q218" s="343">
        <f t="shared" si="96"/>
        <v>4.4787642999455581</v>
      </c>
      <c r="R218" s="344">
        <f t="shared" si="97"/>
        <v>-105.62401113886071</v>
      </c>
      <c r="S218" s="346">
        <f t="shared" si="98"/>
        <v>74.375988861139291</v>
      </c>
      <c r="U218" s="319">
        <f t="shared" si="104"/>
        <v>1000000000</v>
      </c>
      <c r="V218" s="319">
        <f t="shared" si="105"/>
        <v>158482921</v>
      </c>
      <c r="X218" s="345">
        <f t="shared" si="99"/>
        <v>23.254638049272714</v>
      </c>
      <c r="Y218" s="346">
        <f t="shared" si="100"/>
        <v>-17.492222955169694</v>
      </c>
      <c r="AA218" s="345">
        <f t="shared" si="101"/>
        <v>44.833247539835469</v>
      </c>
      <c r="AB218" s="346">
        <f t="shared" si="102"/>
        <v>-88.131788183691015</v>
      </c>
      <c r="AD218">
        <f t="shared" si="106"/>
        <v>0</v>
      </c>
      <c r="AE218">
        <f t="shared" ref="AE218:AE281" si="109">IF(AD218&gt;0,S218,0)</f>
        <v>0</v>
      </c>
    </row>
    <row r="219" spans="1:31" x14ac:dyDescent="0.25">
      <c r="A219" s="347">
        <v>12662.25</v>
      </c>
      <c r="B219" s="364">
        <f t="shared" si="103"/>
        <v>12.66225</v>
      </c>
      <c r="C219" s="337">
        <f t="shared" si="84"/>
        <v>5.5803706734115908</v>
      </c>
      <c r="D219" s="338">
        <f t="shared" si="85"/>
        <v>1.3906235404590468</v>
      </c>
      <c r="E219" s="338">
        <f t="shared" si="86"/>
        <v>1.0005266929183687</v>
      </c>
      <c r="F219" s="339">
        <f t="shared" si="87"/>
        <v>3.2448785833303108E-2</v>
      </c>
      <c r="G219" s="338">
        <f t="shared" si="88"/>
        <v>1</v>
      </c>
      <c r="H219" s="339">
        <f t="shared" si="89"/>
        <v>0</v>
      </c>
      <c r="I219" s="337">
        <f t="shared" si="90"/>
        <v>28519.386282479012</v>
      </c>
      <c r="J219" s="340">
        <f t="shared" si="91"/>
        <v>1.5707612629267509</v>
      </c>
      <c r="K219" s="348">
        <f t="shared" si="107"/>
        <v>5.4390997049759413</v>
      </c>
      <c r="L219" s="349">
        <f t="shared" si="108"/>
        <v>1.3858905102323511</v>
      </c>
      <c r="M219" s="337">
        <f t="shared" si="92"/>
        <v>1.0072511038691792</v>
      </c>
      <c r="N219" s="340">
        <f t="shared" si="93"/>
        <v>0.12006296563599825</v>
      </c>
      <c r="O219" s="341">
        <f t="shared" si="94"/>
        <v>1.0033039429818726</v>
      </c>
      <c r="P219" s="342">
        <f t="shared" si="95"/>
        <v>0.18191003158749455</v>
      </c>
      <c r="Q219" s="343">
        <f t="shared" si="96"/>
        <v>4.4272815088644162</v>
      </c>
      <c r="R219" s="344">
        <f t="shared" si="97"/>
        <v>-105.71177355468237</v>
      </c>
      <c r="S219" s="346">
        <f t="shared" si="98"/>
        <v>74.288226445317633</v>
      </c>
      <c r="U219" s="319">
        <f t="shared" si="104"/>
        <v>1000000000</v>
      </c>
      <c r="V219" s="319">
        <f t="shared" si="105"/>
        <v>160332575.0625</v>
      </c>
      <c r="X219" s="345">
        <f t="shared" si="99"/>
        <v>23.25220624924663</v>
      </c>
      <c r="Y219" s="346">
        <f t="shared" si="100"/>
        <v>-17.471415111526831</v>
      </c>
      <c r="AA219" s="345">
        <f t="shared" si="101"/>
        <v>44.784196548780415</v>
      </c>
      <c r="AB219" s="346">
        <f t="shared" si="102"/>
        <v>-88.240358443155529</v>
      </c>
      <c r="AD219">
        <f t="shared" si="106"/>
        <v>0</v>
      </c>
      <c r="AE219">
        <f t="shared" si="109"/>
        <v>0</v>
      </c>
    </row>
    <row r="220" spans="1:31" x14ac:dyDescent="0.25">
      <c r="A220" s="347">
        <v>12735.5</v>
      </c>
      <c r="B220" s="364">
        <f t="shared" si="103"/>
        <v>12.7355</v>
      </c>
      <c r="C220" s="337">
        <f t="shared" si="84"/>
        <v>5.6116188581532285</v>
      </c>
      <c r="D220" s="338">
        <f t="shared" si="85"/>
        <v>1.3916377346009159</v>
      </c>
      <c r="E220" s="338">
        <f t="shared" si="86"/>
        <v>1.0005328026612437</v>
      </c>
      <c r="F220" s="339">
        <f t="shared" si="87"/>
        <v>3.2636366316947406E-2</v>
      </c>
      <c r="G220" s="338">
        <f t="shared" si="88"/>
        <v>1</v>
      </c>
      <c r="H220" s="339">
        <f t="shared" si="89"/>
        <v>0</v>
      </c>
      <c r="I220" s="337">
        <f t="shared" si="90"/>
        <v>28684.368417773338</v>
      </c>
      <c r="J220" s="340">
        <f t="shared" si="91"/>
        <v>1.5707614646014665</v>
      </c>
      <c r="K220" s="348">
        <f t="shared" si="107"/>
        <v>5.4695037941966493</v>
      </c>
      <c r="L220" s="349">
        <f t="shared" si="108"/>
        <v>1.3869301476461753</v>
      </c>
      <c r="M220" s="337">
        <f t="shared" si="92"/>
        <v>1.0073349341878663</v>
      </c>
      <c r="N220" s="340">
        <f t="shared" si="93"/>
        <v>0.12075080661797043</v>
      </c>
      <c r="O220" s="341">
        <f t="shared" si="94"/>
        <v>1.0033432427683826</v>
      </c>
      <c r="P220" s="342">
        <f t="shared" si="95"/>
        <v>0.1829669849062</v>
      </c>
      <c r="Q220" s="343">
        <f t="shared" si="96"/>
        <v>4.3760849232266121</v>
      </c>
      <c r="R220" s="344">
        <f t="shared" si="97"/>
        <v>-105.79954909730813</v>
      </c>
      <c r="S220" s="346">
        <f t="shared" si="98"/>
        <v>74.20045090269187</v>
      </c>
      <c r="U220" s="319">
        <f t="shared" si="104"/>
        <v>1000000000</v>
      </c>
      <c r="V220" s="319">
        <f t="shared" si="105"/>
        <v>162192960.25</v>
      </c>
      <c r="X220" s="345">
        <f t="shared" si="99"/>
        <v>23.24979921254776</v>
      </c>
      <c r="Y220" s="346">
        <f t="shared" si="100"/>
        <v>-17.451270215820969</v>
      </c>
      <c r="AA220" s="345">
        <f t="shared" si="101"/>
        <v>44.73540699984148</v>
      </c>
      <c r="AB220" s="346">
        <f t="shared" si="102"/>
        <v>-88.348278881487175</v>
      </c>
      <c r="AD220">
        <f t="shared" si="106"/>
        <v>0</v>
      </c>
      <c r="AE220">
        <f t="shared" si="109"/>
        <v>0</v>
      </c>
    </row>
    <row r="221" spans="1:31" x14ac:dyDescent="0.25">
      <c r="A221" s="347">
        <v>12808.75</v>
      </c>
      <c r="B221" s="364">
        <f t="shared" si="103"/>
        <v>12.80875</v>
      </c>
      <c r="C221" s="337">
        <f t="shared" si="84"/>
        <v>5.6428727510180217</v>
      </c>
      <c r="D221" s="338">
        <f t="shared" si="85"/>
        <v>1.3926406952336958</v>
      </c>
      <c r="E221" s="338">
        <f t="shared" si="86"/>
        <v>1.0005389476088731</v>
      </c>
      <c r="F221" s="339">
        <f t="shared" si="87"/>
        <v>3.2823944503089141E-2</v>
      </c>
      <c r="G221" s="338">
        <f t="shared" si="88"/>
        <v>1</v>
      </c>
      <c r="H221" s="339">
        <f t="shared" si="89"/>
        <v>0</v>
      </c>
      <c r="I221" s="337">
        <f t="shared" si="90"/>
        <v>28849.350553068816</v>
      </c>
      <c r="J221" s="340">
        <f t="shared" si="91"/>
        <v>1.5707616639695285</v>
      </c>
      <c r="K221" s="348">
        <f t="shared" si="107"/>
        <v>5.4999137297438185</v>
      </c>
      <c r="L221" s="349">
        <f t="shared" si="108"/>
        <v>1.3879582895055338</v>
      </c>
      <c r="M221" s="337">
        <f t="shared" si="92"/>
        <v>1.0074192410226628</v>
      </c>
      <c r="N221" s="340">
        <f t="shared" si="93"/>
        <v>0.12143853280002785</v>
      </c>
      <c r="O221" s="341">
        <f t="shared" si="94"/>
        <v>1.0033827914562539</v>
      </c>
      <c r="P221" s="342">
        <f t="shared" si="95"/>
        <v>0.18402401598679799</v>
      </c>
      <c r="Q221" s="343">
        <f t="shared" si="96"/>
        <v>4.3251711774360713</v>
      </c>
      <c r="R221" s="344">
        <f t="shared" si="97"/>
        <v>-105.88733753138139</v>
      </c>
      <c r="S221" s="346">
        <f t="shared" si="98"/>
        <v>74.112662468618609</v>
      </c>
      <c r="U221" s="319">
        <f t="shared" si="104"/>
        <v>1000000000</v>
      </c>
      <c r="V221" s="319">
        <f t="shared" si="105"/>
        <v>164064076.5625</v>
      </c>
      <c r="X221" s="345">
        <f t="shared" si="99"/>
        <v>23.247416302116086</v>
      </c>
      <c r="Y221" s="346">
        <f t="shared" si="100"/>
        <v>-17.431777257157783</v>
      </c>
      <c r="AA221" s="345">
        <f t="shared" si="101"/>
        <v>44.686876164482605</v>
      </c>
      <c r="AB221" s="346">
        <f t="shared" si="102"/>
        <v>-88.4555602742236</v>
      </c>
      <c r="AD221">
        <f t="shared" si="106"/>
        <v>0</v>
      </c>
      <c r="AE221">
        <f t="shared" si="109"/>
        <v>0</v>
      </c>
    </row>
    <row r="222" spans="1:31" x14ac:dyDescent="0.25">
      <c r="A222" s="347">
        <v>12882</v>
      </c>
      <c r="B222" s="364">
        <f t="shared" si="103"/>
        <v>12.882</v>
      </c>
      <c r="C222" s="337">
        <f t="shared" si="84"/>
        <v>5.6741322576826123</v>
      </c>
      <c r="D222" s="338">
        <f t="shared" si="85"/>
        <v>1.3936326059831494</v>
      </c>
      <c r="E222" s="338">
        <f t="shared" si="86"/>
        <v>1.0005451277606086</v>
      </c>
      <c r="F222" s="339">
        <f t="shared" si="87"/>
        <v>3.301152037857067E-2</v>
      </c>
      <c r="G222" s="338">
        <f t="shared" si="88"/>
        <v>1</v>
      </c>
      <c r="H222" s="339">
        <f t="shared" si="89"/>
        <v>0</v>
      </c>
      <c r="I222" s="337">
        <f t="shared" si="90"/>
        <v>29014.332688365423</v>
      </c>
      <c r="J222" s="340">
        <f t="shared" si="91"/>
        <v>1.570761861070286</v>
      </c>
      <c r="K222" s="348">
        <f t="shared" si="107"/>
        <v>5.5303294151748696</v>
      </c>
      <c r="L222" s="349">
        <f t="shared" si="108"/>
        <v>1.3889751232882794</v>
      </c>
      <c r="M222" s="337">
        <f t="shared" si="92"/>
        <v>1.0075040242539457</v>
      </c>
      <c r="N222" s="340">
        <f t="shared" si="93"/>
        <v>0.12212614356052755</v>
      </c>
      <c r="O222" s="341">
        <f t="shared" si="94"/>
        <v>1.0034225894260838</v>
      </c>
      <c r="P222" s="342">
        <f t="shared" si="95"/>
        <v>0.18508112521386208</v>
      </c>
      <c r="Q222" s="343">
        <f t="shared" si="96"/>
        <v>4.274536963736578</v>
      </c>
      <c r="R222" s="344">
        <f t="shared" si="97"/>
        <v>-105.97513862561892</v>
      </c>
      <c r="S222" s="346">
        <f t="shared" si="98"/>
        <v>74.024861374381075</v>
      </c>
      <c r="U222" s="319">
        <f t="shared" si="104"/>
        <v>1000000000</v>
      </c>
      <c r="V222" s="319">
        <f t="shared" si="105"/>
        <v>165945924</v>
      </c>
      <c r="X222" s="345">
        <f t="shared" si="99"/>
        <v>23.245056898428238</v>
      </c>
      <c r="Y222" s="346">
        <f t="shared" si="100"/>
        <v>-17.412925460484558</v>
      </c>
      <c r="AA222" s="345">
        <f t="shared" si="101"/>
        <v>44.638601354470964</v>
      </c>
      <c r="AB222" s="346">
        <f t="shared" si="102"/>
        <v>-88.562213165134352</v>
      </c>
      <c r="AD222">
        <f t="shared" si="106"/>
        <v>0</v>
      </c>
      <c r="AE222">
        <f t="shared" si="109"/>
        <v>0</v>
      </c>
    </row>
    <row r="223" spans="1:31" x14ac:dyDescent="0.25">
      <c r="A223" s="347">
        <v>12957.25</v>
      </c>
      <c r="B223" s="364">
        <f t="shared" si="103"/>
        <v>12.95725</v>
      </c>
      <c r="C223" s="337">
        <f t="shared" si="84"/>
        <v>5.7062510150981387</v>
      </c>
      <c r="D223" s="338">
        <f t="shared" si="85"/>
        <v>1.3946402818532813</v>
      </c>
      <c r="E223" s="338">
        <f t="shared" si="86"/>
        <v>1.0005515133120373</v>
      </c>
      <c r="F223" s="339">
        <f t="shared" si="87"/>
        <v>3.3204215359681488E-2</v>
      </c>
      <c r="G223" s="338">
        <f t="shared" si="88"/>
        <v>1</v>
      </c>
      <c r="H223" s="339">
        <f t="shared" si="89"/>
        <v>0</v>
      </c>
      <c r="I223" s="337">
        <f t="shared" si="90"/>
        <v>29183.819455343648</v>
      </c>
      <c r="J223" s="340">
        <f t="shared" si="91"/>
        <v>1.5707620612320314</v>
      </c>
      <c r="K223" s="348">
        <f t="shared" si="107"/>
        <v>5.5615814513945914</v>
      </c>
      <c r="L223" s="349">
        <f t="shared" si="108"/>
        <v>1.3900081377928659</v>
      </c>
      <c r="M223" s="337">
        <f t="shared" si="92"/>
        <v>1.0075916183445492</v>
      </c>
      <c r="N223" s="340">
        <f t="shared" si="93"/>
        <v>0.12283240783197577</v>
      </c>
      <c r="O223" s="341">
        <f t="shared" si="94"/>
        <v>1.0034637340164401</v>
      </c>
      <c r="P223" s="342">
        <f t="shared" si="95"/>
        <v>0.18616717927060247</v>
      </c>
      <c r="Q223" s="343">
        <f t="shared" si="96"/>
        <v>4.2228079145892394</v>
      </c>
      <c r="R223" s="344">
        <f t="shared" si="97"/>
        <v>-106.06534996393049</v>
      </c>
      <c r="S223" s="346">
        <f t="shared" si="98"/>
        <v>73.934650036069513</v>
      </c>
      <c r="U223" s="319">
        <f t="shared" si="104"/>
        <v>1000000000</v>
      </c>
      <c r="V223" s="319">
        <f t="shared" si="105"/>
        <v>167890327.5625</v>
      </c>
      <c r="X223" s="345">
        <f t="shared" si="99"/>
        <v>23.242656919349209</v>
      </c>
      <c r="Y223" s="346">
        <f t="shared" si="100"/>
        <v>-17.394215519572668</v>
      </c>
      <c r="AA223" s="345">
        <f t="shared" si="101"/>
        <v>44.589272284402661</v>
      </c>
      <c r="AB223" s="346">
        <f t="shared" si="102"/>
        <v>-88.671134444357833</v>
      </c>
      <c r="AD223">
        <f t="shared" si="106"/>
        <v>0</v>
      </c>
      <c r="AE223">
        <f t="shared" si="109"/>
        <v>0</v>
      </c>
    </row>
    <row r="224" spans="1:31" x14ac:dyDescent="0.25">
      <c r="A224" s="347">
        <v>13032.5</v>
      </c>
      <c r="B224" s="364">
        <f t="shared" si="103"/>
        <v>13.032500000000001</v>
      </c>
      <c r="C224" s="337">
        <f t="shared" si="84"/>
        <v>5.7383755018360594</v>
      </c>
      <c r="D224" s="338">
        <f t="shared" si="85"/>
        <v>1.3956366764141859</v>
      </c>
      <c r="E224" s="338">
        <f t="shared" si="86"/>
        <v>1.0005579360148253</v>
      </c>
      <c r="F224" s="339">
        <f t="shared" si="87"/>
        <v>3.339690787408222E-2</v>
      </c>
      <c r="G224" s="338">
        <f t="shared" si="88"/>
        <v>1</v>
      </c>
      <c r="H224" s="339">
        <f t="shared" si="89"/>
        <v>0</v>
      </c>
      <c r="I224" s="337">
        <f t="shared" si="90"/>
        <v>29353.30622232303</v>
      </c>
      <c r="J224" s="340">
        <f t="shared" si="91"/>
        <v>1.5707622590822983</v>
      </c>
      <c r="K224" s="348">
        <f t="shared" si="107"/>
        <v>5.5928393561531911</v>
      </c>
      <c r="L224" s="349">
        <f t="shared" si="108"/>
        <v>1.3910296065164662</v>
      </c>
      <c r="M224" s="337">
        <f t="shared" si="92"/>
        <v>1.0076797149436192</v>
      </c>
      <c r="N224" s="340">
        <f t="shared" si="93"/>
        <v>0.1235385489650143</v>
      </c>
      <c r="O224" s="341">
        <f t="shared" si="94"/>
        <v>1.0035051425083823</v>
      </c>
      <c r="P224" s="342">
        <f t="shared" si="95"/>
        <v>0.18725331661876135</v>
      </c>
      <c r="Q224" s="343">
        <f t="shared" si="96"/>
        <v>4.1713669753440392</v>
      </c>
      <c r="R224" s="344">
        <f t="shared" si="97"/>
        <v>-106.15557418118738</v>
      </c>
      <c r="S224" s="346">
        <f t="shared" si="98"/>
        <v>73.844425818812624</v>
      </c>
      <c r="U224" s="319">
        <f t="shared" si="104"/>
        <v>1000000000</v>
      </c>
      <c r="V224" s="319">
        <f t="shared" si="105"/>
        <v>169846056.25</v>
      </c>
      <c r="X224" s="345">
        <f t="shared" si="99"/>
        <v>23.240280477112773</v>
      </c>
      <c r="Y224" s="346">
        <f t="shared" si="100"/>
        <v>-17.37615991543408</v>
      </c>
      <c r="AA224" s="345">
        <f t="shared" si="101"/>
        <v>44.540207787393896</v>
      </c>
      <c r="AB224" s="346">
        <f t="shared" si="102"/>
        <v>-88.779414265753289</v>
      </c>
      <c r="AD224">
        <f t="shared" si="106"/>
        <v>0</v>
      </c>
      <c r="AE224">
        <f t="shared" si="109"/>
        <v>0</v>
      </c>
    </row>
    <row r="225" spans="1:31" x14ac:dyDescent="0.25">
      <c r="A225" s="347">
        <v>13107.75</v>
      </c>
      <c r="B225" s="364">
        <f t="shared" si="103"/>
        <v>13.107749999999999</v>
      </c>
      <c r="C225" s="337">
        <f t="shared" si="84"/>
        <v>5.7705056222107176</v>
      </c>
      <c r="D225" s="338">
        <f t="shared" si="85"/>
        <v>1.3966219761133807</v>
      </c>
      <c r="E225" s="338">
        <f t="shared" si="86"/>
        <v>1.0005643958682571</v>
      </c>
      <c r="F225" s="339">
        <f t="shared" si="87"/>
        <v>3.3589597907511037E-2</v>
      </c>
      <c r="G225" s="338">
        <f t="shared" si="88"/>
        <v>1</v>
      </c>
      <c r="H225" s="339">
        <f t="shared" si="89"/>
        <v>0</v>
      </c>
      <c r="I225" s="337">
        <f t="shared" si="90"/>
        <v>29522.792989303543</v>
      </c>
      <c r="J225" s="340">
        <f t="shared" si="91"/>
        <v>1.5707624546608965</v>
      </c>
      <c r="K225" s="348">
        <f t="shared" si="107"/>
        <v>5.6241030316013427</v>
      </c>
      <c r="L225" s="349">
        <f t="shared" si="108"/>
        <v>1.3920397198541117</v>
      </c>
      <c r="M225" s="337">
        <f t="shared" si="92"/>
        <v>1.0077683139193712</v>
      </c>
      <c r="N225" s="340">
        <f t="shared" si="93"/>
        <v>0.12424456628781548</v>
      </c>
      <c r="O225" s="341">
        <f t="shared" si="94"/>
        <v>1.0035468153214775</v>
      </c>
      <c r="P225" s="342">
        <f t="shared" si="95"/>
        <v>0.18833953767171743</v>
      </c>
      <c r="Q225" s="343">
        <f t="shared" si="96"/>
        <v>4.1202107419032696</v>
      </c>
      <c r="R225" s="344">
        <f t="shared" si="97"/>
        <v>-106.24581103950369</v>
      </c>
      <c r="S225" s="346">
        <f t="shared" si="98"/>
        <v>73.754188960496307</v>
      </c>
      <c r="U225" s="319">
        <f t="shared" si="104"/>
        <v>1000000000</v>
      </c>
      <c r="V225" s="319">
        <f t="shared" si="105"/>
        <v>171813110.0625</v>
      </c>
      <c r="X225" s="345">
        <f t="shared" si="99"/>
        <v>23.237926954160073</v>
      </c>
      <c r="Y225" s="346">
        <f t="shared" si="100"/>
        <v>-17.358747703025106</v>
      </c>
      <c r="AA225" s="345">
        <f t="shared" si="101"/>
        <v>44.491405076905821</v>
      </c>
      <c r="AB225" s="346">
        <f t="shared" si="102"/>
        <v>-88.887063336478604</v>
      </c>
      <c r="AD225">
        <f t="shared" si="106"/>
        <v>0</v>
      </c>
      <c r="AE225">
        <f t="shared" si="109"/>
        <v>0</v>
      </c>
    </row>
    <row r="226" spans="1:31" x14ac:dyDescent="0.25">
      <c r="A226" s="347">
        <v>13183</v>
      </c>
      <c r="B226" s="364">
        <f t="shared" si="103"/>
        <v>13.183</v>
      </c>
      <c r="C226" s="337">
        <f t="shared" si="84"/>
        <v>5.802641282639164</v>
      </c>
      <c r="D226" s="338">
        <f t="shared" si="85"/>
        <v>1.3975963633553752</v>
      </c>
      <c r="E226" s="338">
        <f t="shared" si="86"/>
        <v>1.000570892871613</v>
      </c>
      <c r="F226" s="339">
        <f t="shared" si="87"/>
        <v>3.3782285445707154E-2</v>
      </c>
      <c r="G226" s="338">
        <f t="shared" si="88"/>
        <v>1</v>
      </c>
      <c r="H226" s="339">
        <f t="shared" si="89"/>
        <v>0</v>
      </c>
      <c r="I226" s="337">
        <f t="shared" si="90"/>
        <v>29692.279756285177</v>
      </c>
      <c r="J226" s="340">
        <f t="shared" si="91"/>
        <v>1.5707626480067269</v>
      </c>
      <c r="K226" s="348">
        <f t="shared" si="107"/>
        <v>5.6553723820355533</v>
      </c>
      <c r="L226" s="349">
        <f t="shared" si="108"/>
        <v>1.3930386640838102</v>
      </c>
      <c r="M226" s="337">
        <f t="shared" si="92"/>
        <v>1.0078574151393165</v>
      </c>
      <c r="N226" s="340">
        <f t="shared" si="93"/>
        <v>0.12495045912928093</v>
      </c>
      <c r="O226" s="341">
        <f t="shared" si="94"/>
        <v>1.0035887528776344</v>
      </c>
      <c r="P226" s="342">
        <f t="shared" si="95"/>
        <v>0.18942584284163186</v>
      </c>
      <c r="Q226" s="343">
        <f t="shared" si="96"/>
        <v>4.069335868885851</v>
      </c>
      <c r="R226" s="344">
        <f t="shared" si="97"/>
        <v>-106.33606030515431</v>
      </c>
      <c r="S226" s="346">
        <f t="shared" si="98"/>
        <v>73.663939694845695</v>
      </c>
      <c r="U226" s="319">
        <f t="shared" si="104"/>
        <v>1000000000</v>
      </c>
      <c r="V226" s="319">
        <f t="shared" si="105"/>
        <v>173791489</v>
      </c>
      <c r="X226" s="345">
        <f t="shared" si="99"/>
        <v>23.235595750031482</v>
      </c>
      <c r="Y226" s="346">
        <f t="shared" si="100"/>
        <v>-17.341968173179797</v>
      </c>
      <c r="AA226" s="345">
        <f t="shared" si="101"/>
        <v>44.442861408016995</v>
      </c>
      <c r="AB226" s="346">
        <f t="shared" si="102"/>
        <v>-88.994092131974512</v>
      </c>
      <c r="AD226">
        <f t="shared" si="106"/>
        <v>0</v>
      </c>
      <c r="AE226">
        <f t="shared" si="109"/>
        <v>0</v>
      </c>
    </row>
    <row r="227" spans="1:31" x14ac:dyDescent="0.25">
      <c r="A227" s="347">
        <v>13259.75</v>
      </c>
      <c r="B227" s="364">
        <f t="shared" si="103"/>
        <v>13.25975</v>
      </c>
      <c r="C227" s="337">
        <f t="shared" si="84"/>
        <v>5.8354231329116457</v>
      </c>
      <c r="D227" s="338">
        <f t="shared" si="85"/>
        <v>1.3985791177302573</v>
      </c>
      <c r="E227" s="338">
        <f t="shared" si="86"/>
        <v>1.000577557650691</v>
      </c>
      <c r="F227" s="339">
        <f t="shared" si="87"/>
        <v>3.3978811346385362E-2</v>
      </c>
      <c r="G227" s="338">
        <f t="shared" si="88"/>
        <v>1</v>
      </c>
      <c r="H227" s="339">
        <f t="shared" si="89"/>
        <v>0</v>
      </c>
      <c r="I227" s="337">
        <f t="shared" si="90"/>
        <v>29865.144997028368</v>
      </c>
      <c r="J227" s="340">
        <f t="shared" si="91"/>
        <v>1.5707628429460727</v>
      </c>
      <c r="K227" s="348">
        <f t="shared" si="107"/>
        <v>5.6872707905146171</v>
      </c>
      <c r="L227" s="349">
        <f t="shared" si="108"/>
        <v>1.394046204519914</v>
      </c>
      <c r="M227" s="337">
        <f t="shared" si="92"/>
        <v>1.0079488096864397</v>
      </c>
      <c r="N227" s="340">
        <f t="shared" si="93"/>
        <v>0.1256702940011693</v>
      </c>
      <c r="O227" s="341">
        <f t="shared" si="94"/>
        <v>1.0036317995498629</v>
      </c>
      <c r="P227" s="342">
        <f t="shared" si="95"/>
        <v>0.19053388901010604</v>
      </c>
      <c r="Q227" s="343">
        <f t="shared" si="96"/>
        <v>4.0177332987027388</v>
      </c>
      <c r="R227" s="344">
        <f t="shared" si="97"/>
        <v>-106.42812110215341</v>
      </c>
      <c r="S227" s="346">
        <f t="shared" si="98"/>
        <v>73.571878897846588</v>
      </c>
      <c r="U227" s="319">
        <f t="shared" si="104"/>
        <v>1000000000</v>
      </c>
      <c r="V227" s="319">
        <f t="shared" si="105"/>
        <v>175820970.0625</v>
      </c>
      <c r="X227" s="345">
        <f t="shared" si="99"/>
        <v>23.233240461907556</v>
      </c>
      <c r="Y227" s="346">
        <f t="shared" si="100"/>
        <v>-17.325495027790776</v>
      </c>
      <c r="AA227" s="345">
        <f t="shared" si="101"/>
        <v>44.393614125957811</v>
      </c>
      <c r="AB227" s="346">
        <f t="shared" si="102"/>
        <v>-89.102626074362647</v>
      </c>
      <c r="AD227">
        <f t="shared" si="106"/>
        <v>0</v>
      </c>
      <c r="AE227">
        <f t="shared" si="109"/>
        <v>0</v>
      </c>
    </row>
    <row r="228" spans="1:31" x14ac:dyDescent="0.25">
      <c r="A228" s="347">
        <v>13336.5</v>
      </c>
      <c r="B228" s="364">
        <f t="shared" si="103"/>
        <v>13.336499999999999</v>
      </c>
      <c r="C228" s="337">
        <f t="shared" si="84"/>
        <v>5.8682105561005606</v>
      </c>
      <c r="D228" s="338">
        <f t="shared" si="85"/>
        <v>1.399550891157858</v>
      </c>
      <c r="E228" s="338">
        <f t="shared" si="86"/>
        <v>1.0005842610739897</v>
      </c>
      <c r="F228" s="339">
        <f t="shared" si="87"/>
        <v>3.41753346213996E-2</v>
      </c>
      <c r="G228" s="338">
        <f t="shared" si="88"/>
        <v>1</v>
      </c>
      <c r="H228" s="339">
        <f t="shared" si="89"/>
        <v>0</v>
      </c>
      <c r="I228" s="337">
        <f t="shared" si="90"/>
        <v>30038.010237772683</v>
      </c>
      <c r="J228" s="340">
        <f t="shared" si="91"/>
        <v>1.5707630356417122</v>
      </c>
      <c r="K228" s="348">
        <f t="shared" si="107"/>
        <v>5.7191749079521665</v>
      </c>
      <c r="L228" s="349">
        <f t="shared" si="108"/>
        <v>1.3950425049349988</v>
      </c>
      <c r="M228" s="337">
        <f t="shared" si="92"/>
        <v>1.0080407264197153</v>
      </c>
      <c r="N228" s="340">
        <f t="shared" si="93"/>
        <v>0.12638999797172465</v>
      </c>
      <c r="O228" s="341">
        <f t="shared" si="94"/>
        <v>1.0036751225188565</v>
      </c>
      <c r="P228" s="342">
        <f t="shared" si="95"/>
        <v>0.19164202354462548</v>
      </c>
      <c r="Q228" s="343">
        <f t="shared" si="96"/>
        <v>3.9664165690526616</v>
      </c>
      <c r="R228" s="344">
        <f t="shared" si="97"/>
        <v>-106.52019432777638</v>
      </c>
      <c r="S228" s="346">
        <f t="shared" si="98"/>
        <v>73.47980567222362</v>
      </c>
      <c r="U228" s="319">
        <f t="shared" si="104"/>
        <v>1000000000</v>
      </c>
      <c r="V228" s="319">
        <f t="shared" si="105"/>
        <v>177862232.25</v>
      </c>
      <c r="X228" s="345">
        <f t="shared" si="99"/>
        <v>23.230907181490238</v>
      </c>
      <c r="Y228" s="346">
        <f t="shared" si="100"/>
        <v>-17.309658259519686</v>
      </c>
      <c r="AA228" s="345">
        <f t="shared" si="101"/>
        <v>44.344630676725046</v>
      </c>
      <c r="AB228" s="346">
        <f t="shared" si="102"/>
        <v>-89.210536068256673</v>
      </c>
      <c r="AD228">
        <f t="shared" si="106"/>
        <v>0</v>
      </c>
      <c r="AE228">
        <f t="shared" si="109"/>
        <v>0</v>
      </c>
    </row>
    <row r="229" spans="1:31" x14ac:dyDescent="0.25">
      <c r="A229" s="347">
        <v>13413.25</v>
      </c>
      <c r="B229" s="364">
        <f t="shared" si="103"/>
        <v>13.41325</v>
      </c>
      <c r="C229" s="337">
        <f t="shared" si="84"/>
        <v>5.9010034593124354</v>
      </c>
      <c r="D229" s="338">
        <f t="shared" si="85"/>
        <v>1.4005118648564405</v>
      </c>
      <c r="E229" s="338">
        <f t="shared" si="86"/>
        <v>1.0005910031407323</v>
      </c>
      <c r="F229" s="339">
        <f t="shared" si="87"/>
        <v>3.437185525562278E-2</v>
      </c>
      <c r="G229" s="338">
        <f t="shared" si="88"/>
        <v>1</v>
      </c>
      <c r="H229" s="339">
        <f t="shared" si="89"/>
        <v>0</v>
      </c>
      <c r="I229" s="337">
        <f t="shared" si="90"/>
        <v>30210.875478518105</v>
      </c>
      <c r="J229" s="340">
        <f t="shared" si="91"/>
        <v>1.5707632261321602</v>
      </c>
      <c r="K229" s="348">
        <f t="shared" si="107"/>
        <v>5.7510846393369315</v>
      </c>
      <c r="L229" s="349">
        <f t="shared" si="108"/>
        <v>1.3960277504293612</v>
      </c>
      <c r="M229" s="337">
        <f t="shared" si="92"/>
        <v>1.0081331651963121</v>
      </c>
      <c r="N229" s="340">
        <f t="shared" si="93"/>
        <v>0.12710957033127868</v>
      </c>
      <c r="O229" s="341">
        <f t="shared" si="94"/>
        <v>1.0037187222397732</v>
      </c>
      <c r="P229" s="342">
        <f t="shared" si="95"/>
        <v>0.19275024687853476</v>
      </c>
      <c r="Q229" s="343">
        <f t="shared" si="96"/>
        <v>3.9153823106967329</v>
      </c>
      <c r="R229" s="344">
        <f t="shared" si="97"/>
        <v>-106.61227974684033</v>
      </c>
      <c r="S229" s="346">
        <f t="shared" si="98"/>
        <v>73.387720253159671</v>
      </c>
      <c r="U229" s="319">
        <f t="shared" si="104"/>
        <v>1000000000</v>
      </c>
      <c r="V229" s="319">
        <f t="shared" si="105"/>
        <v>179915275.5625</v>
      </c>
      <c r="X229" s="345">
        <f t="shared" si="99"/>
        <v>23.228595323126775</v>
      </c>
      <c r="Y229" s="346">
        <f t="shared" si="100"/>
        <v>-17.29444722444649</v>
      </c>
      <c r="AA229" s="345">
        <f t="shared" si="101"/>
        <v>44.29590827673259</v>
      </c>
      <c r="AB229" s="346">
        <f t="shared" si="102"/>
        <v>-89.317832522393829</v>
      </c>
      <c r="AD229">
        <f t="shared" si="106"/>
        <v>0</v>
      </c>
      <c r="AE229">
        <f t="shared" si="109"/>
        <v>0</v>
      </c>
    </row>
    <row r="230" spans="1:31" x14ac:dyDescent="0.25">
      <c r="A230" s="347">
        <v>13490</v>
      </c>
      <c r="B230" s="364">
        <f t="shared" si="103"/>
        <v>13.49</v>
      </c>
      <c r="C230" s="337">
        <f t="shared" si="84"/>
        <v>5.9338017516919299</v>
      </c>
      <c r="D230" s="338">
        <f t="shared" si="85"/>
        <v>1.4014622161184231</v>
      </c>
      <c r="E230" s="338">
        <f t="shared" si="86"/>
        <v>1.0005977838501376</v>
      </c>
      <c r="F230" s="339">
        <f t="shared" si="87"/>
        <v>3.4568373233929042E-2</v>
      </c>
      <c r="G230" s="338">
        <f t="shared" si="88"/>
        <v>1</v>
      </c>
      <c r="H230" s="339">
        <f t="shared" si="89"/>
        <v>0</v>
      </c>
      <c r="I230" s="337">
        <f t="shared" si="90"/>
        <v>30383.740719264602</v>
      </c>
      <c r="J230" s="340">
        <f t="shared" si="91"/>
        <v>1.570763414455056</v>
      </c>
      <c r="K230" s="348">
        <f t="shared" si="107"/>
        <v>5.7829998917381431</v>
      </c>
      <c r="L230" s="349">
        <f t="shared" si="108"/>
        <v>1.3970021221040982</v>
      </c>
      <c r="M230" s="337">
        <f t="shared" si="92"/>
        <v>1.0082261258726397</v>
      </c>
      <c r="N230" s="340">
        <f t="shared" si="93"/>
        <v>0.12782901037096772</v>
      </c>
      <c r="O230" s="341">
        <f t="shared" si="94"/>
        <v>1.0037625991702965</v>
      </c>
      <c r="P230" s="342">
        <f t="shared" si="95"/>
        <v>0.19385855944383096</v>
      </c>
      <c r="Q230" s="343">
        <f t="shared" si="96"/>
        <v>3.8646272123097454</v>
      </c>
      <c r="R230" s="344">
        <f t="shared" si="97"/>
        <v>-106.70437712828398</v>
      </c>
      <c r="S230" s="346">
        <f t="shared" si="98"/>
        <v>73.29562287171602</v>
      </c>
      <c r="U230" s="319">
        <f t="shared" si="104"/>
        <v>1000000000</v>
      </c>
      <c r="V230" s="319">
        <f t="shared" si="105"/>
        <v>181980100</v>
      </c>
      <c r="X230" s="345">
        <f t="shared" si="99"/>
        <v>23.226304317359727</v>
      </c>
      <c r="Y230" s="346">
        <f t="shared" si="100"/>
        <v>-17.279851507784304</v>
      </c>
      <c r="AA230" s="345">
        <f t="shared" si="101"/>
        <v>44.247444184112652</v>
      </c>
      <c r="AB230" s="346">
        <f t="shared" si="102"/>
        <v>-89.424525620499679</v>
      </c>
      <c r="AD230">
        <f t="shared" si="106"/>
        <v>0</v>
      </c>
      <c r="AE230">
        <f t="shared" si="109"/>
        <v>0</v>
      </c>
    </row>
    <row r="231" spans="1:31" x14ac:dyDescent="0.25">
      <c r="A231" s="347">
        <v>13568.5</v>
      </c>
      <c r="B231" s="364">
        <f t="shared" si="103"/>
        <v>13.5685</v>
      </c>
      <c r="C231" s="337">
        <f t="shared" si="84"/>
        <v>5.9673533701378814</v>
      </c>
      <c r="D231" s="338">
        <f t="shared" si="85"/>
        <v>1.4024234289124693</v>
      </c>
      <c r="E231" s="338">
        <f t="shared" si="86"/>
        <v>1.0006047591420961</v>
      </c>
      <c r="F231" s="339">
        <f t="shared" si="87"/>
        <v>3.4769369314980543E-2</v>
      </c>
      <c r="G231" s="338">
        <f t="shared" si="88"/>
        <v>1</v>
      </c>
      <c r="H231" s="339">
        <f t="shared" si="89"/>
        <v>0</v>
      </c>
      <c r="I231" s="337">
        <f t="shared" si="90"/>
        <v>30560.54751273281</v>
      </c>
      <c r="J231" s="340">
        <f t="shared" si="91"/>
        <v>1.5707636048680476</v>
      </c>
      <c r="K231" s="348">
        <f t="shared" si="107"/>
        <v>5.8156484700164262</v>
      </c>
      <c r="L231" s="349">
        <f t="shared" si="108"/>
        <v>1.3979876468561183</v>
      </c>
      <c r="M231" s="337">
        <f t="shared" si="92"/>
        <v>1.008321745908437</v>
      </c>
      <c r="N231" s="340">
        <f t="shared" si="93"/>
        <v>0.12856471696306529</v>
      </c>
      <c r="O231" s="341">
        <f t="shared" si="94"/>
        <v>1.0038077637944829</v>
      </c>
      <c r="P231" s="342">
        <f t="shared" si="95"/>
        <v>0.19499223573500218</v>
      </c>
      <c r="Q231" s="343">
        <f t="shared" si="96"/>
        <v>3.8130002197454704</v>
      </c>
      <c r="R231" s="344">
        <f t="shared" si="97"/>
        <v>-106.79858658803118</v>
      </c>
      <c r="S231" s="346">
        <f t="shared" si="98"/>
        <v>73.201413411968815</v>
      </c>
      <c r="U231" s="319">
        <f t="shared" si="104"/>
        <v>1000000000</v>
      </c>
      <c r="V231" s="319">
        <f t="shared" si="105"/>
        <v>184104192.25</v>
      </c>
      <c r="X231" s="345">
        <f t="shared" si="99"/>
        <v>23.223982067753575</v>
      </c>
      <c r="Y231" s="346">
        <f t="shared" si="100"/>
        <v>-17.265548891419453</v>
      </c>
      <c r="AA231" s="345">
        <f t="shared" si="101"/>
        <v>44.198139441154524</v>
      </c>
      <c r="AB231" s="346">
        <f t="shared" si="102"/>
        <v>-89.533037696611729</v>
      </c>
      <c r="AD231">
        <f t="shared" si="106"/>
        <v>0</v>
      </c>
      <c r="AE231">
        <f t="shared" si="109"/>
        <v>0</v>
      </c>
    </row>
    <row r="232" spans="1:31" x14ac:dyDescent="0.25">
      <c r="A232" s="347">
        <v>13647</v>
      </c>
      <c r="B232" s="364">
        <f t="shared" si="103"/>
        <v>13.647</v>
      </c>
      <c r="C232" s="337">
        <f t="shared" si="84"/>
        <v>6.0009104403458906</v>
      </c>
      <c r="D232" s="338">
        <f t="shared" si="85"/>
        <v>1.4033738923793424</v>
      </c>
      <c r="E232" s="338">
        <f t="shared" si="86"/>
        <v>1.0006117748573464</v>
      </c>
      <c r="F232" s="339">
        <f t="shared" si="87"/>
        <v>3.4970362585613729E-2</v>
      </c>
      <c r="G232" s="338">
        <f t="shared" si="88"/>
        <v>1</v>
      </c>
      <c r="H232" s="339">
        <f t="shared" si="89"/>
        <v>0</v>
      </c>
      <c r="I232" s="337">
        <f t="shared" si="90"/>
        <v>30737.354306202116</v>
      </c>
      <c r="J232" s="340">
        <f t="shared" si="91"/>
        <v>1.5707637930904594</v>
      </c>
      <c r="K232" s="348">
        <f t="shared" si="107"/>
        <v>5.8483026337263171</v>
      </c>
      <c r="L232" s="349">
        <f t="shared" si="108"/>
        <v>1.398962167135025</v>
      </c>
      <c r="M232" s="337">
        <f t="shared" si="92"/>
        <v>1.0084179116090133</v>
      </c>
      <c r="N232" s="340">
        <f t="shared" si="93"/>
        <v>0.12930028363494292</v>
      </c>
      <c r="O232" s="341">
        <f t="shared" si="94"/>
        <v>1.0038532193904608</v>
      </c>
      <c r="P232" s="342">
        <f t="shared" si="95"/>
        <v>0.1961260062829355</v>
      </c>
      <c r="Q232" s="343">
        <f t="shared" si="96"/>
        <v>3.7616584354352396</v>
      </c>
      <c r="R232" s="344">
        <f t="shared" si="97"/>
        <v>-106.89280808575465</v>
      </c>
      <c r="S232" s="346">
        <f t="shared" si="98"/>
        <v>73.107191914245348</v>
      </c>
      <c r="U232" s="319">
        <f t="shared" si="104"/>
        <v>1000000000</v>
      </c>
      <c r="V232" s="319">
        <f t="shared" si="105"/>
        <v>186240609</v>
      </c>
      <c r="X232" s="345">
        <f t="shared" si="99"/>
        <v>23.221680477099813</v>
      </c>
      <c r="Y232" s="346">
        <f t="shared" si="100"/>
        <v>-17.251868642571438</v>
      </c>
      <c r="AA232" s="345">
        <f t="shared" si="101"/>
        <v>44.149099247498057</v>
      </c>
      <c r="AB232" s="346">
        <f t="shared" si="102"/>
        <v>-89.640939443183228</v>
      </c>
      <c r="AD232">
        <f t="shared" si="106"/>
        <v>0</v>
      </c>
      <c r="AE232">
        <f t="shared" si="109"/>
        <v>0</v>
      </c>
    </row>
    <row r="233" spans="1:31" x14ac:dyDescent="0.25">
      <c r="A233" s="347">
        <v>13725.5</v>
      </c>
      <c r="B233" s="364">
        <f t="shared" si="103"/>
        <v>13.7255</v>
      </c>
      <c r="C233" s="337">
        <f t="shared" si="84"/>
        <v>6.0344728713659306</v>
      </c>
      <c r="D233" s="338">
        <f t="shared" si="85"/>
        <v>1.4043137841435858</v>
      </c>
      <c r="E233" s="338">
        <f t="shared" si="86"/>
        <v>1.0006188309950383</v>
      </c>
      <c r="F233" s="339">
        <f t="shared" si="87"/>
        <v>3.5171353029648314E-2</v>
      </c>
      <c r="G233" s="338">
        <f t="shared" si="88"/>
        <v>1</v>
      </c>
      <c r="H233" s="339">
        <f t="shared" si="89"/>
        <v>0</v>
      </c>
      <c r="I233" s="337">
        <f t="shared" si="90"/>
        <v>30914.161099672496</v>
      </c>
      <c r="J233" s="340">
        <f t="shared" si="91"/>
        <v>1.5707639791598775</v>
      </c>
      <c r="K233" s="348">
        <f t="shared" si="107"/>
        <v>5.8809622898281466</v>
      </c>
      <c r="L233" s="349">
        <f t="shared" si="108"/>
        <v>1.3999258644127666</v>
      </c>
      <c r="M233" s="337">
        <f t="shared" si="92"/>
        <v>1.0085146228182746</v>
      </c>
      <c r="N233" s="340">
        <f t="shared" si="93"/>
        <v>0.13003570963077182</v>
      </c>
      <c r="O233" s="341">
        <f t="shared" si="94"/>
        <v>1.0038989664561278</v>
      </c>
      <c r="P233" s="342">
        <f t="shared" si="95"/>
        <v>0.19725987154543245</v>
      </c>
      <c r="Q233" s="343">
        <f t="shared" si="96"/>
        <v>3.7105984958669103</v>
      </c>
      <c r="R233" s="344">
        <f t="shared" si="97"/>
        <v>-106.98704138701925</v>
      </c>
      <c r="S233" s="346">
        <f t="shared" si="98"/>
        <v>73.012958612980754</v>
      </c>
      <c r="U233" s="319">
        <f t="shared" si="104"/>
        <v>1000000000</v>
      </c>
      <c r="V233" s="319">
        <f t="shared" si="105"/>
        <v>188389350.25</v>
      </c>
      <c r="X233" s="345">
        <f t="shared" si="99"/>
        <v>23.219398985292926</v>
      </c>
      <c r="Y233" s="346">
        <f t="shared" si="100"/>
        <v>-17.238800322511224</v>
      </c>
      <c r="AA233" s="345">
        <f t="shared" si="101"/>
        <v>44.100320799736608</v>
      </c>
      <c r="AB233" s="346">
        <f t="shared" si="102"/>
        <v>-89.748241064508022</v>
      </c>
      <c r="AD233">
        <f t="shared" si="106"/>
        <v>0</v>
      </c>
      <c r="AE233">
        <f t="shared" si="109"/>
        <v>0</v>
      </c>
    </row>
    <row r="234" spans="1:31" x14ac:dyDescent="0.25">
      <c r="A234" s="347">
        <v>13804</v>
      </c>
      <c r="B234" s="364">
        <f t="shared" si="103"/>
        <v>13.804</v>
      </c>
      <c r="C234" s="337">
        <f t="shared" si="84"/>
        <v>6.0680405742457859</v>
      </c>
      <c r="D234" s="338">
        <f t="shared" si="85"/>
        <v>1.4052432779750061</v>
      </c>
      <c r="E234" s="338">
        <f t="shared" si="86"/>
        <v>1.0006259275543168</v>
      </c>
      <c r="F234" s="339">
        <f t="shared" si="87"/>
        <v>3.5372340630905386E-2</v>
      </c>
      <c r="G234" s="338">
        <f t="shared" si="88"/>
        <v>1</v>
      </c>
      <c r="H234" s="339">
        <f t="shared" si="89"/>
        <v>0</v>
      </c>
      <c r="I234" s="337">
        <f t="shared" si="90"/>
        <v>31090.967893143934</v>
      </c>
      <c r="J234" s="340">
        <f t="shared" si="91"/>
        <v>1.5707641631130322</v>
      </c>
      <c r="K234" s="348">
        <f t="shared" si="107"/>
        <v>5.9136273473221177</v>
      </c>
      <c r="L234" s="349">
        <f t="shared" si="108"/>
        <v>1.4008789162331379</v>
      </c>
      <c r="M234" s="337">
        <f t="shared" si="92"/>
        <v>1.0086118793793024</v>
      </c>
      <c r="N234" s="340">
        <f t="shared" si="93"/>
        <v>0.13077099419562088</v>
      </c>
      <c r="O234" s="341">
        <f t="shared" si="94"/>
        <v>1.0039450054921377</v>
      </c>
      <c r="P234" s="342">
        <f t="shared" si="95"/>
        <v>0.19839383197878627</v>
      </c>
      <c r="Q234" s="343">
        <f t="shared" si="96"/>
        <v>3.6598170953058111</v>
      </c>
      <c r="R234" s="344">
        <f t="shared" si="97"/>
        <v>-107.08128626151208</v>
      </c>
      <c r="S234" s="346">
        <f t="shared" si="98"/>
        <v>72.918713738487924</v>
      </c>
      <c r="U234" s="319">
        <f t="shared" si="104"/>
        <v>1000000000</v>
      </c>
      <c r="V234" s="319">
        <f t="shared" si="105"/>
        <v>190550416</v>
      </c>
      <c r="X234" s="345">
        <f t="shared" si="99"/>
        <v>23.217137047740557</v>
      </c>
      <c r="Y234" s="346">
        <f t="shared" si="100"/>
        <v>-17.226333717578797</v>
      </c>
      <c r="AA234" s="345">
        <f t="shared" si="101"/>
        <v>44.051801336727877</v>
      </c>
      <c r="AB234" s="346">
        <f t="shared" si="102"/>
        <v>-89.854952543933294</v>
      </c>
      <c r="AD234">
        <f t="shared" si="106"/>
        <v>0</v>
      </c>
      <c r="AE234">
        <f t="shared" si="109"/>
        <v>0</v>
      </c>
    </row>
    <row r="235" spans="1:31" x14ac:dyDescent="0.25">
      <c r="A235" s="347">
        <v>13884.25</v>
      </c>
      <c r="B235" s="364">
        <f t="shared" si="103"/>
        <v>13.88425</v>
      </c>
      <c r="C235" s="337">
        <f t="shared" si="84"/>
        <v>6.1023619605732327</v>
      </c>
      <c r="D235" s="338">
        <f t="shared" si="85"/>
        <v>1.4061829218185922</v>
      </c>
      <c r="E235" s="338">
        <f t="shared" si="86"/>
        <v>1.0006332240995588</v>
      </c>
      <c r="F235" s="339">
        <f t="shared" si="87"/>
        <v>3.5577805892085389E-2</v>
      </c>
      <c r="G235" s="338">
        <f t="shared" si="88"/>
        <v>1</v>
      </c>
      <c r="H235" s="339">
        <f t="shared" si="89"/>
        <v>0</v>
      </c>
      <c r="I235" s="337">
        <f t="shared" si="90"/>
        <v>31271.716239337147</v>
      </c>
      <c r="J235" s="340">
        <f t="shared" si="91"/>
        <v>1.5707643490168777</v>
      </c>
      <c r="K235" s="348">
        <f t="shared" si="107"/>
        <v>5.9470260974025351</v>
      </c>
      <c r="L235" s="349">
        <f t="shared" si="108"/>
        <v>1.4018423912355762</v>
      </c>
      <c r="M235" s="337">
        <f t="shared" si="92"/>
        <v>1.008711867639517</v>
      </c>
      <c r="N235" s="340">
        <f t="shared" si="93"/>
        <v>0.13152252347386972</v>
      </c>
      <c r="O235" s="341">
        <f t="shared" si="94"/>
        <v>1.0039923732065668</v>
      </c>
      <c r="P235" s="342">
        <f t="shared" si="95"/>
        <v>0.19955317063541039</v>
      </c>
      <c r="Q235" s="343">
        <f t="shared" si="96"/>
        <v>3.608188164356068</v>
      </c>
      <c r="R235" s="344">
        <f t="shared" si="97"/>
        <v>-107.17764386387773</v>
      </c>
      <c r="S235" s="346">
        <f t="shared" si="98"/>
        <v>72.822356136122266</v>
      </c>
      <c r="U235" s="319">
        <f t="shared" si="104"/>
        <v>1000000000</v>
      </c>
      <c r="V235" s="319">
        <f t="shared" si="105"/>
        <v>192772398.0625</v>
      </c>
      <c r="X235" s="345">
        <f t="shared" si="99"/>
        <v>23.214844346416484</v>
      </c>
      <c r="Y235" s="346">
        <f t="shared" si="100"/>
        <v>-17.214200773588775</v>
      </c>
      <c r="AA235" s="345">
        <f t="shared" si="101"/>
        <v>44.002465107102211</v>
      </c>
      <c r="AB235" s="346">
        <f t="shared" si="102"/>
        <v>-89.963443090288948</v>
      </c>
      <c r="AD235">
        <f t="shared" si="106"/>
        <v>0</v>
      </c>
      <c r="AE235">
        <f t="shared" si="109"/>
        <v>0</v>
      </c>
    </row>
    <row r="236" spans="1:31" x14ac:dyDescent="0.25">
      <c r="A236" s="347">
        <v>13964.5</v>
      </c>
      <c r="B236" s="364">
        <f t="shared" si="103"/>
        <v>13.964499999999999</v>
      </c>
      <c r="C236" s="337">
        <f t="shared" si="84"/>
        <v>6.1366886745919551</v>
      </c>
      <c r="D236" s="338">
        <f t="shared" si="85"/>
        <v>1.4071120543283053</v>
      </c>
      <c r="E236" s="338">
        <f t="shared" si="86"/>
        <v>1.0006405628868891</v>
      </c>
      <c r="F236" s="339">
        <f t="shared" si="87"/>
        <v>3.5783268148137877E-2</v>
      </c>
      <c r="G236" s="338">
        <f t="shared" si="88"/>
        <v>1</v>
      </c>
      <c r="H236" s="339">
        <f t="shared" si="89"/>
        <v>0</v>
      </c>
      <c r="I236" s="337">
        <f t="shared" si="90"/>
        <v>31452.464585531427</v>
      </c>
      <c r="J236" s="340">
        <f t="shared" si="91"/>
        <v>1.5707645327840505</v>
      </c>
      <c r="K236" s="348">
        <f t="shared" si="107"/>
        <v>5.9804303063489241</v>
      </c>
      <c r="L236" s="349">
        <f t="shared" si="108"/>
        <v>1.4027951039688469</v>
      </c>
      <c r="M236" s="337">
        <f t="shared" si="92"/>
        <v>1.0088124255032955</v>
      </c>
      <c r="N236" s="340">
        <f t="shared" si="93"/>
        <v>0.1322739033523804</v>
      </c>
      <c r="O236" s="341">
        <f t="shared" si="94"/>
        <v>1.0040400471211433</v>
      </c>
      <c r="P236" s="342">
        <f t="shared" si="95"/>
        <v>0.20071260971297575</v>
      </c>
      <c r="Q236" s="343">
        <f t="shared" si="96"/>
        <v>3.5568435223661483</v>
      </c>
      <c r="R236" s="344">
        <f t="shared" si="97"/>
        <v>-107.27401308725716</v>
      </c>
      <c r="S236" s="346">
        <f t="shared" si="98"/>
        <v>72.72598691274284</v>
      </c>
      <c r="U236" s="319">
        <f t="shared" si="104"/>
        <v>1000000000</v>
      </c>
      <c r="V236" s="319">
        <f t="shared" si="105"/>
        <v>195007260.25</v>
      </c>
      <c r="X236" s="345">
        <f t="shared" si="99"/>
        <v>23.212570977384335</v>
      </c>
      <c r="Y236" s="346">
        <f t="shared" si="100"/>
        <v>-17.202675779803947</v>
      </c>
      <c r="AA236" s="345">
        <f t="shared" si="101"/>
        <v>43.953393834144443</v>
      </c>
      <c r="AB236" s="346">
        <f t="shared" si="102"/>
        <v>-90.071337307453192</v>
      </c>
      <c r="AD236">
        <f t="shared" si="106"/>
        <v>0</v>
      </c>
      <c r="AE236">
        <f t="shared" si="109"/>
        <v>0</v>
      </c>
    </row>
    <row r="237" spans="1:31" x14ac:dyDescent="0.25">
      <c r="A237" s="347">
        <v>14044.75</v>
      </c>
      <c r="B237" s="364">
        <f t="shared" si="103"/>
        <v>14.044750000000001</v>
      </c>
      <c r="C237" s="337">
        <f t="shared" si="84"/>
        <v>6.1710206273950403</v>
      </c>
      <c r="D237" s="338">
        <f t="shared" si="85"/>
        <v>1.4080308493231533</v>
      </c>
      <c r="E237" s="338">
        <f t="shared" si="86"/>
        <v>1.0006479439153788</v>
      </c>
      <c r="F237" s="339">
        <f t="shared" si="87"/>
        <v>3.5988727381782111E-2</v>
      </c>
      <c r="G237" s="338">
        <f t="shared" si="88"/>
        <v>1</v>
      </c>
      <c r="H237" s="339">
        <f t="shared" si="89"/>
        <v>0</v>
      </c>
      <c r="I237" s="337">
        <f t="shared" si="90"/>
        <v>31633.212931726761</v>
      </c>
      <c r="J237" s="340">
        <f t="shared" si="91"/>
        <v>1.5707647144511765</v>
      </c>
      <c r="K237" s="348">
        <f t="shared" si="107"/>
        <v>6.0138398831965585</v>
      </c>
      <c r="L237" s="349">
        <f t="shared" si="108"/>
        <v>1.40373723205659</v>
      </c>
      <c r="M237" s="337">
        <f t="shared" si="92"/>
        <v>1.0089135528003217</v>
      </c>
      <c r="N237" s="340">
        <f t="shared" si="93"/>
        <v>0.13302513302753646</v>
      </c>
      <c r="O237" s="341">
        <f t="shared" si="94"/>
        <v>1.0040880277796735</v>
      </c>
      <c r="P237" s="342">
        <f t="shared" si="95"/>
        <v>0.2018721496940338</v>
      </c>
      <c r="Q237" s="343">
        <f t="shared" si="96"/>
        <v>3.5057798163490332</v>
      </c>
      <c r="R237" s="344">
        <f t="shared" si="97"/>
        <v>-107.37039369835392</v>
      </c>
      <c r="S237" s="346">
        <f t="shared" si="98"/>
        <v>72.629606301646078</v>
      </c>
      <c r="U237" s="319">
        <f t="shared" si="104"/>
        <v>1000000000</v>
      </c>
      <c r="V237" s="319">
        <f t="shared" si="105"/>
        <v>197255002.5625</v>
      </c>
      <c r="X237" s="345">
        <f t="shared" si="99"/>
        <v>23.210316405855163</v>
      </c>
      <c r="Y237" s="346">
        <f t="shared" si="100"/>
        <v>-17.191748515194082</v>
      </c>
      <c r="AA237" s="345">
        <f t="shared" si="101"/>
        <v>43.904584699656496</v>
      </c>
      <c r="AB237" s="346">
        <f t="shared" si="102"/>
        <v>-90.178645183159844</v>
      </c>
      <c r="AD237">
        <f t="shared" si="106"/>
        <v>0</v>
      </c>
      <c r="AE237">
        <f t="shared" si="109"/>
        <v>0</v>
      </c>
    </row>
    <row r="238" spans="1:31" x14ac:dyDescent="0.25">
      <c r="A238" s="347">
        <v>14125</v>
      </c>
      <c r="B238" s="364">
        <f t="shared" si="103"/>
        <v>14.125</v>
      </c>
      <c r="C238" s="337">
        <f t="shared" si="84"/>
        <v>6.2053577320297109</v>
      </c>
      <c r="D238" s="338">
        <f t="shared" si="85"/>
        <v>1.408939476845559</v>
      </c>
      <c r="E238" s="338">
        <f t="shared" si="86"/>
        <v>1.000655367184093</v>
      </c>
      <c r="F238" s="339">
        <f t="shared" si="87"/>
        <v>3.6194183575738857E-2</v>
      </c>
      <c r="G238" s="338">
        <f t="shared" si="88"/>
        <v>1</v>
      </c>
      <c r="H238" s="339">
        <f t="shared" si="89"/>
        <v>0</v>
      </c>
      <c r="I238" s="337">
        <f t="shared" si="90"/>
        <v>31813.961277923128</v>
      </c>
      <c r="J238" s="340">
        <f t="shared" si="91"/>
        <v>1.5707648940540497</v>
      </c>
      <c r="K238" s="348">
        <f t="shared" si="107"/>
        <v>6.0472547389764841</v>
      </c>
      <c r="L238" s="349">
        <f t="shared" si="108"/>
        <v>1.4046689492726296</v>
      </c>
      <c r="M238" s="337">
        <f t="shared" si="92"/>
        <v>1.0090152493593834</v>
      </c>
      <c r="N238" s="340">
        <f t="shared" si="93"/>
        <v>0.13377621169672088</v>
      </c>
      <c r="O238" s="341">
        <f t="shared" si="94"/>
        <v>1.0041363157289644</v>
      </c>
      <c r="P238" s="342">
        <f t="shared" si="95"/>
        <v>0.20303179105945129</v>
      </c>
      <c r="Q238" s="343">
        <f t="shared" si="96"/>
        <v>3.4549937508492112</v>
      </c>
      <c r="R238" s="344">
        <f t="shared" si="97"/>
        <v>-107.46678546798044</v>
      </c>
      <c r="S238" s="346">
        <f t="shared" si="98"/>
        <v>72.533214532019556</v>
      </c>
      <c r="U238" s="319">
        <f t="shared" si="104"/>
        <v>1000000000</v>
      </c>
      <c r="V238" s="319">
        <f t="shared" si="105"/>
        <v>199515625</v>
      </c>
      <c r="X238" s="345">
        <f t="shared" si="99"/>
        <v>23.208080111868782</v>
      </c>
      <c r="Y238" s="346">
        <f t="shared" si="100"/>
        <v>-17.181408979316711</v>
      </c>
      <c r="AA238" s="345">
        <f t="shared" si="101"/>
        <v>43.85603492814306</v>
      </c>
      <c r="AB238" s="346">
        <f t="shared" si="102"/>
        <v>-90.285376488663744</v>
      </c>
      <c r="AD238">
        <f t="shared" si="106"/>
        <v>0</v>
      </c>
      <c r="AE238">
        <f t="shared" si="109"/>
        <v>0</v>
      </c>
    </row>
    <row r="239" spans="1:31" x14ac:dyDescent="0.25">
      <c r="A239" s="347">
        <v>14207.25</v>
      </c>
      <c r="B239" s="364">
        <f t="shared" si="103"/>
        <v>14.20725</v>
      </c>
      <c r="C239" s="337">
        <f t="shared" si="84"/>
        <v>6.2405558470956102</v>
      </c>
      <c r="D239" s="338">
        <f t="shared" si="85"/>
        <v>1.4098603726168066</v>
      </c>
      <c r="E239" s="338">
        <f t="shared" si="86"/>
        <v>1.0006630192878214</v>
      </c>
      <c r="F239" s="339">
        <f t="shared" si="87"/>
        <v>3.6404757000940764E-2</v>
      </c>
      <c r="G239" s="338">
        <f t="shared" si="88"/>
        <v>1</v>
      </c>
      <c r="H239" s="339">
        <f t="shared" si="89"/>
        <v>0</v>
      </c>
      <c r="I239" s="337">
        <f t="shared" si="90"/>
        <v>31999.214255801453</v>
      </c>
      <c r="J239" s="340">
        <f t="shared" si="91"/>
        <v>1.5707650760275444</v>
      </c>
      <c r="K239" s="348">
        <f t="shared" si="107"/>
        <v>6.0815077506173241</v>
      </c>
      <c r="L239" s="349">
        <f t="shared" si="108"/>
        <v>1.4056132614365673</v>
      </c>
      <c r="M239" s="337">
        <f t="shared" si="92"/>
        <v>1.0091200709516921</v>
      </c>
      <c r="N239" s="340">
        <f t="shared" si="93"/>
        <v>0.13454585130072838</v>
      </c>
      <c r="O239" s="341">
        <f t="shared" si="94"/>
        <v>1.0041861265652288</v>
      </c>
      <c r="P239" s="342">
        <f t="shared" si="95"/>
        <v>0.20422043885152472</v>
      </c>
      <c r="Q239" s="343">
        <f t="shared" si="96"/>
        <v>3.4032267059408672</v>
      </c>
      <c r="R239" s="344">
        <f t="shared" si="97"/>
        <v>-107.56559086826142</v>
      </c>
      <c r="S239" s="346">
        <f t="shared" si="98"/>
        <v>72.434409131738576</v>
      </c>
      <c r="U239" s="319">
        <f t="shared" si="104"/>
        <v>1000000000</v>
      </c>
      <c r="V239" s="319">
        <f t="shared" si="105"/>
        <v>201845952.5625</v>
      </c>
      <c r="X239" s="345">
        <f t="shared" si="99"/>
        <v>23.205806522248022</v>
      </c>
      <c r="Y239" s="346">
        <f t="shared" si="100"/>
        <v>-17.171411405137764</v>
      </c>
      <c r="AA239" s="345">
        <f t="shared" si="101"/>
        <v>43.806541472855471</v>
      </c>
      <c r="AB239" s="346">
        <f t="shared" si="102"/>
        <v>-90.394179463123677</v>
      </c>
      <c r="AD239">
        <f t="shared" si="106"/>
        <v>0</v>
      </c>
      <c r="AE239">
        <f t="shared" si="109"/>
        <v>0</v>
      </c>
    </row>
    <row r="240" spans="1:31" x14ac:dyDescent="0.25">
      <c r="A240" s="347">
        <v>14289.5</v>
      </c>
      <c r="B240" s="364">
        <f t="shared" si="103"/>
        <v>14.2895</v>
      </c>
      <c r="C240" s="337">
        <f t="shared" si="84"/>
        <v>6.275759195091613</v>
      </c>
      <c r="D240" s="338">
        <f t="shared" si="85"/>
        <v>1.410770937776948</v>
      </c>
      <c r="E240" s="338">
        <f t="shared" si="86"/>
        <v>1.0006707157614367</v>
      </c>
      <c r="F240" s="339">
        <f t="shared" si="87"/>
        <v>3.6615327196306426E-2</v>
      </c>
      <c r="G240" s="338">
        <f t="shared" si="88"/>
        <v>1</v>
      </c>
      <c r="H240" s="339">
        <f t="shared" si="89"/>
        <v>0</v>
      </c>
      <c r="I240" s="337">
        <f t="shared" si="90"/>
        <v>32184.467233680818</v>
      </c>
      <c r="J240" s="340">
        <f t="shared" si="91"/>
        <v>1.5707652559061696</v>
      </c>
      <c r="K240" s="348">
        <f t="shared" si="107"/>
        <v>6.1157661245443062</v>
      </c>
      <c r="L240" s="349">
        <f t="shared" si="108"/>
        <v>1.4065469950151976</v>
      </c>
      <c r="M240" s="337">
        <f t="shared" si="92"/>
        <v>1.0092254901669757</v>
      </c>
      <c r="N240" s="340">
        <f t="shared" si="93"/>
        <v>0.13531533057418002</v>
      </c>
      <c r="O240" s="341">
        <f t="shared" si="94"/>
        <v>1.0042362613725635</v>
      </c>
      <c r="P240" s="342">
        <f t="shared" si="95"/>
        <v>0.205409194161743</v>
      </c>
      <c r="Q240" s="343">
        <f t="shared" si="96"/>
        <v>3.3517444826890523</v>
      </c>
      <c r="R240" s="344">
        <f t="shared" si="97"/>
        <v>-107.66440751551815</v>
      </c>
      <c r="S240" s="346">
        <f t="shared" si="98"/>
        <v>72.33559248448185</v>
      </c>
      <c r="U240" s="319">
        <f t="shared" si="104"/>
        <v>1000000000</v>
      </c>
      <c r="V240" s="319">
        <f t="shared" si="105"/>
        <v>204189810.25</v>
      </c>
      <c r="X240" s="345">
        <f t="shared" si="99"/>
        <v>23.203551072233061</v>
      </c>
      <c r="Y240" s="346">
        <f t="shared" si="100"/>
        <v>-17.162010632959483</v>
      </c>
      <c r="AA240" s="345">
        <f t="shared" si="101"/>
        <v>43.757314699618625</v>
      </c>
      <c r="AB240" s="346">
        <f t="shared" si="102"/>
        <v>-90.502396882558656</v>
      </c>
      <c r="AD240">
        <f t="shared" si="106"/>
        <v>0</v>
      </c>
      <c r="AE240">
        <f t="shared" si="109"/>
        <v>0</v>
      </c>
    </row>
    <row r="241" spans="1:31" x14ac:dyDescent="0.25">
      <c r="A241" s="347">
        <v>14371.75</v>
      </c>
      <c r="B241" s="364">
        <f t="shared" si="103"/>
        <v>14.37175</v>
      </c>
      <c r="C241" s="337">
        <f t="shared" si="84"/>
        <v>6.3109676884479526</v>
      </c>
      <c r="D241" s="338">
        <f t="shared" si="85"/>
        <v>1.4116713437047517</v>
      </c>
      <c r="E241" s="338">
        <f t="shared" si="86"/>
        <v>1.0006784566039146</v>
      </c>
      <c r="F241" s="339">
        <f t="shared" si="87"/>
        <v>3.6825894143237295E-2</v>
      </c>
      <c r="G241" s="338">
        <f t="shared" si="88"/>
        <v>1</v>
      </c>
      <c r="H241" s="339">
        <f t="shared" si="89"/>
        <v>0</v>
      </c>
      <c r="I241" s="337">
        <f t="shared" si="90"/>
        <v>32369.72021156122</v>
      </c>
      <c r="J241" s="340">
        <f t="shared" si="91"/>
        <v>1.5707654337258918</v>
      </c>
      <c r="K241" s="348">
        <f t="shared" si="107"/>
        <v>6.1500297711465484</v>
      </c>
      <c r="L241" s="349">
        <f t="shared" si="108"/>
        <v>1.4074703251759406</v>
      </c>
      <c r="M241" s="337">
        <f t="shared" si="92"/>
        <v>1.0093315068179787</v>
      </c>
      <c r="N241" s="340">
        <f t="shared" si="93"/>
        <v>0.13608464865624134</v>
      </c>
      <c r="O241" s="341">
        <f t="shared" si="94"/>
        <v>1.0042867207494826</v>
      </c>
      <c r="P241" s="342">
        <f t="shared" si="95"/>
        <v>0.20659805750225746</v>
      </c>
      <c r="Q241" s="343">
        <f t="shared" si="96"/>
        <v>3.3005437127036554</v>
      </c>
      <c r="R241" s="344">
        <f t="shared" si="97"/>
        <v>-107.76323517582509</v>
      </c>
      <c r="S241" s="346">
        <f t="shared" si="98"/>
        <v>72.236764824174912</v>
      </c>
      <c r="U241" s="319">
        <f t="shared" si="104"/>
        <v>1000000000</v>
      </c>
      <c r="V241" s="319">
        <f t="shared" si="105"/>
        <v>206547198.0625</v>
      </c>
      <c r="X241" s="345">
        <f t="shared" si="99"/>
        <v>23.201313247381286</v>
      </c>
      <c r="Y241" s="346">
        <f t="shared" si="100"/>
        <v>-17.153196579166508</v>
      </c>
      <c r="AA241" s="345">
        <f t="shared" si="101"/>
        <v>43.708351754484994</v>
      </c>
      <c r="AB241" s="346">
        <f t="shared" si="102"/>
        <v>-90.610038596658569</v>
      </c>
      <c r="AD241">
        <f t="shared" si="106"/>
        <v>0</v>
      </c>
      <c r="AE241">
        <f t="shared" si="109"/>
        <v>0</v>
      </c>
    </row>
    <row r="242" spans="1:31" x14ac:dyDescent="0.25">
      <c r="A242" s="347">
        <v>14454</v>
      </c>
      <c r="B242" s="364">
        <f t="shared" si="103"/>
        <v>14.454000000000001</v>
      </c>
      <c r="C242" s="337">
        <f t="shared" si="84"/>
        <v>6.3461812415255414</v>
      </c>
      <c r="D242" s="338">
        <f t="shared" si="85"/>
        <v>1.4125617580419445</v>
      </c>
      <c r="E242" s="338">
        <f t="shared" si="86"/>
        <v>1.0006862418142259</v>
      </c>
      <c r="F242" s="339">
        <f t="shared" si="87"/>
        <v>3.7036457823136554E-2</v>
      </c>
      <c r="G242" s="338">
        <f t="shared" si="88"/>
        <v>1</v>
      </c>
      <c r="H242" s="339">
        <f t="shared" si="89"/>
        <v>0</v>
      </c>
      <c r="I242" s="337">
        <f t="shared" si="90"/>
        <v>32554.973189442633</v>
      </c>
      <c r="J242" s="340">
        <f t="shared" si="91"/>
        <v>1.5707656095218601</v>
      </c>
      <c r="K242" s="348">
        <f t="shared" si="107"/>
        <v>6.1842986027854527</v>
      </c>
      <c r="L242" s="349">
        <f t="shared" si="108"/>
        <v>1.4083834232754753</v>
      </c>
      <c r="M242" s="337">
        <f t="shared" si="92"/>
        <v>1.0094381207164635</v>
      </c>
      <c r="N242" s="340">
        <f t="shared" si="93"/>
        <v>0.13685380468720174</v>
      </c>
      <c r="O242" s="341">
        <f t="shared" si="94"/>
        <v>1.004337505297799</v>
      </c>
      <c r="P242" s="342">
        <f t="shared" si="95"/>
        <v>0.20778702938331825</v>
      </c>
      <c r="Q242" s="343">
        <f t="shared" si="96"/>
        <v>3.2496210854715168</v>
      </c>
      <c r="R242" s="344">
        <f t="shared" si="97"/>
        <v>-107.86207361938798</v>
      </c>
      <c r="S242" s="346">
        <f t="shared" si="98"/>
        <v>72.137926380612015</v>
      </c>
      <c r="U242" s="319">
        <f t="shared" si="104"/>
        <v>1000000000</v>
      </c>
      <c r="V242" s="319">
        <f t="shared" si="105"/>
        <v>208918116</v>
      </c>
      <c r="X242" s="345">
        <f t="shared" si="99"/>
        <v>23.199092547567794</v>
      </c>
      <c r="Y242" s="346">
        <f t="shared" si="100"/>
        <v>-17.144959378500442</v>
      </c>
      <c r="AA242" s="345">
        <f t="shared" si="101"/>
        <v>43.659649827066353</v>
      </c>
      <c r="AB242" s="346">
        <f t="shared" si="102"/>
        <v>-90.717114240887554</v>
      </c>
      <c r="AD242">
        <f t="shared" si="106"/>
        <v>0</v>
      </c>
      <c r="AE242">
        <f t="shared" si="109"/>
        <v>0</v>
      </c>
    </row>
    <row r="243" spans="1:31" x14ac:dyDescent="0.25">
      <c r="A243" s="347">
        <v>14622.5</v>
      </c>
      <c r="B243" s="364">
        <f t="shared" si="103"/>
        <v>14.6225</v>
      </c>
      <c r="C243" s="337">
        <f t="shared" si="84"/>
        <v>6.4183363102348778</v>
      </c>
      <c r="D243" s="338">
        <f t="shared" si="85"/>
        <v>1.4143553754291274</v>
      </c>
      <c r="E243" s="338">
        <f t="shared" si="86"/>
        <v>1.0007023293927622</v>
      </c>
      <c r="F243" s="339">
        <f t="shared" si="87"/>
        <v>3.746781508136756E-2</v>
      </c>
      <c r="G243" s="338">
        <f t="shared" si="88"/>
        <v>1</v>
      </c>
      <c r="H243" s="339">
        <f t="shared" si="89"/>
        <v>0</v>
      </c>
      <c r="I243" s="337">
        <f t="shared" si="90"/>
        <v>32934.488408570563</v>
      </c>
      <c r="J243" s="340">
        <f t="shared" si="91"/>
        <v>1.5707659634873588</v>
      </c>
      <c r="K243" s="348">
        <f t="shared" si="107"/>
        <v>6.2545186678362237</v>
      </c>
      <c r="L243" s="349">
        <f t="shared" si="108"/>
        <v>1.4102227756910837</v>
      </c>
      <c r="M243" s="337">
        <f t="shared" si="92"/>
        <v>1.0096583976477629</v>
      </c>
      <c r="N243" s="340">
        <f t="shared" si="93"/>
        <v>0.13842901284927661</v>
      </c>
      <c r="O243" s="341">
        <f t="shared" si="94"/>
        <v>1.0044425621467039</v>
      </c>
      <c r="P243" s="342">
        <f t="shared" si="95"/>
        <v>0.21022313657274153</v>
      </c>
      <c r="Q243" s="343">
        <f t="shared" si="96"/>
        <v>3.1461542724661014</v>
      </c>
      <c r="R243" s="344">
        <f t="shared" si="97"/>
        <v>-108.06458996582181</v>
      </c>
      <c r="S243" s="346">
        <f t="shared" si="98"/>
        <v>71.93541003417819</v>
      </c>
      <c r="U243" s="319">
        <f t="shared" si="104"/>
        <v>1000000000</v>
      </c>
      <c r="V243" s="319">
        <f t="shared" si="105"/>
        <v>213817506.25</v>
      </c>
      <c r="X243" s="345">
        <f t="shared" si="99"/>
        <v>23.194594593295612</v>
      </c>
      <c r="Y243" s="346">
        <f t="shared" si="100"/>
        <v>-17.129845308302244</v>
      </c>
      <c r="AA243" s="345">
        <f t="shared" si="101"/>
        <v>43.560680968333116</v>
      </c>
      <c r="AB243" s="346">
        <f t="shared" si="102"/>
        <v>-90.934744657519559</v>
      </c>
      <c r="AD243">
        <f t="shared" si="106"/>
        <v>0</v>
      </c>
      <c r="AE243">
        <f t="shared" si="109"/>
        <v>0</v>
      </c>
    </row>
    <row r="244" spans="1:31" x14ac:dyDescent="0.25">
      <c r="A244" s="347">
        <v>14706.75</v>
      </c>
      <c r="B244" s="364">
        <f t="shared" si="103"/>
        <v>14.70675</v>
      </c>
      <c r="C244" s="337">
        <f t="shared" si="84"/>
        <v>6.4544214578140773</v>
      </c>
      <c r="D244" s="338">
        <f t="shared" si="85"/>
        <v>1.4152371443423706</v>
      </c>
      <c r="E244" s="338">
        <f t="shared" si="86"/>
        <v>1.0007104430052551</v>
      </c>
      <c r="F244" s="339">
        <f t="shared" si="87"/>
        <v>3.7683488489492663E-2</v>
      </c>
      <c r="G244" s="338">
        <f t="shared" si="88"/>
        <v>1</v>
      </c>
      <c r="H244" s="339">
        <f t="shared" si="89"/>
        <v>0</v>
      </c>
      <c r="I244" s="337">
        <f t="shared" si="90"/>
        <v>33124.246018136051</v>
      </c>
      <c r="J244" s="340">
        <f t="shared" si="91"/>
        <v>1.5707661374284849</v>
      </c>
      <c r="K244" s="348">
        <f t="shared" si="107"/>
        <v>6.2896365026159886</v>
      </c>
      <c r="L244" s="349">
        <f t="shared" si="108"/>
        <v>1.41112704891143</v>
      </c>
      <c r="M244" s="337">
        <f t="shared" si="92"/>
        <v>1.0097694752726016</v>
      </c>
      <c r="N244" s="340">
        <f t="shared" si="93"/>
        <v>0.13921635823478998</v>
      </c>
      <c r="O244" s="341">
        <f t="shared" si="94"/>
        <v>1.0044956049281488</v>
      </c>
      <c r="P244" s="342">
        <f t="shared" si="95"/>
        <v>0.2114413631508858</v>
      </c>
      <c r="Q244" s="343">
        <f t="shared" si="96"/>
        <v>3.094844962854606</v>
      </c>
      <c r="R244" s="344">
        <f t="shared" si="97"/>
        <v>-108.16586416320065</v>
      </c>
      <c r="S244" s="346">
        <f t="shared" si="98"/>
        <v>71.834135836799348</v>
      </c>
      <c r="U244" s="319">
        <f t="shared" si="104"/>
        <v>1000000000</v>
      </c>
      <c r="V244" s="319">
        <f t="shared" si="105"/>
        <v>216288495.5625</v>
      </c>
      <c r="X244" s="345">
        <f t="shared" si="99"/>
        <v>23.192370547041847</v>
      </c>
      <c r="Y244" s="346">
        <f t="shared" si="100"/>
        <v>-17.123155802943479</v>
      </c>
      <c r="AA244" s="345">
        <f t="shared" si="101"/>
        <v>43.511595704975392</v>
      </c>
      <c r="AB244" s="346">
        <f t="shared" si="102"/>
        <v>-91.042708360257151</v>
      </c>
      <c r="AD244">
        <f t="shared" si="106"/>
        <v>0</v>
      </c>
      <c r="AE244">
        <f t="shared" si="109"/>
        <v>0</v>
      </c>
    </row>
    <row r="245" spans="1:31" x14ac:dyDescent="0.25">
      <c r="A245" s="347">
        <v>14791</v>
      </c>
      <c r="B245" s="364">
        <f t="shared" si="103"/>
        <v>14.791</v>
      </c>
      <c r="C245" s="337">
        <f t="shared" si="84"/>
        <v>6.4905115680080838</v>
      </c>
      <c r="D245" s="338">
        <f t="shared" si="85"/>
        <v>1.4161091078783083</v>
      </c>
      <c r="E245" s="338">
        <f t="shared" si="86"/>
        <v>1.0007186031650572</v>
      </c>
      <c r="F245" s="339">
        <f t="shared" si="87"/>
        <v>3.7899158390318134E-2</v>
      </c>
      <c r="G245" s="338">
        <f t="shared" si="88"/>
        <v>1</v>
      </c>
      <c r="H245" s="339">
        <f t="shared" si="89"/>
        <v>0</v>
      </c>
      <c r="I245" s="337">
        <f t="shared" si="90"/>
        <v>33314.003627702521</v>
      </c>
      <c r="J245" s="340">
        <f t="shared" si="91"/>
        <v>1.5707663093880631</v>
      </c>
      <c r="K245" s="348">
        <f t="shared" si="107"/>
        <v>6.3247594233788629</v>
      </c>
      <c r="L245" s="349">
        <f t="shared" si="108"/>
        <v>1.4120212795598799</v>
      </c>
      <c r="M245" s="337">
        <f t="shared" si="92"/>
        <v>1.0098811787284907</v>
      </c>
      <c r="N245" s="340">
        <f t="shared" si="93"/>
        <v>0.14000352993086757</v>
      </c>
      <c r="O245" s="341">
        <f t="shared" si="94"/>
        <v>1.0045489914946002</v>
      </c>
      <c r="P245" s="342">
        <f t="shared" si="95"/>
        <v>0.21265970577199161</v>
      </c>
      <c r="Q245" s="343">
        <f t="shared" si="96"/>
        <v>3.0438139391321113</v>
      </c>
      <c r="R245" s="344">
        <f t="shared" si="97"/>
        <v>-108.2671487353479</v>
      </c>
      <c r="S245" s="346">
        <f t="shared" si="98"/>
        <v>71.732851264652098</v>
      </c>
      <c r="U245" s="319">
        <f t="shared" si="104"/>
        <v>1000000000</v>
      </c>
      <c r="V245" s="319">
        <f t="shared" si="105"/>
        <v>218773681</v>
      </c>
      <c r="X245" s="345">
        <f t="shared" si="99"/>
        <v>23.190162476770311</v>
      </c>
      <c r="Y245" s="346">
        <f t="shared" si="100"/>
        <v>-17.117031629364526</v>
      </c>
      <c r="AA245" s="345">
        <f t="shared" si="101"/>
        <v>43.462772751524426</v>
      </c>
      <c r="AB245" s="346">
        <f t="shared" si="102"/>
        <v>-91.150117105983398</v>
      </c>
      <c r="AD245">
        <f t="shared" si="106"/>
        <v>0</v>
      </c>
      <c r="AE245">
        <f t="shared" si="109"/>
        <v>0</v>
      </c>
    </row>
    <row r="246" spans="1:31" x14ac:dyDescent="0.25">
      <c r="A246" s="347">
        <v>14877.25</v>
      </c>
      <c r="B246" s="364">
        <f t="shared" si="103"/>
        <v>14.87725</v>
      </c>
      <c r="C246" s="337">
        <f t="shared" si="84"/>
        <v>6.5274634715030242</v>
      </c>
      <c r="D246" s="338">
        <f t="shared" si="85"/>
        <v>1.4169917819909059</v>
      </c>
      <c r="E246" s="338">
        <f t="shared" si="86"/>
        <v>1.0007270052545585</v>
      </c>
      <c r="F246" s="339">
        <f t="shared" si="87"/>
        <v>3.8119944397365914E-2</v>
      </c>
      <c r="G246" s="338">
        <f t="shared" si="88"/>
        <v>1</v>
      </c>
      <c r="H246" s="339">
        <f t="shared" si="89"/>
        <v>0</v>
      </c>
      <c r="I246" s="337">
        <f t="shared" si="90"/>
        <v>33508.265868951108</v>
      </c>
      <c r="J246" s="340">
        <f t="shared" si="91"/>
        <v>1.5707664834122501</v>
      </c>
      <c r="K246" s="348">
        <f t="shared" si="107"/>
        <v>6.3607213032290577</v>
      </c>
      <c r="L246" s="349">
        <f t="shared" si="108"/>
        <v>1.4129265074495951</v>
      </c>
      <c r="M246" s="337">
        <f t="shared" si="92"/>
        <v>1.0099961819738319</v>
      </c>
      <c r="N246" s="340">
        <f t="shared" si="93"/>
        <v>0.14080920731404983</v>
      </c>
      <c r="O246" s="341">
        <f t="shared" si="94"/>
        <v>1.0046040022155287</v>
      </c>
      <c r="P246" s="342">
        <f t="shared" si="95"/>
        <v>0.2139070912423911</v>
      </c>
      <c r="Q246" s="343">
        <f t="shared" si="96"/>
        <v>2.9918563637855393</v>
      </c>
      <c r="R246" s="344">
        <f t="shared" si="97"/>
        <v>-108.37084820028288</v>
      </c>
      <c r="S246" s="346">
        <f t="shared" si="98"/>
        <v>71.629151799717121</v>
      </c>
      <c r="U246" s="319">
        <f t="shared" si="104"/>
        <v>1000000000</v>
      </c>
      <c r="V246" s="319">
        <f t="shared" si="105"/>
        <v>221332567.5625</v>
      </c>
      <c r="X246" s="345">
        <f t="shared" si="99"/>
        <v>23.187918051593826</v>
      </c>
      <c r="Y246" s="346">
        <f t="shared" si="100"/>
        <v>-17.111337776336747</v>
      </c>
      <c r="AA246" s="345">
        <f t="shared" si="101"/>
        <v>43.413059601354334</v>
      </c>
      <c r="AB246" s="346">
        <f t="shared" si="102"/>
        <v>-91.259510423946139</v>
      </c>
      <c r="AD246">
        <f t="shared" si="106"/>
        <v>0</v>
      </c>
      <c r="AE246">
        <f t="shared" si="109"/>
        <v>0</v>
      </c>
    </row>
    <row r="247" spans="1:31" x14ac:dyDescent="0.25">
      <c r="A247" s="347">
        <v>14963.5</v>
      </c>
      <c r="B247" s="364">
        <f t="shared" si="103"/>
        <v>14.9635</v>
      </c>
      <c r="C247" s="337">
        <f t="shared" si="84"/>
        <v>6.564420403375868</v>
      </c>
      <c r="D247" s="338">
        <f t="shared" si="85"/>
        <v>1.4178645180696299</v>
      </c>
      <c r="E247" s="338">
        <f t="shared" si="86"/>
        <v>1.0007354561251389</v>
      </c>
      <c r="F247" s="339">
        <f t="shared" si="87"/>
        <v>3.8340726686250409E-2</v>
      </c>
      <c r="G247" s="338">
        <f t="shared" si="88"/>
        <v>1</v>
      </c>
      <c r="H247" s="339">
        <f t="shared" si="89"/>
        <v>0</v>
      </c>
      <c r="I247" s="337">
        <f t="shared" si="90"/>
        <v>33702.528110200699</v>
      </c>
      <c r="J247" s="340">
        <f t="shared" si="91"/>
        <v>1.5707666554302775</v>
      </c>
      <c r="K247" s="348">
        <f t="shared" si="107"/>
        <v>6.3966883366849059</v>
      </c>
      <c r="L247" s="349">
        <f t="shared" si="108"/>
        <v>1.4138215563103409</v>
      </c>
      <c r="M247" s="337">
        <f t="shared" si="92"/>
        <v>1.010111840674369</v>
      </c>
      <c r="N247" s="340">
        <f t="shared" si="93"/>
        <v>0.14161470071844312</v>
      </c>
      <c r="O247" s="341">
        <f t="shared" si="94"/>
        <v>1.0046593746512495</v>
      </c>
      <c r="P247" s="342">
        <f t="shared" si="95"/>
        <v>0.21515459946893639</v>
      </c>
      <c r="Q247" s="343">
        <f t="shared" si="96"/>
        <v>2.9401835837952515</v>
      </c>
      <c r="R247" s="344">
        <f t="shared" si="97"/>
        <v>-108.47455806351125</v>
      </c>
      <c r="S247" s="346">
        <f t="shared" si="98"/>
        <v>71.525441936488747</v>
      </c>
      <c r="U247" s="319">
        <f t="shared" si="104"/>
        <v>1000000000</v>
      </c>
      <c r="V247" s="319">
        <f t="shared" si="105"/>
        <v>223906332.25</v>
      </c>
      <c r="X247" s="345">
        <f t="shared" si="99"/>
        <v>23.185689394159397</v>
      </c>
      <c r="Y247" s="346">
        <f t="shared" si="100"/>
        <v>-17.106216482556498</v>
      </c>
      <c r="AA247" s="345">
        <f t="shared" si="101"/>
        <v>43.363615478798479</v>
      </c>
      <c r="AB247" s="346">
        <f t="shared" si="102"/>
        <v>-91.368341580954748</v>
      </c>
      <c r="AD247">
        <f t="shared" si="106"/>
        <v>0</v>
      </c>
      <c r="AE247">
        <f t="shared" si="109"/>
        <v>0</v>
      </c>
    </row>
    <row r="248" spans="1:31" x14ac:dyDescent="0.25">
      <c r="A248" s="347">
        <v>15049.75</v>
      </c>
      <c r="B248" s="364">
        <f t="shared" si="103"/>
        <v>15.04975</v>
      </c>
      <c r="C248" s="337">
        <f t="shared" si="84"/>
        <v>6.6013822791745627</v>
      </c>
      <c r="D248" s="338">
        <f t="shared" si="85"/>
        <v>1.4187274817062006</v>
      </c>
      <c r="E248" s="338">
        <f t="shared" si="86"/>
        <v>1.0007439557755631</v>
      </c>
      <c r="F248" s="339">
        <f t="shared" si="87"/>
        <v>3.856150523554211E-2</v>
      </c>
      <c r="G248" s="338">
        <f t="shared" si="88"/>
        <v>1</v>
      </c>
      <c r="H248" s="339">
        <f t="shared" si="89"/>
        <v>0</v>
      </c>
      <c r="I248" s="337">
        <f t="shared" si="90"/>
        <v>33896.790351451273</v>
      </c>
      <c r="J248" s="340">
        <f t="shared" si="91"/>
        <v>1.5707668254766367</v>
      </c>
      <c r="K248" s="348">
        <f t="shared" si="107"/>
        <v>6.4326604373001048</v>
      </c>
      <c r="L248" s="349">
        <f t="shared" si="108"/>
        <v>1.4147065954624243</v>
      </c>
      <c r="M248" s="337">
        <f t="shared" si="92"/>
        <v>1.0102281546049769</v>
      </c>
      <c r="N248" s="340">
        <f t="shared" si="93"/>
        <v>0.14242000916217784</v>
      </c>
      <c r="O248" s="341">
        <f t="shared" si="94"/>
        <v>1.0047151095229099</v>
      </c>
      <c r="P248" s="342">
        <f t="shared" si="95"/>
        <v>0.21640223102392298</v>
      </c>
      <c r="Q248" s="343">
        <f t="shared" si="96"/>
        <v>2.8887922182038568</v>
      </c>
      <c r="R248" s="344">
        <f t="shared" si="97"/>
        <v>-108.57827809113789</v>
      </c>
      <c r="S248" s="346">
        <f t="shared" si="98"/>
        <v>71.421721908862111</v>
      </c>
      <c r="U248" s="319">
        <f t="shared" si="104"/>
        <v>1000000000</v>
      </c>
      <c r="V248" s="319">
        <f t="shared" si="105"/>
        <v>226494975.0625</v>
      </c>
      <c r="X248" s="345">
        <f t="shared" si="99"/>
        <v>23.18347603145542</v>
      </c>
      <c r="Y248" s="346">
        <f t="shared" si="100"/>
        <v>-17.101657992404029</v>
      </c>
      <c r="AA248" s="345">
        <f t="shared" si="101"/>
        <v>43.314437475911063</v>
      </c>
      <c r="AB248" s="346">
        <f t="shared" si="102"/>
        <v>-91.476620098733875</v>
      </c>
      <c r="AD248">
        <f t="shared" si="106"/>
        <v>0</v>
      </c>
      <c r="AE248">
        <f t="shared" si="109"/>
        <v>0</v>
      </c>
    </row>
    <row r="249" spans="1:31" x14ac:dyDescent="0.25">
      <c r="A249" s="347">
        <v>15136</v>
      </c>
      <c r="B249" s="364">
        <f t="shared" si="103"/>
        <v>15.135999999999999</v>
      </c>
      <c r="C249" s="337">
        <f t="shared" si="84"/>
        <v>6.6383490163167851</v>
      </c>
      <c r="D249" s="338">
        <f t="shared" si="85"/>
        <v>1.419580834862803</v>
      </c>
      <c r="E249" s="338">
        <f t="shared" si="86"/>
        <v>1.0007525042045877</v>
      </c>
      <c r="F249" s="339">
        <f t="shared" si="87"/>
        <v>3.8782280023813683E-2</v>
      </c>
      <c r="G249" s="338">
        <f t="shared" si="88"/>
        <v>1</v>
      </c>
      <c r="H249" s="339">
        <f t="shared" si="89"/>
        <v>0</v>
      </c>
      <c r="I249" s="337">
        <f t="shared" si="90"/>
        <v>34091.052592702814</v>
      </c>
      <c r="J249" s="340">
        <f t="shared" si="91"/>
        <v>1.5707669935850339</v>
      </c>
      <c r="K249" s="348">
        <f t="shared" si="107"/>
        <v>6.4686375205392164</v>
      </c>
      <c r="L249" s="349">
        <f t="shared" si="108"/>
        <v>1.4155817905227932</v>
      </c>
      <c r="M249" s="337">
        <f t="shared" si="92"/>
        <v>1.0103451235393603</v>
      </c>
      <c r="N249" s="340">
        <f t="shared" si="93"/>
        <v>0.14322513166479484</v>
      </c>
      <c r="O249" s="341">
        <f t="shared" si="94"/>
        <v>1.0047712075556199</v>
      </c>
      <c r="P249" s="342">
        <f t="shared" si="95"/>
        <v>0.21764998647724224</v>
      </c>
      <c r="Q249" s="343">
        <f t="shared" si="96"/>
        <v>2.837678944204312</v>
      </c>
      <c r="R249" s="344">
        <f t="shared" si="97"/>
        <v>-108.68200805339546</v>
      </c>
      <c r="S249" s="346">
        <f t="shared" si="98"/>
        <v>71.317991946604536</v>
      </c>
      <c r="U249" s="319">
        <f t="shared" si="104"/>
        <v>1000000000</v>
      </c>
      <c r="V249" s="319">
        <f t="shared" si="105"/>
        <v>229098496</v>
      </c>
      <c r="X249" s="345">
        <f t="shared" si="99"/>
        <v>23.181277503712568</v>
      </c>
      <c r="Y249" s="346">
        <f t="shared" si="100"/>
        <v>-17.097652762482234</v>
      </c>
      <c r="AA249" s="345">
        <f t="shared" si="101"/>
        <v>43.265522729654364</v>
      </c>
      <c r="AB249" s="346">
        <f t="shared" si="102"/>
        <v>-91.584355290913237</v>
      </c>
      <c r="AD249">
        <f t="shared" si="106"/>
        <v>0</v>
      </c>
      <c r="AE249">
        <f t="shared" si="109"/>
        <v>0</v>
      </c>
    </row>
    <row r="250" spans="1:31" x14ac:dyDescent="0.25">
      <c r="A250" s="347">
        <v>15224</v>
      </c>
      <c r="B250" s="364">
        <f t="shared" si="103"/>
        <v>15.224</v>
      </c>
      <c r="C250" s="337">
        <f t="shared" si="84"/>
        <v>6.6760707297042163</v>
      </c>
      <c r="D250" s="338">
        <f t="shared" si="85"/>
        <v>1.4204417618515555</v>
      </c>
      <c r="E250" s="338">
        <f t="shared" si="86"/>
        <v>1.0007612763519085</v>
      </c>
      <c r="F250" s="339">
        <f t="shared" si="87"/>
        <v>3.9007530402051876E-2</v>
      </c>
      <c r="G250" s="338">
        <f t="shared" si="88"/>
        <v>1</v>
      </c>
      <c r="H250" s="339">
        <f t="shared" si="89"/>
        <v>0</v>
      </c>
      <c r="I250" s="337">
        <f t="shared" si="90"/>
        <v>34289.256386676389</v>
      </c>
      <c r="J250" s="340">
        <f t="shared" si="91"/>
        <v>1.5707671631411602</v>
      </c>
      <c r="K250" s="348">
        <f t="shared" si="107"/>
        <v>6.5053496231010373</v>
      </c>
      <c r="L250" s="349">
        <f t="shared" si="108"/>
        <v>1.4164647655316682</v>
      </c>
      <c r="M250" s="337">
        <f t="shared" si="92"/>
        <v>1.0104651405939415</v>
      </c>
      <c r="N250" s="340">
        <f t="shared" si="93"/>
        <v>0.14404639733197874</v>
      </c>
      <c r="O250" s="341">
        <f t="shared" si="94"/>
        <v>1.004828818854324</v>
      </c>
      <c r="P250" s="342">
        <f t="shared" si="95"/>
        <v>0.21892318699133456</v>
      </c>
      <c r="Q250" s="343">
        <f t="shared" si="96"/>
        <v>2.7858118132459699</v>
      </c>
      <c r="R250" s="344">
        <f t="shared" si="97"/>
        <v>-108.78785268638045</v>
      </c>
      <c r="S250" s="346">
        <f t="shared" si="98"/>
        <v>71.212147313619553</v>
      </c>
      <c r="U250" s="319">
        <f t="shared" si="104"/>
        <v>1000000000</v>
      </c>
      <c r="V250" s="319">
        <f t="shared" si="105"/>
        <v>231770176</v>
      </c>
      <c r="X250" s="345">
        <f t="shared" si="99"/>
        <v>23.17904919396593</v>
      </c>
      <c r="Y250" s="346">
        <f t="shared" si="100"/>
        <v>-17.094126792493203</v>
      </c>
      <c r="AA250" s="345">
        <f t="shared" si="101"/>
        <v>43.215883908442663</v>
      </c>
      <c r="AB250" s="346">
        <f t="shared" si="102"/>
        <v>-91.693725893887247</v>
      </c>
      <c r="AD250">
        <f t="shared" si="106"/>
        <v>0</v>
      </c>
      <c r="AE250">
        <f t="shared" si="109"/>
        <v>0</v>
      </c>
    </row>
    <row r="251" spans="1:31" x14ac:dyDescent="0.25">
      <c r="A251" s="347">
        <v>15312</v>
      </c>
      <c r="B251" s="364">
        <f t="shared" si="103"/>
        <v>15.311999999999999</v>
      </c>
      <c r="C251" s="337">
        <f t="shared" si="84"/>
        <v>6.7137973357575431</v>
      </c>
      <c r="D251" s="338">
        <f t="shared" si="85"/>
        <v>1.4212930139116509</v>
      </c>
      <c r="E251" s="338">
        <f t="shared" si="86"/>
        <v>1.000770099274696</v>
      </c>
      <c r="F251" s="339">
        <f t="shared" si="87"/>
        <v>3.9232776820043593E-2</v>
      </c>
      <c r="G251" s="338">
        <f t="shared" si="88"/>
        <v>1</v>
      </c>
      <c r="H251" s="339">
        <f t="shared" si="89"/>
        <v>0</v>
      </c>
      <c r="I251" s="337">
        <f t="shared" si="90"/>
        <v>34487.460180650931</v>
      </c>
      <c r="J251" s="340">
        <f t="shared" si="91"/>
        <v>1.5707673307483654</v>
      </c>
      <c r="K251" s="348">
        <f t="shared" si="107"/>
        <v>6.5420667405994815</v>
      </c>
      <c r="L251" s="349">
        <f t="shared" si="108"/>
        <v>1.4173378298830444</v>
      </c>
      <c r="M251" s="337">
        <f t="shared" si="92"/>
        <v>1.010585839022172</v>
      </c>
      <c r="N251" s="340">
        <f t="shared" si="93"/>
        <v>0.14486746737856479</v>
      </c>
      <c r="O251" s="341">
        <f t="shared" si="94"/>
        <v>1.0048868097381183</v>
      </c>
      <c r="P251" s="342">
        <f t="shared" si="95"/>
        <v>0.22019651767336476</v>
      </c>
      <c r="Q251" s="343">
        <f t="shared" si="96"/>
        <v>2.7342273642979547</v>
      </c>
      <c r="R251" s="344">
        <f t="shared" si="97"/>
        <v>-108.89370719071246</v>
      </c>
      <c r="S251" s="346">
        <f t="shared" si="98"/>
        <v>71.106292809287538</v>
      </c>
      <c r="U251" s="319">
        <f t="shared" si="104"/>
        <v>1000000000</v>
      </c>
      <c r="V251" s="319">
        <f t="shared" si="105"/>
        <v>234457344</v>
      </c>
      <c r="X251" s="345">
        <f t="shared" si="99"/>
        <v>23.176835400606031</v>
      </c>
      <c r="Y251" s="346">
        <f t="shared" si="100"/>
        <v>-17.091157341452096</v>
      </c>
      <c r="AA251" s="345">
        <f t="shared" si="101"/>
        <v>43.16651325285455</v>
      </c>
      <c r="AB251" s="346">
        <f t="shared" si="102"/>
        <v>-91.802549849260345</v>
      </c>
      <c r="AD251">
        <f t="shared" si="106"/>
        <v>0</v>
      </c>
      <c r="AE251">
        <f t="shared" si="109"/>
        <v>0</v>
      </c>
    </row>
    <row r="252" spans="1:31" x14ac:dyDescent="0.25">
      <c r="A252" s="347">
        <v>15400</v>
      </c>
      <c r="B252" s="364">
        <f t="shared" si="103"/>
        <v>15.4</v>
      </c>
      <c r="C252" s="337">
        <f t="shared" si="84"/>
        <v>6.7515287524581531</v>
      </c>
      <c r="D252" s="338">
        <f t="shared" si="85"/>
        <v>1.4221347520061052</v>
      </c>
      <c r="E252" s="338">
        <f t="shared" si="86"/>
        <v>1.0007789729716072</v>
      </c>
      <c r="F252" s="339">
        <f t="shared" si="87"/>
        <v>3.9458019255037675E-2</v>
      </c>
      <c r="G252" s="338">
        <f t="shared" si="88"/>
        <v>1</v>
      </c>
      <c r="H252" s="339">
        <f t="shared" si="89"/>
        <v>0</v>
      </c>
      <c r="I252" s="337">
        <f t="shared" si="90"/>
        <v>34685.663974626441</v>
      </c>
      <c r="J252" s="340">
        <f t="shared" si="91"/>
        <v>1.5707674964400598</v>
      </c>
      <c r="K252" s="348">
        <f t="shared" si="107"/>
        <v>6.5787887890674179</v>
      </c>
      <c r="L252" s="349">
        <f t="shared" si="108"/>
        <v>1.4182011481951609</v>
      </c>
      <c r="M252" s="337">
        <f t="shared" si="92"/>
        <v>1.0107072185799437</v>
      </c>
      <c r="N252" s="340">
        <f t="shared" si="93"/>
        <v>0.14568834076777643</v>
      </c>
      <c r="O252" s="341">
        <f t="shared" si="94"/>
        <v>1.0049451809898806</v>
      </c>
      <c r="P252" s="342">
        <f t="shared" si="95"/>
        <v>0.22146997912079752</v>
      </c>
      <c r="Q252" s="343">
        <f t="shared" si="96"/>
        <v>2.6829222468755964</v>
      </c>
      <c r="R252" s="344">
        <f t="shared" si="97"/>
        <v>-108.99957133500972</v>
      </c>
      <c r="S252" s="346">
        <f t="shared" si="98"/>
        <v>71.000428664990281</v>
      </c>
      <c r="U252" s="319">
        <f t="shared" si="104"/>
        <v>1000000000</v>
      </c>
      <c r="V252" s="319">
        <f t="shared" si="105"/>
        <v>237160000</v>
      </c>
      <c r="X252" s="345">
        <f t="shared" si="99"/>
        <v>23.174635675171032</v>
      </c>
      <c r="Y252" s="346">
        <f t="shared" si="100"/>
        <v>-17.08873491993991</v>
      </c>
      <c r="AA252" s="345">
        <f t="shared" si="101"/>
        <v>43.117407860867189</v>
      </c>
      <c r="AB252" s="346">
        <f t="shared" si="102"/>
        <v>-91.910836415069795</v>
      </c>
      <c r="AD252">
        <f t="shared" si="106"/>
        <v>0</v>
      </c>
      <c r="AE252">
        <f t="shared" si="109"/>
        <v>0</v>
      </c>
    </row>
    <row r="253" spans="1:31" x14ac:dyDescent="0.25">
      <c r="A253" s="347">
        <v>15488</v>
      </c>
      <c r="B253" s="364">
        <f t="shared" si="103"/>
        <v>15.488</v>
      </c>
      <c r="C253" s="337">
        <f t="shared" si="84"/>
        <v>6.7892648996003633</v>
      </c>
      <c r="D253" s="338">
        <f t="shared" si="85"/>
        <v>1.4229671335738847</v>
      </c>
      <c r="E253" s="338">
        <f t="shared" si="86"/>
        <v>1.0007878974412918</v>
      </c>
      <c r="F253" s="339">
        <f t="shared" si="87"/>
        <v>3.968325768428544E-2</v>
      </c>
      <c r="G253" s="338">
        <f t="shared" si="88"/>
        <v>1</v>
      </c>
      <c r="H253" s="339">
        <f t="shared" si="89"/>
        <v>0</v>
      </c>
      <c r="I253" s="337">
        <f t="shared" si="90"/>
        <v>34883.867768602882</v>
      </c>
      <c r="J253" s="340">
        <f t="shared" si="91"/>
        <v>1.570767660248894</v>
      </c>
      <c r="K253" s="348">
        <f t="shared" si="107"/>
        <v>6.6155156863909284</v>
      </c>
      <c r="L253" s="349">
        <f t="shared" si="108"/>
        <v>1.4190548814895092</v>
      </c>
      <c r="M253" s="337">
        <f t="shared" si="92"/>
        <v>1.010829279021888</v>
      </c>
      <c r="N253" s="340">
        <f t="shared" si="93"/>
        <v>0.14650901646439385</v>
      </c>
      <c r="O253" s="341">
        <f t="shared" si="94"/>
        <v>1.0050039333967673</v>
      </c>
      <c r="P253" s="342">
        <f t="shared" si="95"/>
        <v>0.22274357192843369</v>
      </c>
      <c r="Q253" s="343">
        <f t="shared" si="96"/>
        <v>2.6318931679413078</v>
      </c>
      <c r="R253" s="344">
        <f t="shared" si="97"/>
        <v>-109.10544489194872</v>
      </c>
      <c r="S253" s="346">
        <f t="shared" si="98"/>
        <v>70.894555108051279</v>
      </c>
      <c r="U253" s="319">
        <f t="shared" si="104"/>
        <v>1000000000</v>
      </c>
      <c r="V253" s="319">
        <f t="shared" si="105"/>
        <v>239878144</v>
      </c>
      <c r="X253" s="345">
        <f t="shared" si="99"/>
        <v>23.172449581748079</v>
      </c>
      <c r="Y253" s="346">
        <f t="shared" si="100"/>
        <v>-17.086850244661782</v>
      </c>
      <c r="AA253" s="345">
        <f t="shared" si="101"/>
        <v>43.068564875355861</v>
      </c>
      <c r="AB253" s="346">
        <f t="shared" si="102"/>
        <v>-92.018594647286903</v>
      </c>
      <c r="AD253">
        <f t="shared" si="106"/>
        <v>0</v>
      </c>
      <c r="AE253">
        <f t="shared" si="109"/>
        <v>0</v>
      </c>
    </row>
    <row r="254" spans="1:31" x14ac:dyDescent="0.25">
      <c r="A254" s="347">
        <v>15578.25</v>
      </c>
      <c r="B254" s="364">
        <f t="shared" si="103"/>
        <v>15.578250000000001</v>
      </c>
      <c r="C254" s="337">
        <f t="shared" si="84"/>
        <v>6.827970722665615</v>
      </c>
      <c r="D254" s="338">
        <f t="shared" si="85"/>
        <v>1.4238112405038297</v>
      </c>
      <c r="E254" s="338">
        <f t="shared" si="86"/>
        <v>1.0007971028286373</v>
      </c>
      <c r="F254" s="339">
        <f t="shared" si="87"/>
        <v>3.9914250866132067E-2</v>
      </c>
      <c r="G254" s="338">
        <f t="shared" si="88"/>
        <v>1</v>
      </c>
      <c r="H254" s="339">
        <f t="shared" si="89"/>
        <v>0</v>
      </c>
      <c r="I254" s="337">
        <f t="shared" si="90"/>
        <v>35087.139273221728</v>
      </c>
      <c r="J254" s="340">
        <f t="shared" si="91"/>
        <v>1.5707678263237597</v>
      </c>
      <c r="K254" s="348">
        <f t="shared" si="107"/>
        <v>6.6531865759912003</v>
      </c>
      <c r="L254" s="349">
        <f t="shared" si="108"/>
        <v>1.4199206524199115</v>
      </c>
      <c r="M254" s="337">
        <f t="shared" si="92"/>
        <v>1.0109551672892338</v>
      </c>
      <c r="N254" s="340">
        <f t="shared" si="93"/>
        <v>0.14735046892448578</v>
      </c>
      <c r="O254" s="341">
        <f t="shared" si="94"/>
        <v>1.005064584722827</v>
      </c>
      <c r="P254" s="342">
        <f t="shared" si="95"/>
        <v>0.22404986524988968</v>
      </c>
      <c r="Q254" s="343">
        <f t="shared" si="96"/>
        <v>2.5798426932739096</v>
      </c>
      <c r="R254" s="344">
        <f t="shared" si="97"/>
        <v>-109.21403498600169</v>
      </c>
      <c r="S254" s="346">
        <f t="shared" si="98"/>
        <v>70.785965013998307</v>
      </c>
      <c r="U254" s="319">
        <f t="shared" si="104"/>
        <v>1000000000</v>
      </c>
      <c r="V254" s="319">
        <f t="shared" si="105"/>
        <v>242681873.0625</v>
      </c>
      <c r="X254" s="345">
        <f t="shared" si="99"/>
        <v>23.170221309337727</v>
      </c>
      <c r="Y254" s="346">
        <f t="shared" si="100"/>
        <v>-17.085466414336086</v>
      </c>
      <c r="AA254" s="345">
        <f t="shared" si="101"/>
        <v>43.018742673098807</v>
      </c>
      <c r="AB254" s="346">
        <f t="shared" si="102"/>
        <v>-92.12856857166561</v>
      </c>
      <c r="AD254">
        <f t="shared" si="106"/>
        <v>0</v>
      </c>
      <c r="AE254">
        <f t="shared" si="109"/>
        <v>0</v>
      </c>
    </row>
    <row r="255" spans="1:31" x14ac:dyDescent="0.25">
      <c r="A255" s="347">
        <v>15668.5</v>
      </c>
      <c r="B255" s="364">
        <f t="shared" si="103"/>
        <v>15.6685</v>
      </c>
      <c r="C255" s="337">
        <f t="shared" si="84"/>
        <v>6.8666813559245918</v>
      </c>
      <c r="D255" s="338">
        <f t="shared" si="85"/>
        <v>1.4246458307867735</v>
      </c>
      <c r="E255" s="338">
        <f t="shared" si="86"/>
        <v>1.0008063616153804</v>
      </c>
      <c r="F255" s="339">
        <f t="shared" si="87"/>
        <v>4.0145239786316733E-2</v>
      </c>
      <c r="G255" s="338">
        <f t="shared" si="88"/>
        <v>1</v>
      </c>
      <c r="H255" s="339">
        <f t="shared" si="89"/>
        <v>0</v>
      </c>
      <c r="I255" s="337">
        <f t="shared" si="90"/>
        <v>35290.410777841542</v>
      </c>
      <c r="J255" s="340">
        <f t="shared" si="91"/>
        <v>1.5707679904854548</v>
      </c>
      <c r="K255" s="348">
        <f t="shared" si="107"/>
        <v>6.6908623963920713</v>
      </c>
      <c r="L255" s="349">
        <f t="shared" si="108"/>
        <v>1.4207766737839083</v>
      </c>
      <c r="M255" s="337">
        <f t="shared" si="92"/>
        <v>1.0110817711770015</v>
      </c>
      <c r="N255" s="340">
        <f t="shared" si="93"/>
        <v>0.14819171125301245</v>
      </c>
      <c r="O255" s="341">
        <f t="shared" si="94"/>
        <v>1.0051256386348726</v>
      </c>
      <c r="P255" s="342">
        <f t="shared" si="95"/>
        <v>0.22535629799325252</v>
      </c>
      <c r="Q255" s="343">
        <f t="shared" si="96"/>
        <v>2.5280757172054793</v>
      </c>
      <c r="R255" s="344">
        <f t="shared" si="97"/>
        <v>-109.32263450854717</v>
      </c>
      <c r="S255" s="346">
        <f t="shared" si="98"/>
        <v>70.677365491452832</v>
      </c>
      <c r="U255" s="319">
        <f t="shared" si="104"/>
        <v>1000000000</v>
      </c>
      <c r="V255" s="319">
        <f t="shared" si="105"/>
        <v>245501892.25</v>
      </c>
      <c r="X255" s="345">
        <f t="shared" si="99"/>
        <v>23.168006484972629</v>
      </c>
      <c r="Y255" s="346">
        <f t="shared" si="100"/>
        <v>-17.084629043749707</v>
      </c>
      <c r="AA255" s="345">
        <f t="shared" si="101"/>
        <v>42.969190521395475</v>
      </c>
      <c r="AB255" s="346">
        <f t="shared" si="102"/>
        <v>-92.238005464797496</v>
      </c>
      <c r="AD255">
        <f t="shared" si="106"/>
        <v>0</v>
      </c>
      <c r="AE255">
        <f t="shared" si="109"/>
        <v>0</v>
      </c>
    </row>
    <row r="256" spans="1:31" x14ac:dyDescent="0.25">
      <c r="A256" s="347">
        <v>15758.75</v>
      </c>
      <c r="B256" s="364">
        <f t="shared" si="103"/>
        <v>15.758749999999999</v>
      </c>
      <c r="C256" s="337">
        <f t="shared" si="84"/>
        <v>6.9053967184815903</v>
      </c>
      <c r="D256" s="338">
        <f t="shared" si="85"/>
        <v>1.4254710633164787</v>
      </c>
      <c r="E256" s="338">
        <f t="shared" si="86"/>
        <v>1.0008156738000393</v>
      </c>
      <c r="F256" s="339">
        <f t="shared" si="87"/>
        <v>4.0376224420308839E-2</v>
      </c>
      <c r="G256" s="338">
        <f t="shared" si="88"/>
        <v>1</v>
      </c>
      <c r="H256" s="339">
        <f t="shared" si="89"/>
        <v>0</v>
      </c>
      <c r="I256" s="337">
        <f t="shared" si="90"/>
        <v>35493.68228246228</v>
      </c>
      <c r="J256" s="340">
        <f t="shared" si="91"/>
        <v>1.5707681527668491</v>
      </c>
      <c r="K256" s="348">
        <f t="shared" si="107"/>
        <v>6.7285430647649287</v>
      </c>
      <c r="L256" s="349">
        <f t="shared" si="108"/>
        <v>1.4216231081126169</v>
      </c>
      <c r="M256" s="337">
        <f t="shared" si="92"/>
        <v>1.0112090904164033</v>
      </c>
      <c r="N256" s="340">
        <f t="shared" si="93"/>
        <v>0.14903274233844888</v>
      </c>
      <c r="O256" s="341">
        <f t="shared" si="94"/>
        <v>1.0051870959959868</v>
      </c>
      <c r="P256" s="342">
        <f t="shared" si="95"/>
        <v>0.22666287079129557</v>
      </c>
      <c r="Q256" s="343">
        <f t="shared" si="96"/>
        <v>2.4765888673744358</v>
      </c>
      <c r="R256" s="344">
        <f t="shared" si="97"/>
        <v>-109.43124322703848</v>
      </c>
      <c r="S256" s="346">
        <f t="shared" si="98"/>
        <v>70.568756772961521</v>
      </c>
      <c r="U256" s="319">
        <f t="shared" si="104"/>
        <v>1000000000</v>
      </c>
      <c r="V256" s="319">
        <f t="shared" si="105"/>
        <v>248338201.5625</v>
      </c>
      <c r="X256" s="345">
        <f t="shared" si="99"/>
        <v>23.165804676907985</v>
      </c>
      <c r="Y256" s="346">
        <f t="shared" si="100"/>
        <v>-17.084328758753177</v>
      </c>
      <c r="AA256" s="345">
        <f t="shared" si="101"/>
        <v>42.919905479629072</v>
      </c>
      <c r="AB256" s="346">
        <f t="shared" si="102"/>
        <v>-92.346914468285306</v>
      </c>
      <c r="AD256">
        <f t="shared" si="106"/>
        <v>0</v>
      </c>
      <c r="AE256">
        <f t="shared" si="109"/>
        <v>0</v>
      </c>
    </row>
    <row r="257" spans="1:31" x14ac:dyDescent="0.25">
      <c r="A257" s="347">
        <v>15849</v>
      </c>
      <c r="B257" s="364">
        <f t="shared" si="103"/>
        <v>15.849</v>
      </c>
      <c r="C257" s="337">
        <f t="shared" si="84"/>
        <v>6.9441167312351926</v>
      </c>
      <c r="D257" s="338">
        <f t="shared" si="85"/>
        <v>1.4262870934944096</v>
      </c>
      <c r="E257" s="338">
        <f t="shared" si="86"/>
        <v>1.0008250393811233</v>
      </c>
      <c r="F257" s="339">
        <f t="shared" si="87"/>
        <v>4.060720474358049E-2</v>
      </c>
      <c r="G257" s="338">
        <f t="shared" si="88"/>
        <v>1</v>
      </c>
      <c r="H257" s="339">
        <f t="shared" si="89"/>
        <v>0</v>
      </c>
      <c r="I257" s="337">
        <f t="shared" si="90"/>
        <v>35696.953787083963</v>
      </c>
      <c r="J257" s="340">
        <f t="shared" si="91"/>
        <v>1.5707683132000645</v>
      </c>
      <c r="K257" s="348">
        <f t="shared" si="107"/>
        <v>6.7662285001156919</v>
      </c>
      <c r="L257" s="349">
        <f t="shared" si="108"/>
        <v>1.4224601143718489</v>
      </c>
      <c r="M257" s="337">
        <f t="shared" si="92"/>
        <v>1.011337124737268</v>
      </c>
      <c r="N257" s="340">
        <f t="shared" si="93"/>
        <v>0.14987356107102362</v>
      </c>
      <c r="O257" s="341">
        <f t="shared" si="94"/>
        <v>1.0052489576739643</v>
      </c>
      <c r="P257" s="342">
        <f t="shared" si="95"/>
        <v>0.22796958427377947</v>
      </c>
      <c r="Q257" s="343">
        <f t="shared" si="96"/>
        <v>2.4253788293574314</v>
      </c>
      <c r="R257" s="344">
        <f t="shared" si="97"/>
        <v>-109.53986091299664</v>
      </c>
      <c r="S257" s="346">
        <f t="shared" si="98"/>
        <v>70.460139087003355</v>
      </c>
      <c r="U257" s="319">
        <f t="shared" si="104"/>
        <v>1000000000</v>
      </c>
      <c r="V257" s="319">
        <f t="shared" si="105"/>
        <v>251190801</v>
      </c>
      <c r="X257" s="345">
        <f t="shared" si="99"/>
        <v>23.163615465537816</v>
      </c>
      <c r="Y257" s="346">
        <f t="shared" si="100"/>
        <v>-17.084556389531606</v>
      </c>
      <c r="AA257" s="345">
        <f t="shared" si="101"/>
        <v>42.870884652982248</v>
      </c>
      <c r="AB257" s="346">
        <f t="shared" si="102"/>
        <v>-92.455304523465031</v>
      </c>
      <c r="AD257">
        <f t="shared" si="106"/>
        <v>0</v>
      </c>
      <c r="AE257">
        <f t="shared" si="109"/>
        <v>0</v>
      </c>
    </row>
    <row r="258" spans="1:31" x14ac:dyDescent="0.25">
      <c r="A258" s="347">
        <v>15941.25</v>
      </c>
      <c r="B258" s="364">
        <f t="shared" si="103"/>
        <v>15.94125</v>
      </c>
      <c r="C258" s="337">
        <f t="shared" si="84"/>
        <v>6.98369953060143</v>
      </c>
      <c r="D258" s="338">
        <f t="shared" si="85"/>
        <v>1.4271118551720952</v>
      </c>
      <c r="E258" s="338">
        <f t="shared" si="86"/>
        <v>1.0008346676926367</v>
      </c>
      <c r="F258" s="339">
        <f t="shared" si="87"/>
        <v>4.0843299263770991E-2</v>
      </c>
      <c r="G258" s="338">
        <f t="shared" si="88"/>
        <v>1</v>
      </c>
      <c r="H258" s="339">
        <f t="shared" si="89"/>
        <v>0</v>
      </c>
      <c r="I258" s="337">
        <f t="shared" si="90"/>
        <v>35904.729923387931</v>
      </c>
      <c r="J258" s="340">
        <f t="shared" si="91"/>
        <v>1.570768475311199</v>
      </c>
      <c r="K258" s="348">
        <f t="shared" si="107"/>
        <v>6.8047539139184945</v>
      </c>
      <c r="L258" s="349">
        <f t="shared" si="108"/>
        <v>1.4233060873348595</v>
      </c>
      <c r="M258" s="337">
        <f t="shared" si="92"/>
        <v>1.0114687351281475</v>
      </c>
      <c r="N258" s="340">
        <f t="shared" si="93"/>
        <v>0.15073279228831779</v>
      </c>
      <c r="O258" s="341">
        <f t="shared" si="94"/>
        <v>1.0053126090122999</v>
      </c>
      <c r="P258" s="342">
        <f t="shared" si="95"/>
        <v>0.22930540144372616</v>
      </c>
      <c r="Q258" s="343">
        <f t="shared" si="96"/>
        <v>2.3733166326879069</v>
      </c>
      <c r="R258" s="344">
        <f t="shared" si="97"/>
        <v>-109.65089467312301</v>
      </c>
      <c r="S258" s="346">
        <f t="shared" si="98"/>
        <v>70.349105326876995</v>
      </c>
      <c r="U258" s="319">
        <f t="shared" si="104"/>
        <v>1000000000</v>
      </c>
      <c r="V258" s="319">
        <f t="shared" si="105"/>
        <v>254123451.5625</v>
      </c>
      <c r="X258" s="345">
        <f t="shared" si="99"/>
        <v>23.161390333729265</v>
      </c>
      <c r="Y258" s="346">
        <f t="shared" si="100"/>
        <v>-17.085325319830464</v>
      </c>
      <c r="AA258" s="345">
        <f t="shared" si="101"/>
        <v>42.82104758812126</v>
      </c>
      <c r="AB258" s="346">
        <f t="shared" si="102"/>
        <v>-92.565569353292517</v>
      </c>
      <c r="AD258">
        <f t="shared" si="106"/>
        <v>0</v>
      </c>
      <c r="AE258">
        <f t="shared" si="109"/>
        <v>0</v>
      </c>
    </row>
    <row r="259" spans="1:31" x14ac:dyDescent="0.25">
      <c r="A259" s="347">
        <v>16033.5</v>
      </c>
      <c r="B259" s="364">
        <f t="shared" si="103"/>
        <v>16.0335</v>
      </c>
      <c r="C259" s="337">
        <f t="shared" si="84"/>
        <v>7.0232870269530476</v>
      </c>
      <c r="D259" s="338">
        <f t="shared" si="85"/>
        <v>1.427927319687323</v>
      </c>
      <c r="E259" s="338">
        <f t="shared" si="86"/>
        <v>1.0008443517902226</v>
      </c>
      <c r="F259" s="339">
        <f t="shared" si="87"/>
        <v>4.1079389228254062E-2</v>
      </c>
      <c r="G259" s="338">
        <f t="shared" si="88"/>
        <v>1</v>
      </c>
      <c r="H259" s="339">
        <f t="shared" si="89"/>
        <v>0</v>
      </c>
      <c r="I259" s="337">
        <f t="shared" si="90"/>
        <v>36112.506059692838</v>
      </c>
      <c r="J259" s="340">
        <f t="shared" si="91"/>
        <v>1.5707686355568953</v>
      </c>
      <c r="K259" s="348">
        <f t="shared" si="107"/>
        <v>6.8432841428467297</v>
      </c>
      <c r="L259" s="349">
        <f t="shared" si="108"/>
        <v>1.4241425346075252</v>
      </c>
      <c r="M259" s="337">
        <f t="shared" si="92"/>
        <v>1.0116010920698035</v>
      </c>
      <c r="N259" s="340">
        <f t="shared" si="93"/>
        <v>0.15159179929764108</v>
      </c>
      <c r="O259" s="341">
        <f t="shared" si="94"/>
        <v>1.0053766846344219</v>
      </c>
      <c r="P259" s="342">
        <f t="shared" si="95"/>
        <v>0.2306413669233669</v>
      </c>
      <c r="Q259" s="343">
        <f t="shared" si="96"/>
        <v>2.3215368293651868</v>
      </c>
      <c r="R259" s="344">
        <f t="shared" si="97"/>
        <v>-109.76193733242292</v>
      </c>
      <c r="S259" s="346">
        <f t="shared" si="98"/>
        <v>70.238062667577083</v>
      </c>
      <c r="U259" s="319">
        <f t="shared" si="104"/>
        <v>1000000000</v>
      </c>
      <c r="V259" s="319">
        <f t="shared" si="105"/>
        <v>257073122.25</v>
      </c>
      <c r="X259" s="345">
        <f t="shared" si="99"/>
        <v>23.159177513669988</v>
      </c>
      <c r="Y259" s="346">
        <f t="shared" si="100"/>
        <v>-17.086627078931443</v>
      </c>
      <c r="AA259" s="345">
        <f t="shared" si="101"/>
        <v>42.771480604857828</v>
      </c>
      <c r="AB259" s="346">
        <f t="shared" si="102"/>
        <v>-92.67531025349146</v>
      </c>
      <c r="AD259">
        <f t="shared" si="106"/>
        <v>0</v>
      </c>
      <c r="AE259">
        <f t="shared" si="109"/>
        <v>0</v>
      </c>
    </row>
    <row r="260" spans="1:31" x14ac:dyDescent="0.25">
      <c r="A260" s="347">
        <v>16125.75</v>
      </c>
      <c r="B260" s="364">
        <f t="shared" si="103"/>
        <v>16.12575</v>
      </c>
      <c r="C260" s="337">
        <f t="shared" si="84"/>
        <v>7.0628791413101206</v>
      </c>
      <c r="D260" s="338">
        <f t="shared" si="85"/>
        <v>1.4287336422965884</v>
      </c>
      <c r="E260" s="338">
        <f t="shared" si="86"/>
        <v>1.0008540916722612</v>
      </c>
      <c r="F260" s="339">
        <f t="shared" si="87"/>
        <v>4.1315474610843748E-2</v>
      </c>
      <c r="G260" s="338">
        <f t="shared" si="88"/>
        <v>1</v>
      </c>
      <c r="H260" s="339">
        <f t="shared" si="89"/>
        <v>0</v>
      </c>
      <c r="I260" s="337">
        <f t="shared" si="90"/>
        <v>36320.282195998669</v>
      </c>
      <c r="J260" s="340">
        <f t="shared" si="91"/>
        <v>1.5707687939691677</v>
      </c>
      <c r="K260" s="348">
        <f t="shared" si="107"/>
        <v>6.8818191060229967</v>
      </c>
      <c r="L260" s="349">
        <f t="shared" si="108"/>
        <v>1.4249696150276856</v>
      </c>
      <c r="M260" s="337">
        <f t="shared" si="92"/>
        <v>1.0117341952692405</v>
      </c>
      <c r="N260" s="340">
        <f t="shared" si="93"/>
        <v>0.15245058091952657</v>
      </c>
      <c r="O260" s="341">
        <f t="shared" si="94"/>
        <v>1.0054411854823406</v>
      </c>
      <c r="P260" s="342">
        <f t="shared" si="95"/>
        <v>0.23197748137539567</v>
      </c>
      <c r="Q260" s="343">
        <f t="shared" si="96"/>
        <v>2.2700360589053741</v>
      </c>
      <c r="R260" s="344">
        <f t="shared" si="97"/>
        <v>-109.87298865942623</v>
      </c>
      <c r="S260" s="346">
        <f t="shared" si="98"/>
        <v>70.127011340573773</v>
      </c>
      <c r="U260" s="319">
        <f t="shared" si="104"/>
        <v>1000000000</v>
      </c>
      <c r="V260" s="319">
        <f t="shared" si="105"/>
        <v>260039813.0625</v>
      </c>
      <c r="X260" s="345">
        <f t="shared" si="99"/>
        <v>23.156976594008263</v>
      </c>
      <c r="Y260" s="346">
        <f t="shared" si="100"/>
        <v>-17.088452500352499</v>
      </c>
      <c r="AA260" s="345">
        <f t="shared" si="101"/>
        <v>42.722180754059735</v>
      </c>
      <c r="AB260" s="346">
        <f t="shared" si="102"/>
        <v>-92.78453615907371</v>
      </c>
      <c r="AD260">
        <f t="shared" si="106"/>
        <v>0</v>
      </c>
      <c r="AE260">
        <f t="shared" si="109"/>
        <v>0</v>
      </c>
    </row>
    <row r="261" spans="1:31" x14ac:dyDescent="0.25">
      <c r="A261" s="347">
        <v>16218</v>
      </c>
      <c r="B261" s="364">
        <f t="shared" si="103"/>
        <v>16.218</v>
      </c>
      <c r="C261" s="337">
        <f t="shared" si="84"/>
        <v>7.1024757964446774</v>
      </c>
      <c r="D261" s="338">
        <f t="shared" si="85"/>
        <v>1.4295309748422931</v>
      </c>
      <c r="E261" s="338">
        <f t="shared" si="86"/>
        <v>1.0008638873371241</v>
      </c>
      <c r="F261" s="339">
        <f t="shared" si="87"/>
        <v>4.1551555385357146E-2</v>
      </c>
      <c r="G261" s="338">
        <f t="shared" si="88"/>
        <v>1</v>
      </c>
      <c r="H261" s="339">
        <f t="shared" si="89"/>
        <v>0</v>
      </c>
      <c r="I261" s="337">
        <f t="shared" si="90"/>
        <v>36528.058332305394</v>
      </c>
      <c r="J261" s="340">
        <f t="shared" si="91"/>
        <v>1.570768950579303</v>
      </c>
      <c r="K261" s="348">
        <f t="shared" si="107"/>
        <v>6.9203587243614777</v>
      </c>
      <c r="L261" s="349">
        <f t="shared" si="108"/>
        <v>1.4257874839468103</v>
      </c>
      <c r="M261" s="337">
        <f t="shared" si="92"/>
        <v>1.0118680444319659</v>
      </c>
      <c r="N261" s="340">
        <f t="shared" si="93"/>
        <v>0.15330913597645615</v>
      </c>
      <c r="O261" s="341">
        <f t="shared" si="94"/>
        <v>1.0055061125031906</v>
      </c>
      <c r="P261" s="342">
        <f t="shared" si="95"/>
        <v>0.2333137454591438</v>
      </c>
      <c r="Q261" s="343">
        <f t="shared" si="96"/>
        <v>2.218811018483053</v>
      </c>
      <c r="R261" s="344">
        <f t="shared" si="97"/>
        <v>-109.984048426681</v>
      </c>
      <c r="S261" s="346">
        <f t="shared" si="98"/>
        <v>70.015951573319001</v>
      </c>
      <c r="U261" s="319">
        <f t="shared" si="104"/>
        <v>1000000000</v>
      </c>
      <c r="V261" s="319">
        <f t="shared" si="105"/>
        <v>263023524</v>
      </c>
      <c r="X261" s="345">
        <f t="shared" si="99"/>
        <v>23.154787174976747</v>
      </c>
      <c r="Y261" s="346">
        <f t="shared" si="100"/>
        <v>-17.090792617435874</v>
      </c>
      <c r="AA261" s="345">
        <f t="shared" si="101"/>
        <v>42.673145132668928</v>
      </c>
      <c r="AB261" s="346">
        <f t="shared" si="102"/>
        <v>-92.893255809245133</v>
      </c>
      <c r="AD261">
        <f t="shared" si="106"/>
        <v>0</v>
      </c>
      <c r="AE261">
        <f t="shared" si="109"/>
        <v>0</v>
      </c>
    </row>
    <row r="262" spans="1:31" x14ac:dyDescent="0.25">
      <c r="A262" s="347">
        <v>16312.5</v>
      </c>
      <c r="B262" s="364">
        <f t="shared" si="103"/>
        <v>16.3125</v>
      </c>
      <c r="C262" s="337">
        <f t="shared" si="84"/>
        <v>7.143042852974129</v>
      </c>
      <c r="D262" s="338">
        <f t="shared" si="85"/>
        <v>1.4303385881110839</v>
      </c>
      <c r="E262" s="338">
        <f t="shared" si="86"/>
        <v>1.0008739797591812</v>
      </c>
      <c r="F262" s="339">
        <f t="shared" si="87"/>
        <v>4.1793389422140434E-2</v>
      </c>
      <c r="G262" s="338">
        <f t="shared" si="88"/>
        <v>1</v>
      </c>
      <c r="H262" s="339">
        <f t="shared" si="89"/>
        <v>0</v>
      </c>
      <c r="I262" s="337">
        <f t="shared" si="90"/>
        <v>36740.90217925467</v>
      </c>
      <c r="J262" s="340">
        <f t="shared" si="91"/>
        <v>1.5707691091725517</v>
      </c>
      <c r="K262" s="348">
        <f t="shared" si="107"/>
        <v>6.9598430794117334</v>
      </c>
      <c r="L262" s="349">
        <f t="shared" si="108"/>
        <v>1.426615908465376</v>
      </c>
      <c r="M262" s="337">
        <f t="shared" si="92"/>
        <v>1.0120059313755165</v>
      </c>
      <c r="N262" s="340">
        <f t="shared" si="93"/>
        <v>0.15418839525050401</v>
      </c>
      <c r="O262" s="341">
        <f t="shared" si="94"/>
        <v>1.0055730659967326</v>
      </c>
      <c r="P262" s="342">
        <f t="shared" si="95"/>
        <v>0.23468275718602136</v>
      </c>
      <c r="Q262" s="343">
        <f t="shared" si="96"/>
        <v>2.1666190933313505</v>
      </c>
      <c r="R262" s="344">
        <f t="shared" si="97"/>
        <v>-110.0978254866607</v>
      </c>
      <c r="S262" s="346">
        <f t="shared" si="98"/>
        <v>69.902174513339304</v>
      </c>
      <c r="U262" s="319">
        <f t="shared" si="104"/>
        <v>1000000000</v>
      </c>
      <c r="V262" s="319">
        <f t="shared" si="105"/>
        <v>266097656.25</v>
      </c>
      <c r="X262" s="345">
        <f t="shared" si="99"/>
        <v>23.152555874184578</v>
      </c>
      <c r="Y262" s="346">
        <f t="shared" si="100"/>
        <v>-17.093714321104731</v>
      </c>
      <c r="AA262" s="345">
        <f t="shared" si="101"/>
        <v>42.6231845083094</v>
      </c>
      <c r="AB262" s="346">
        <f t="shared" si="102"/>
        <v>-93.004111165555983</v>
      </c>
      <c r="AD262">
        <f t="shared" si="106"/>
        <v>0</v>
      </c>
      <c r="AE262">
        <f t="shared" si="109"/>
        <v>0</v>
      </c>
    </row>
    <row r="263" spans="1:31" x14ac:dyDescent="0.25">
      <c r="A263" s="347">
        <v>16407</v>
      </c>
      <c r="B263" s="364">
        <f t="shared" si="103"/>
        <v>16.407</v>
      </c>
      <c r="C263" s="337">
        <f t="shared" si="84"/>
        <v>7.1836145158543454</v>
      </c>
      <c r="D263" s="338">
        <f t="shared" si="85"/>
        <v>1.4311370794092748</v>
      </c>
      <c r="E263" s="338">
        <f t="shared" si="86"/>
        <v>1.0008841307148713</v>
      </c>
      <c r="F263" s="339">
        <f t="shared" si="87"/>
        <v>4.2035218567710343E-2</v>
      </c>
      <c r="G263" s="338">
        <f t="shared" si="88"/>
        <v>1</v>
      </c>
      <c r="H263" s="339">
        <f t="shared" si="89"/>
        <v>0</v>
      </c>
      <c r="I263" s="337">
        <f t="shared" si="90"/>
        <v>36953.746026204855</v>
      </c>
      <c r="J263" s="340">
        <f t="shared" si="91"/>
        <v>1.5707692659388899</v>
      </c>
      <c r="K263" s="348">
        <f t="shared" si="107"/>
        <v>6.9993321570217377</v>
      </c>
      <c r="L263" s="349">
        <f t="shared" si="108"/>
        <v>1.4274349858717919</v>
      </c>
      <c r="M263" s="337">
        <f t="shared" si="92"/>
        <v>1.0121446004841628</v>
      </c>
      <c r="N263" s="340">
        <f t="shared" si="93"/>
        <v>0.15506741427771734</v>
      </c>
      <c r="O263" s="341">
        <f t="shared" si="94"/>
        <v>1.0056404687341463</v>
      </c>
      <c r="P263" s="342">
        <f t="shared" si="95"/>
        <v>0.23605192732249058</v>
      </c>
      <c r="Q263" s="343">
        <f t="shared" si="96"/>
        <v>2.1147096759842983</v>
      </c>
      <c r="R263" s="344">
        <f t="shared" si="97"/>
        <v>-110.21161093294403</v>
      </c>
      <c r="S263" s="346">
        <f t="shared" si="98"/>
        <v>69.788389067055974</v>
      </c>
      <c r="U263" s="319">
        <f t="shared" si="104"/>
        <v>1000000000</v>
      </c>
      <c r="V263" s="319">
        <f t="shared" si="105"/>
        <v>269189649</v>
      </c>
      <c r="X263" s="345">
        <f t="shared" si="99"/>
        <v>23.150335828256551</v>
      </c>
      <c r="Y263" s="346">
        <f t="shared" si="100"/>
        <v>-17.097157705047074</v>
      </c>
      <c r="AA263" s="345">
        <f t="shared" si="101"/>
        <v>42.573495136890372</v>
      </c>
      <c r="AB263" s="346">
        <f t="shared" si="102"/>
        <v>-93.114453227896959</v>
      </c>
      <c r="AD263">
        <f t="shared" si="106"/>
        <v>0</v>
      </c>
      <c r="AE263">
        <f t="shared" si="109"/>
        <v>0</v>
      </c>
    </row>
    <row r="264" spans="1:31" x14ac:dyDescent="0.25">
      <c r="A264" s="347">
        <v>16501.5</v>
      </c>
      <c r="B264" s="364">
        <f t="shared" si="103"/>
        <v>16.5015</v>
      </c>
      <c r="C264" s="337">
        <f t="shared" si="84"/>
        <v>7.2241907074763656</v>
      </c>
      <c r="D264" s="338">
        <f t="shared" si="85"/>
        <v>1.4319266014163923</v>
      </c>
      <c r="E264" s="338">
        <f t="shared" si="86"/>
        <v>1.0008943402024124</v>
      </c>
      <c r="F264" s="339">
        <f t="shared" si="87"/>
        <v>4.227704279393113E-2</v>
      </c>
      <c r="G264" s="338">
        <f t="shared" si="88"/>
        <v>1</v>
      </c>
      <c r="H264" s="339">
        <f t="shared" si="89"/>
        <v>0</v>
      </c>
      <c r="I264" s="337">
        <f t="shared" si="90"/>
        <v>37166.589873155935</v>
      </c>
      <c r="J264" s="340">
        <f t="shared" si="91"/>
        <v>1.5707694209097043</v>
      </c>
      <c r="K264" s="348">
        <f t="shared" si="107"/>
        <v>7.0388258777082644</v>
      </c>
      <c r="L264" s="349">
        <f t="shared" si="108"/>
        <v>1.4282448723931187</v>
      </c>
      <c r="M264" s="337">
        <f t="shared" si="92"/>
        <v>1.0122840514364666</v>
      </c>
      <c r="N264" s="340">
        <f t="shared" si="93"/>
        <v>0.15594619179871708</v>
      </c>
      <c r="O264" s="341">
        <f t="shared" si="94"/>
        <v>1.0057083217502565</v>
      </c>
      <c r="P264" s="342">
        <f t="shared" si="95"/>
        <v>0.23742125656621424</v>
      </c>
      <c r="Q264" s="343">
        <f t="shared" si="96"/>
        <v>2.0630793957168847</v>
      </c>
      <c r="R264" s="344">
        <f t="shared" si="97"/>
        <v>-110.32540453349866</v>
      </c>
      <c r="S264" s="346">
        <f t="shared" si="98"/>
        <v>69.674595466501344</v>
      </c>
      <c r="U264" s="319">
        <f t="shared" si="104"/>
        <v>1000000000</v>
      </c>
      <c r="V264" s="319">
        <f t="shared" si="105"/>
        <v>272299502.25</v>
      </c>
      <c r="X264" s="345">
        <f t="shared" si="99"/>
        <v>23.148126642815832</v>
      </c>
      <c r="Y264" s="346">
        <f t="shared" si="100"/>
        <v>-17.101113747752901</v>
      </c>
      <c r="AA264" s="345">
        <f t="shared" si="101"/>
        <v>42.524074042063674</v>
      </c>
      <c r="AB264" s="346">
        <f t="shared" si="102"/>
        <v>-93.224290785745723</v>
      </c>
      <c r="AD264">
        <f t="shared" si="106"/>
        <v>0</v>
      </c>
      <c r="AE264">
        <f t="shared" si="109"/>
        <v>0</v>
      </c>
    </row>
    <row r="265" spans="1:31" x14ac:dyDescent="0.25">
      <c r="A265" s="347">
        <v>16596</v>
      </c>
      <c r="B265" s="364">
        <f t="shared" si="103"/>
        <v>16.596</v>
      </c>
      <c r="C265" s="337">
        <f t="shared" si="84"/>
        <v>7.2647713519565524</v>
      </c>
      <c r="D265" s="338">
        <f t="shared" si="85"/>
        <v>1.4327073034458231</v>
      </c>
      <c r="E265" s="338">
        <f t="shared" si="86"/>
        <v>1.0009046082200141</v>
      </c>
      <c r="F265" s="339">
        <f t="shared" si="87"/>
        <v>4.2518862072670513E-2</v>
      </c>
      <c r="G265" s="338">
        <f t="shared" si="88"/>
        <v>1</v>
      </c>
      <c r="H265" s="339">
        <f t="shared" si="89"/>
        <v>0</v>
      </c>
      <c r="I265" s="337">
        <f t="shared" si="90"/>
        <v>37379.433720107903</v>
      </c>
      <c r="J265" s="340">
        <f t="shared" si="91"/>
        <v>1.5707695741156664</v>
      </c>
      <c r="K265" s="348">
        <f t="shared" si="107"/>
        <v>7.0783241637527627</v>
      </c>
      <c r="L265" s="349">
        <f t="shared" si="108"/>
        <v>1.4290457208181648</v>
      </c>
      <c r="M265" s="337">
        <f t="shared" si="92"/>
        <v>1.0124242839093553</v>
      </c>
      <c r="N265" s="340">
        <f t="shared" si="93"/>
        <v>0.156824726556308</v>
      </c>
      <c r="O265" s="341">
        <f t="shared" si="94"/>
        <v>1.0057766260855043</v>
      </c>
      <c r="P265" s="342">
        <f t="shared" si="95"/>
        <v>0.23879074561106944</v>
      </c>
      <c r="Q265" s="343">
        <f t="shared" si="96"/>
        <v>2.0117249396871508</v>
      </c>
      <c r="R265" s="344">
        <f t="shared" si="97"/>
        <v>-110.43920606029099</v>
      </c>
      <c r="S265" s="346">
        <f t="shared" si="98"/>
        <v>69.560793939709015</v>
      </c>
      <c r="U265" s="319">
        <f t="shared" si="104"/>
        <v>1000000000</v>
      </c>
      <c r="V265" s="319">
        <f t="shared" si="105"/>
        <v>275427216</v>
      </c>
      <c r="X265" s="345">
        <f t="shared" si="99"/>
        <v>23.145927934636255</v>
      </c>
      <c r="Y265" s="346">
        <f t="shared" si="100"/>
        <v>-17.105573624793696</v>
      </c>
      <c r="AA265" s="345">
        <f t="shared" si="101"/>
        <v>42.474918294213523</v>
      </c>
      <c r="AB265" s="346">
        <f t="shared" si="102"/>
        <v>-93.333632435497307</v>
      </c>
      <c r="AD265">
        <f t="shared" si="106"/>
        <v>0</v>
      </c>
      <c r="AE265">
        <f t="shared" si="109"/>
        <v>0</v>
      </c>
    </row>
    <row r="266" spans="1:31" x14ac:dyDescent="0.25">
      <c r="A266" s="347">
        <v>16692.5</v>
      </c>
      <c r="B266" s="364">
        <f t="shared" si="103"/>
        <v>16.692499999999999</v>
      </c>
      <c r="C266" s="337">
        <f t="shared" si="84"/>
        <v>7.3062153641620284</v>
      </c>
      <c r="D266" s="338">
        <f t="shared" si="85"/>
        <v>1.4334955780705803</v>
      </c>
      <c r="E266" s="338">
        <f t="shared" si="86"/>
        <v>1.0009151539495516</v>
      </c>
      <c r="F266" s="339">
        <f t="shared" si="87"/>
        <v>4.2765794084857818E-2</v>
      </c>
      <c r="G266" s="338">
        <f t="shared" si="88"/>
        <v>1</v>
      </c>
      <c r="H266" s="339">
        <f t="shared" si="89"/>
        <v>0</v>
      </c>
      <c r="I266" s="337">
        <f t="shared" si="90"/>
        <v>37596.782198742287</v>
      </c>
      <c r="J266" s="340">
        <f t="shared" si="91"/>
        <v>1.5707697287739588</v>
      </c>
      <c r="K266" s="348">
        <f t="shared" si="107"/>
        <v>7.118663024695258</v>
      </c>
      <c r="L266" s="349">
        <f t="shared" si="108"/>
        <v>1.4298543466637783</v>
      </c>
      <c r="M266" s="337">
        <f t="shared" si="92"/>
        <v>1.0125682904336011</v>
      </c>
      <c r="N266" s="340">
        <f t="shared" si="93"/>
        <v>0.1577216028133008</v>
      </c>
      <c r="O266" s="341">
        <f t="shared" si="94"/>
        <v>1.0058468428500933</v>
      </c>
      <c r="P266" s="342">
        <f t="shared" si="95"/>
        <v>0.24018938417816121</v>
      </c>
      <c r="Q266" s="343">
        <f t="shared" si="96"/>
        <v>1.959564875415523</v>
      </c>
      <c r="R266" s="344">
        <f t="shared" si="97"/>
        <v>-110.55542403173297</v>
      </c>
      <c r="S266" s="346">
        <f t="shared" si="98"/>
        <v>69.444575968267031</v>
      </c>
      <c r="U266" s="319">
        <f t="shared" si="104"/>
        <v>1000000000</v>
      </c>
      <c r="V266" s="319">
        <f t="shared" si="105"/>
        <v>278639556.25</v>
      </c>
      <c r="X266" s="345">
        <f t="shared" si="99"/>
        <v>23.143693118164833</v>
      </c>
      <c r="Y266" s="346">
        <f t="shared" si="100"/>
        <v>-17.110638862179229</v>
      </c>
      <c r="AA266" s="345">
        <f t="shared" si="101"/>
        <v>42.424993046413313</v>
      </c>
      <c r="AB266" s="346">
        <f t="shared" si="102"/>
        <v>-93.444785169553739</v>
      </c>
      <c r="AD266">
        <f t="shared" si="106"/>
        <v>0</v>
      </c>
      <c r="AE266">
        <f t="shared" si="109"/>
        <v>0</v>
      </c>
    </row>
    <row r="267" spans="1:31" x14ac:dyDescent="0.25">
      <c r="A267" s="347">
        <v>16789</v>
      </c>
      <c r="B267" s="364">
        <f t="shared" si="103"/>
        <v>16.789000000000001</v>
      </c>
      <c r="C267" s="337">
        <f t="shared" si="84"/>
        <v>7.3476638650650443</v>
      </c>
      <c r="D267" s="338">
        <f t="shared" si="85"/>
        <v>1.4342749597901676</v>
      </c>
      <c r="E267" s="338">
        <f t="shared" si="86"/>
        <v>1.0009257607090212</v>
      </c>
      <c r="F267" s="339">
        <f t="shared" si="87"/>
        <v>4.3012720878649331E-2</v>
      </c>
      <c r="G267" s="338">
        <f t="shared" si="88"/>
        <v>1</v>
      </c>
      <c r="H267" s="339">
        <f t="shared" si="89"/>
        <v>0</v>
      </c>
      <c r="I267" s="337">
        <f t="shared" si="90"/>
        <v>37814.130677377558</v>
      </c>
      <c r="J267" s="340">
        <f t="shared" si="91"/>
        <v>1.5707698816543578</v>
      </c>
      <c r="K267" s="348">
        <f t="shared" si="107"/>
        <v>7.1590064879012489</v>
      </c>
      <c r="L267" s="349">
        <f t="shared" si="108"/>
        <v>1.4306538592578979</v>
      </c>
      <c r="M267" s="337">
        <f t="shared" si="92"/>
        <v>1.012713111222614</v>
      </c>
      <c r="N267" s="340">
        <f t="shared" si="93"/>
        <v>0.15861822327975808</v>
      </c>
      <c r="O267" s="341">
        <f t="shared" si="94"/>
        <v>1.0059175324501557</v>
      </c>
      <c r="P267" s="342">
        <f t="shared" si="95"/>
        <v>0.24158819083230607</v>
      </c>
      <c r="Q267" s="343">
        <f t="shared" si="96"/>
        <v>1.9076856307037973</v>
      </c>
      <c r="R267" s="344">
        <f t="shared" si="97"/>
        <v>-110.67164980017621</v>
      </c>
      <c r="S267" s="346">
        <f t="shared" si="98"/>
        <v>69.328350199823788</v>
      </c>
      <c r="U267" s="319">
        <f t="shared" si="104"/>
        <v>1000000000</v>
      </c>
      <c r="V267" s="319">
        <f t="shared" si="105"/>
        <v>281870521</v>
      </c>
      <c r="X267" s="345">
        <f t="shared" si="99"/>
        <v>23.141468453416181</v>
      </c>
      <c r="Y267" s="346">
        <f t="shared" si="100"/>
        <v>-17.116211492829681</v>
      </c>
      <c r="AA267" s="345">
        <f t="shared" si="101"/>
        <v>42.375338466450245</v>
      </c>
      <c r="AB267" s="346">
        <f t="shared" si="102"/>
        <v>-93.555438307346549</v>
      </c>
      <c r="AD267">
        <f t="shared" si="106"/>
        <v>0</v>
      </c>
      <c r="AE267">
        <f t="shared" si="109"/>
        <v>0</v>
      </c>
    </row>
    <row r="268" spans="1:31" x14ac:dyDescent="0.25">
      <c r="A268" s="347">
        <v>16885.5</v>
      </c>
      <c r="B268" s="364">
        <f t="shared" si="103"/>
        <v>16.8855</v>
      </c>
      <c r="C268" s="337">
        <f t="shared" si="84"/>
        <v>7.389116779128921</v>
      </c>
      <c r="D268" s="338">
        <f t="shared" si="85"/>
        <v>1.435045597317161</v>
      </c>
      <c r="E268" s="338">
        <f t="shared" si="86"/>
        <v>1.000936428496483</v>
      </c>
      <c r="F268" s="339">
        <f t="shared" si="87"/>
        <v>4.325964242409977E-2</v>
      </c>
      <c r="G268" s="338">
        <f t="shared" si="88"/>
        <v>1</v>
      </c>
      <c r="H268" s="339">
        <f t="shared" si="89"/>
        <v>0</v>
      </c>
      <c r="I268" s="337">
        <f t="shared" si="90"/>
        <v>38031.479156013702</v>
      </c>
      <c r="J268" s="340">
        <f t="shared" si="91"/>
        <v>1.5707700327873453</v>
      </c>
      <c r="K268" s="348">
        <f t="shared" si="107"/>
        <v>7.1993544760007779</v>
      </c>
      <c r="L268" s="349">
        <f t="shared" si="108"/>
        <v>1.4314444107923436</v>
      </c>
      <c r="M268" s="337">
        <f t="shared" si="92"/>
        <v>1.0128587459271177</v>
      </c>
      <c r="N268" s="340">
        <f t="shared" si="93"/>
        <v>0.15951458662407381</v>
      </c>
      <c r="O268" s="341">
        <f t="shared" si="94"/>
        <v>1.0059886960116864</v>
      </c>
      <c r="P268" s="342">
        <f t="shared" si="95"/>
        <v>0.24298716630001926</v>
      </c>
      <c r="Q268" s="343">
        <f t="shared" si="96"/>
        <v>1.8560838563194679</v>
      </c>
      <c r="R268" s="344">
        <f t="shared" si="97"/>
        <v>-110.78788313506784</v>
      </c>
      <c r="S268" s="346">
        <f t="shared" si="98"/>
        <v>69.212116864932156</v>
      </c>
      <c r="U268" s="319">
        <f t="shared" si="104"/>
        <v>1000000000</v>
      </c>
      <c r="V268" s="319">
        <f t="shared" si="105"/>
        <v>285120110.25</v>
      </c>
      <c r="X268" s="345">
        <f t="shared" si="99"/>
        <v>23.13925356597526</v>
      </c>
      <c r="Y268" s="346">
        <f t="shared" si="100"/>
        <v>-17.122282722247135</v>
      </c>
      <c r="AA268" s="345">
        <f t="shared" si="101"/>
        <v>42.325951579506835</v>
      </c>
      <c r="AB268" s="346">
        <f t="shared" si="102"/>
        <v>-93.66560041282068</v>
      </c>
      <c r="AD268">
        <f t="shared" si="106"/>
        <v>0</v>
      </c>
      <c r="AE268">
        <f t="shared" si="109"/>
        <v>0</v>
      </c>
    </row>
    <row r="269" spans="1:31" x14ac:dyDescent="0.25">
      <c r="A269" s="347">
        <v>16982</v>
      </c>
      <c r="B269" s="364">
        <f t="shared" si="103"/>
        <v>16.981999999999999</v>
      </c>
      <c r="C269" s="337">
        <f t="shared" ref="C269:C332" si="110">SQRT(1+(A269/pole1)^2)</f>
        <v>7.4305740324946088</v>
      </c>
      <c r="D269" s="338">
        <f t="shared" ref="D269:D332" si="111">ATAN(A269/pole1)</f>
        <v>1.4358076360873762</v>
      </c>
      <c r="E269" s="338">
        <f t="shared" ref="E269:E332" si="112">SQRT(1+(A269/Zero1)^2)</f>
        <v>1.0009471573099855</v>
      </c>
      <c r="F269" s="339">
        <f t="shared" ref="F269:F332" si="113">ATAN(A269/Zero1)</f>
        <v>4.3506558691267683E-2</v>
      </c>
      <c r="G269" s="338">
        <f t="shared" ref="G269:G332" si="114">IF(VIN_nom&gt;Vout, 1, SQRT(1+(A269/z_RHP)^2))</f>
        <v>1</v>
      </c>
      <c r="H269" s="339">
        <f t="shared" ref="H269:H332" si="115">IF(VIN_nom&gt;Vout, 0, -ATAN(A269/z_RHP))</f>
        <v>0</v>
      </c>
      <c r="I269" s="337">
        <f t="shared" ref="I269:I332" si="116">SQRT(1+(A269/Pole2)^2)</f>
        <v>38248.827634650712</v>
      </c>
      <c r="J269" s="340">
        <f t="shared" ref="J269:J332" si="117">ATAN(A269/Pole2)</f>
        <v>1.5707701822027103</v>
      </c>
      <c r="K269" s="348">
        <f t="shared" si="107"/>
        <v>7.2397069133400844</v>
      </c>
      <c r="L269" s="349">
        <f t="shared" si="108"/>
        <v>1.4322261501111855</v>
      </c>
      <c r="M269" s="337">
        <f t="shared" ref="M269:M332" si="118">SQRT(1+(A269/pole4)^2)</f>
        <v>1.0130051941960745</v>
      </c>
      <c r="N269" s="340">
        <f t="shared" ref="N269:N332" si="119">ATAN(A269/pole4)</f>
        <v>0.16041069151705828</v>
      </c>
      <c r="O269" s="341">
        <f t="shared" ref="O269:O332" si="120">SQRT((1-(V269/pterm2))^2+(A269/pterm1)^2)</f>
        <v>1.0060603346667583</v>
      </c>
      <c r="P269" s="342">
        <f t="shared" ref="P269:P332" si="121">IF((ATAN((A269/pterm1)/(1-A269^2/pterm2))&gt;0),ATAN((A269/pterm1)/(1-A269^2/pterm2)),PI()+ATAN((A269/pterm1)/(1-A269^2/pterm2)))</f>
        <v>0.24438631130360822</v>
      </c>
      <c r="Q269" s="343">
        <f t="shared" ref="Q269:Q332" si="122">20*LOG10(((E269*K269*G269)/(C269*I269*O269*M269))*Adc)</f>
        <v>1.8047562604131928</v>
      </c>
      <c r="R269" s="344">
        <f t="shared" ref="R269:R332" si="123">((F269+L269+H269)-(D269+J269+P269+N269))*radconv</f>
        <v>-110.9041238097797</v>
      </c>
      <c r="S269" s="346">
        <f t="shared" ref="S269:S332" si="124">IF(R269&gt;0,R269,R269+180)</f>
        <v>69.095876190220295</v>
      </c>
      <c r="U269" s="319">
        <f t="shared" si="104"/>
        <v>1000000000</v>
      </c>
      <c r="V269" s="319">
        <f t="shared" si="105"/>
        <v>288388324</v>
      </c>
      <c r="X269" s="345">
        <f t="shared" ref="X269:X332" si="125">20*LOG10((K269/(I269*M269))*AEA)</f>
        <v>23.137048092025204</v>
      </c>
      <c r="Y269" s="346">
        <f t="shared" ref="Y269:Y332" si="126">(L269-(J269+N269))*radconv</f>
        <v>-17.128843947844395</v>
      </c>
      <c r="AA269" s="345">
        <f t="shared" ref="AA269:AA332" si="127">20*LOG10((E269*G269/(C269*O269))*Acs*Am)</f>
        <v>42.276829457550619</v>
      </c>
      <c r="AB269" s="346">
        <f t="shared" ref="AB269:AB332" si="128">(F269+H269-(D269+P269))*radconv</f>
        <v>-93.775279861935303</v>
      </c>
      <c r="AD269">
        <f t="shared" si="106"/>
        <v>0</v>
      </c>
      <c r="AE269">
        <f t="shared" si="109"/>
        <v>0</v>
      </c>
    </row>
    <row r="270" spans="1:31" x14ac:dyDescent="0.25">
      <c r="A270" s="347">
        <v>17081</v>
      </c>
      <c r="B270" s="364">
        <f t="shared" ref="B270:B333" si="129">A270/1000</f>
        <v>17.081</v>
      </c>
      <c r="C270" s="337">
        <f t="shared" si="110"/>
        <v>7.4731097416560557</v>
      </c>
      <c r="D270" s="338">
        <f t="shared" si="111"/>
        <v>1.4365806300828554</v>
      </c>
      <c r="E270" s="338">
        <f t="shared" si="112"/>
        <v>1.000958227487966</v>
      </c>
      <c r="F270" s="339">
        <f t="shared" si="113"/>
        <v>4.3759866236373755E-2</v>
      </c>
      <c r="G270" s="338">
        <f t="shared" si="114"/>
        <v>1</v>
      </c>
      <c r="H270" s="339">
        <f t="shared" si="115"/>
        <v>0</v>
      </c>
      <c r="I270" s="337">
        <f t="shared" si="116"/>
        <v>38471.806902890596</v>
      </c>
      <c r="J270" s="340">
        <f t="shared" si="117"/>
        <v>1.5707703337345074</v>
      </c>
      <c r="K270" s="348">
        <f t="shared" si="107"/>
        <v>7.2811092967038364</v>
      </c>
      <c r="L270" s="349">
        <f t="shared" si="108"/>
        <v>1.4330191367060963</v>
      </c>
      <c r="M270" s="337">
        <f t="shared" si="118"/>
        <v>1.0131562815445032</v>
      </c>
      <c r="N270" s="340">
        <f t="shared" si="119"/>
        <v>0.16132974159054672</v>
      </c>
      <c r="O270" s="341">
        <f t="shared" si="120"/>
        <v>1.0061343241537015</v>
      </c>
      <c r="P270" s="342">
        <f t="shared" si="121"/>
        <v>0.24582188052067044</v>
      </c>
      <c r="Q270" s="343">
        <f t="shared" si="122"/>
        <v>1.7523804678691883</v>
      </c>
      <c r="R270" s="344">
        <f t="shared" si="123"/>
        <v>-111.0233832949347</v>
      </c>
      <c r="S270" s="346">
        <f t="shared" si="124"/>
        <v>68.976616705065297</v>
      </c>
      <c r="U270" s="319">
        <f t="shared" ref="U270:U333" si="130">IF(Q270&lt;0,A270,1000000000)</f>
        <v>1000000000</v>
      </c>
      <c r="V270" s="319">
        <f t="shared" ref="V270:V333" si="131">A270^2</f>
        <v>291760561</v>
      </c>
      <c r="X270" s="345">
        <f t="shared" si="125"/>
        <v>23.134794893371659</v>
      </c>
      <c r="Y270" s="346">
        <f t="shared" si="126"/>
        <v>-17.136075535258339</v>
      </c>
      <c r="AA270" s="345">
        <f t="shared" si="127"/>
        <v>42.226706863660155</v>
      </c>
      <c r="AB270" s="346">
        <f t="shared" si="128"/>
        <v>-93.887307759676389</v>
      </c>
      <c r="AD270">
        <f t="shared" ref="AD270:AD333" si="132">SUM((Q271&lt;0)*(Q270&gt;0))*A270</f>
        <v>0</v>
      </c>
      <c r="AE270">
        <f t="shared" si="109"/>
        <v>0</v>
      </c>
    </row>
    <row r="271" spans="1:31" x14ac:dyDescent="0.25">
      <c r="A271" s="347">
        <v>17180</v>
      </c>
      <c r="B271" s="364">
        <f t="shared" si="129"/>
        <v>17.18</v>
      </c>
      <c r="C271" s="337">
        <f t="shared" si="110"/>
        <v>7.515649865602243</v>
      </c>
      <c r="D271" s="338">
        <f t="shared" si="111"/>
        <v>1.4373448739207031</v>
      </c>
      <c r="E271" s="338">
        <f t="shared" si="112"/>
        <v>1.0009693618907201</v>
      </c>
      <c r="F271" s="339">
        <f t="shared" si="113"/>
        <v>4.4013168162338842E-2</v>
      </c>
      <c r="G271" s="338">
        <f t="shared" si="114"/>
        <v>1</v>
      </c>
      <c r="H271" s="339">
        <f t="shared" si="115"/>
        <v>0</v>
      </c>
      <c r="I271" s="337">
        <f t="shared" si="116"/>
        <v>38694.786171131338</v>
      </c>
      <c r="J271" s="340">
        <f t="shared" si="117"/>
        <v>1.5707704835198959</v>
      </c>
      <c r="K271" s="348">
        <f t="shared" si="107"/>
        <v>7.3225162068539298</v>
      </c>
      <c r="L271" s="349">
        <f t="shared" si="108"/>
        <v>1.4338031555266293</v>
      </c>
      <c r="M271" s="337">
        <f t="shared" si="118"/>
        <v>1.0133082244028466</v>
      </c>
      <c r="N271" s="340">
        <f t="shared" si="119"/>
        <v>0.16224851682168664</v>
      </c>
      <c r="O271" s="341">
        <f t="shared" si="120"/>
        <v>1.0062088161027412</v>
      </c>
      <c r="P271" s="342">
        <f t="shared" si="121"/>
        <v>0.24725762969807216</v>
      </c>
      <c r="Q271" s="343">
        <f t="shared" si="122"/>
        <v>1.7002864047112776</v>
      </c>
      <c r="R271" s="344">
        <f t="shared" si="123"/>
        <v>-111.14265003416344</v>
      </c>
      <c r="S271" s="346">
        <f t="shared" si="124"/>
        <v>68.857349965836562</v>
      </c>
      <c r="U271" s="319">
        <f t="shared" si="130"/>
        <v>1000000000</v>
      </c>
      <c r="V271" s="319">
        <f t="shared" si="131"/>
        <v>295152400</v>
      </c>
      <c r="X271" s="345">
        <f t="shared" si="125"/>
        <v>23.132550859264608</v>
      </c>
      <c r="Y271" s="346">
        <f t="shared" si="126"/>
        <v>-17.143805090927874</v>
      </c>
      <c r="AA271" s="345">
        <f t="shared" si="127"/>
        <v>42.176856834609289</v>
      </c>
      <c r="AB271" s="346">
        <f t="shared" si="128"/>
        <v>-93.998844943235568</v>
      </c>
      <c r="AD271">
        <f t="shared" si="132"/>
        <v>0</v>
      </c>
      <c r="AE271">
        <f t="shared" si="109"/>
        <v>0</v>
      </c>
    </row>
    <row r="272" spans="1:31" x14ac:dyDescent="0.25">
      <c r="A272" s="347">
        <v>17279</v>
      </c>
      <c r="B272" s="364">
        <f t="shared" si="129"/>
        <v>17.279</v>
      </c>
      <c r="C272" s="337">
        <f t="shared" si="110"/>
        <v>7.5581943297893801</v>
      </c>
      <c r="D272" s="338">
        <f t="shared" si="111"/>
        <v>1.438100514462342</v>
      </c>
      <c r="E272" s="338">
        <f t="shared" si="112"/>
        <v>1.0009805605161048</v>
      </c>
      <c r="F272" s="339">
        <f t="shared" si="113"/>
        <v>4.426646443684637E-2</v>
      </c>
      <c r="G272" s="338">
        <f t="shared" si="114"/>
        <v>1</v>
      </c>
      <c r="H272" s="339">
        <f t="shared" si="115"/>
        <v>0</v>
      </c>
      <c r="I272" s="337">
        <f t="shared" si="116"/>
        <v>38917.765439372954</v>
      </c>
      <c r="J272" s="340">
        <f t="shared" si="117"/>
        <v>1.5707706315888945</v>
      </c>
      <c r="K272" s="348">
        <f t="shared" si="107"/>
        <v>7.3639275674288429</v>
      </c>
      <c r="L272" s="349">
        <f t="shared" si="108"/>
        <v>1.4345783568926966</v>
      </c>
      <c r="M272" s="337">
        <f t="shared" si="118"/>
        <v>1.0134610223863183</v>
      </c>
      <c r="N272" s="340">
        <f t="shared" si="119"/>
        <v>0.16316701578328094</v>
      </c>
      <c r="O272" s="341">
        <f t="shared" si="120"/>
        <v>1.0062838117561248</v>
      </c>
      <c r="P272" s="342">
        <f t="shared" si="121"/>
        <v>0.24869355960176631</v>
      </c>
      <c r="Q272" s="343">
        <f t="shared" si="122"/>
        <v>1.6484706963513063</v>
      </c>
      <c r="R272" s="344">
        <f t="shared" si="123"/>
        <v>-111.26192379499402</v>
      </c>
      <c r="S272" s="346">
        <f t="shared" si="124"/>
        <v>68.738076205005981</v>
      </c>
      <c r="U272" s="319">
        <f t="shared" si="130"/>
        <v>1000000000</v>
      </c>
      <c r="V272" s="319">
        <f t="shared" si="131"/>
        <v>298563841</v>
      </c>
      <c r="X272" s="345">
        <f t="shared" si="125"/>
        <v>23.130315629388704</v>
      </c>
      <c r="Y272" s="346">
        <f t="shared" si="126"/>
        <v>-17.152023922104028</v>
      </c>
      <c r="AA272" s="345">
        <f t="shared" si="127"/>
        <v>42.127276356125229</v>
      </c>
      <c r="AB272" s="346">
        <f t="shared" si="128"/>
        <v>-94.109899872889983</v>
      </c>
      <c r="AD272">
        <f t="shared" si="132"/>
        <v>0</v>
      </c>
      <c r="AE272">
        <f t="shared" si="109"/>
        <v>0</v>
      </c>
    </row>
    <row r="273" spans="1:31" x14ac:dyDescent="0.25">
      <c r="A273" s="347">
        <v>17378</v>
      </c>
      <c r="B273" s="364">
        <f t="shared" si="129"/>
        <v>17.378</v>
      </c>
      <c r="C273" s="337">
        <f t="shared" si="110"/>
        <v>7.6007430613351605</v>
      </c>
      <c r="D273" s="338">
        <f t="shared" si="111"/>
        <v>1.4388476953204961</v>
      </c>
      <c r="E273" s="338">
        <f t="shared" si="112"/>
        <v>1.0009918233619646</v>
      </c>
      <c r="F273" s="339">
        <f t="shared" si="113"/>
        <v>4.4519755027584089E-2</v>
      </c>
      <c r="G273" s="338">
        <f t="shared" si="114"/>
        <v>1</v>
      </c>
      <c r="H273" s="339">
        <f t="shared" si="115"/>
        <v>0</v>
      </c>
      <c r="I273" s="337">
        <f t="shared" si="116"/>
        <v>39140.744707615406</v>
      </c>
      <c r="J273" s="340">
        <f t="shared" si="117"/>
        <v>1.5707707779708366</v>
      </c>
      <c r="K273" s="348">
        <f t="shared" si="107"/>
        <v>7.4053433037670233</v>
      </c>
      <c r="L273" s="349">
        <f t="shared" si="108"/>
        <v>1.4353448878043791</v>
      </c>
      <c r="M273" s="337">
        <f t="shared" si="118"/>
        <v>1.0136146751081994</v>
      </c>
      <c r="N273" s="340">
        <f t="shared" si="119"/>
        <v>0.16408523705085537</v>
      </c>
      <c r="O273" s="341">
        <f t="shared" si="120"/>
        <v>1.0063593123627985</v>
      </c>
      <c r="P273" s="342">
        <f t="shared" si="121"/>
        <v>0.25012967099294109</v>
      </c>
      <c r="Q273" s="343">
        <f t="shared" si="122"/>
        <v>1.5969300261521546</v>
      </c>
      <c r="R273" s="344">
        <f t="shared" si="123"/>
        <v>-111.38120434887378</v>
      </c>
      <c r="S273" s="346">
        <f t="shared" si="124"/>
        <v>68.61879565112622</v>
      </c>
      <c r="U273" s="319">
        <f t="shared" si="130"/>
        <v>1000000000</v>
      </c>
      <c r="V273" s="319">
        <f t="shared" si="131"/>
        <v>301994884</v>
      </c>
      <c r="X273" s="345">
        <f t="shared" si="125"/>
        <v>23.12808885368872</v>
      </c>
      <c r="Y273" s="346">
        <f t="shared" si="126"/>
        <v>-17.160723526366898</v>
      </c>
      <c r="AA273" s="345">
        <f t="shared" si="127"/>
        <v>42.077962461626058</v>
      </c>
      <c r="AB273" s="346">
        <f t="shared" si="128"/>
        <v>-94.220480822506872</v>
      </c>
      <c r="AD273">
        <f t="shared" si="132"/>
        <v>0</v>
      </c>
      <c r="AE273">
        <f t="shared" si="109"/>
        <v>0</v>
      </c>
    </row>
    <row r="274" spans="1:31" x14ac:dyDescent="0.25">
      <c r="A274" s="347">
        <v>17479.25</v>
      </c>
      <c r="B274" s="364">
        <f t="shared" si="129"/>
        <v>17.47925</v>
      </c>
      <c r="C274" s="337">
        <f t="shared" si="110"/>
        <v>7.64426314918218</v>
      </c>
      <c r="D274" s="338">
        <f t="shared" si="111"/>
        <v>1.4396032536547121</v>
      </c>
      <c r="E274" s="338">
        <f t="shared" si="112"/>
        <v>1.00100340860573</v>
      </c>
      <c r="F274" s="339">
        <f t="shared" si="113"/>
        <v>4.4778796309983382E-2</v>
      </c>
      <c r="G274" s="338">
        <f t="shared" si="114"/>
        <v>1</v>
      </c>
      <c r="H274" s="339">
        <f t="shared" si="115"/>
        <v>0</v>
      </c>
      <c r="I274" s="337">
        <f t="shared" si="116"/>
        <v>39368.79168650059</v>
      </c>
      <c r="J274" s="340">
        <f t="shared" si="117"/>
        <v>1.5707709259645113</v>
      </c>
      <c r="K274" s="348">
        <f t="shared" si="107"/>
        <v>7.4477047568285686</v>
      </c>
      <c r="L274" s="349">
        <f t="shared" si="108"/>
        <v>1.4361200214129175</v>
      </c>
      <c r="M274" s="337">
        <f t="shared" si="118"/>
        <v>1.0137727036303092</v>
      </c>
      <c r="N274" s="340">
        <f t="shared" si="119"/>
        <v>0.16502403826932183</v>
      </c>
      <c r="O274" s="341">
        <f t="shared" si="120"/>
        <v>1.0064370524990134</v>
      </c>
      <c r="P274" s="342">
        <f t="shared" si="121"/>
        <v>0.25159860978907361</v>
      </c>
      <c r="Q274" s="343">
        <f t="shared" si="122"/>
        <v>1.5444990653763044</v>
      </c>
      <c r="R274" s="344">
        <f t="shared" si="123"/>
        <v>-111.50320261662476</v>
      </c>
      <c r="S274" s="346">
        <f t="shared" si="124"/>
        <v>68.496797383375238</v>
      </c>
      <c r="U274" s="319">
        <f t="shared" si="130"/>
        <v>1000000000</v>
      </c>
      <c r="V274" s="319">
        <f t="shared" si="131"/>
        <v>305524180.5625</v>
      </c>
      <c r="X274" s="345">
        <f t="shared" si="125"/>
        <v>23.125819859593989</v>
      </c>
      <c r="Y274" s="346">
        <f t="shared" si="126"/>
        <v>-17.170109469082441</v>
      </c>
      <c r="AA274" s="345">
        <f t="shared" si="127"/>
        <v>42.027800494944941</v>
      </c>
      <c r="AB274" s="346">
        <f t="shared" si="128"/>
        <v>-94.333093147542343</v>
      </c>
      <c r="AD274">
        <f t="shared" si="132"/>
        <v>0</v>
      </c>
      <c r="AE274">
        <f t="shared" si="109"/>
        <v>0</v>
      </c>
    </row>
    <row r="275" spans="1:31" x14ac:dyDescent="0.25">
      <c r="A275" s="347">
        <v>17580.5</v>
      </c>
      <c r="B275" s="364">
        <f t="shared" si="129"/>
        <v>17.580500000000001</v>
      </c>
      <c r="C275" s="337">
        <f t="shared" si="110"/>
        <v>7.6877875514888272</v>
      </c>
      <c r="D275" s="338">
        <f t="shared" si="111"/>
        <v>1.4403502572256957</v>
      </c>
      <c r="E275" s="338">
        <f t="shared" si="112"/>
        <v>1.0010150610176549</v>
      </c>
      <c r="F275" s="339">
        <f t="shared" si="113"/>
        <v>4.5037831578974383E-2</v>
      </c>
      <c r="G275" s="338">
        <f t="shared" si="114"/>
        <v>1</v>
      </c>
      <c r="H275" s="339">
        <f t="shared" si="115"/>
        <v>0</v>
      </c>
      <c r="I275" s="337">
        <f t="shared" si="116"/>
        <v>39596.838665386626</v>
      </c>
      <c r="J275" s="340">
        <f t="shared" si="117"/>
        <v>1.5707710722535289</v>
      </c>
      <c r="K275" s="348">
        <f t="shared" si="107"/>
        <v>7.4900706340924144</v>
      </c>
      <c r="L275" s="349">
        <f t="shared" si="108"/>
        <v>1.436886386744435</v>
      </c>
      <c r="M275" s="337">
        <f t="shared" si="118"/>
        <v>1.0139316253597164</v>
      </c>
      <c r="N275" s="340">
        <f t="shared" si="119"/>
        <v>0.16596254602286198</v>
      </c>
      <c r="O275" s="341">
        <f t="shared" si="120"/>
        <v>1.0065153234655828</v>
      </c>
      <c r="P275" s="342">
        <f t="shared" si="121"/>
        <v>0.25306774001095272</v>
      </c>
      <c r="Q275" s="343">
        <f t="shared" si="122"/>
        <v>1.4923489493990143</v>
      </c>
      <c r="R275" s="344">
        <f t="shared" si="123"/>
        <v>-111.62520751827367</v>
      </c>
      <c r="S275" s="346">
        <f t="shared" si="124"/>
        <v>68.374792481726331</v>
      </c>
      <c r="U275" s="319">
        <f t="shared" si="130"/>
        <v>1000000000</v>
      </c>
      <c r="V275" s="319">
        <f t="shared" si="131"/>
        <v>309073980.25</v>
      </c>
      <c r="X275" s="345">
        <f t="shared" si="125"/>
        <v>23.123558999109804</v>
      </c>
      <c r="Y275" s="346">
        <f t="shared" si="126"/>
        <v>-17.179980885094075</v>
      </c>
      <c r="AA275" s="345">
        <f t="shared" si="127"/>
        <v>41.977911239451842</v>
      </c>
      <c r="AB275" s="346">
        <f t="shared" si="128"/>
        <v>-94.445226633179601</v>
      </c>
      <c r="AD275">
        <f t="shared" si="132"/>
        <v>0</v>
      </c>
      <c r="AE275">
        <f t="shared" si="109"/>
        <v>0</v>
      </c>
    </row>
    <row r="276" spans="1:31" x14ac:dyDescent="0.25">
      <c r="A276" s="347">
        <v>17681.75</v>
      </c>
      <c r="B276" s="364">
        <f t="shared" si="129"/>
        <v>17.681750000000001</v>
      </c>
      <c r="C276" s="337">
        <f t="shared" si="110"/>
        <v>7.7313161953887466</v>
      </c>
      <c r="D276" s="338">
        <f t="shared" si="111"/>
        <v>1.4410888496870271</v>
      </c>
      <c r="E276" s="338">
        <f t="shared" si="112"/>
        <v>1.0010267805953941</v>
      </c>
      <c r="F276" s="339">
        <f t="shared" si="113"/>
        <v>4.5296860800005549E-2</v>
      </c>
      <c r="G276" s="338">
        <f t="shared" si="114"/>
        <v>1</v>
      </c>
      <c r="H276" s="339">
        <f t="shared" si="115"/>
        <v>0</v>
      </c>
      <c r="I276" s="337">
        <f t="shared" si="116"/>
        <v>39824.885644273498</v>
      </c>
      <c r="J276" s="340">
        <f t="shared" si="117"/>
        <v>1.5707712168671737</v>
      </c>
      <c r="K276" s="348">
        <f t="shared" si="107"/>
        <v>7.5324408609073741</v>
      </c>
      <c r="L276" s="349">
        <f t="shared" si="108"/>
        <v>1.4376441308565902</v>
      </c>
      <c r="M276" s="337">
        <f t="shared" si="118"/>
        <v>1.0140914398764878</v>
      </c>
      <c r="N276" s="340">
        <f t="shared" si="119"/>
        <v>0.16690075879656657</v>
      </c>
      <c r="O276" s="341">
        <f t="shared" si="120"/>
        <v>1.0065941266202398</v>
      </c>
      <c r="P276" s="342">
        <f t="shared" si="121"/>
        <v>0.2545370624572198</v>
      </c>
      <c r="Q276" s="343">
        <f t="shared" si="122"/>
        <v>1.4404763098646658</v>
      </c>
      <c r="R276" s="344">
        <f t="shared" si="123"/>
        <v>-111.74721882139953</v>
      </c>
      <c r="S276" s="346">
        <f t="shared" si="124"/>
        <v>68.252781178600472</v>
      </c>
      <c r="U276" s="319">
        <f t="shared" si="130"/>
        <v>1000000000</v>
      </c>
      <c r="V276" s="319">
        <f t="shared" si="131"/>
        <v>312644283.0625</v>
      </c>
      <c r="X276" s="345">
        <f t="shared" si="125"/>
        <v>23.121305928901322</v>
      </c>
      <c r="Y276" s="346">
        <f t="shared" si="126"/>
        <v>-17.190329263498565</v>
      </c>
      <c r="AA276" s="345">
        <f t="shared" si="127"/>
        <v>41.928291670125972</v>
      </c>
      <c r="AB276" s="346">
        <f t="shared" si="128"/>
        <v>-94.556889557900973</v>
      </c>
      <c r="AD276">
        <f t="shared" si="132"/>
        <v>0</v>
      </c>
      <c r="AE276">
        <f t="shared" si="109"/>
        <v>0</v>
      </c>
    </row>
    <row r="277" spans="1:31" x14ac:dyDescent="0.25">
      <c r="A277" s="347">
        <v>17783</v>
      </c>
      <c r="B277" s="364">
        <f t="shared" si="129"/>
        <v>17.783000000000001</v>
      </c>
      <c r="C277" s="337">
        <f t="shared" si="110"/>
        <v>7.7748490096403762</v>
      </c>
      <c r="D277" s="338">
        <f t="shared" si="111"/>
        <v>1.4418191715120954</v>
      </c>
      <c r="E277" s="338">
        <f t="shared" si="112"/>
        <v>1.0010385673365885</v>
      </c>
      <c r="F277" s="339">
        <f t="shared" si="113"/>
        <v>4.5555883938530183E-2</v>
      </c>
      <c r="G277" s="338">
        <f t="shared" si="114"/>
        <v>1</v>
      </c>
      <c r="H277" s="339">
        <f t="shared" si="115"/>
        <v>0</v>
      </c>
      <c r="I277" s="337">
        <f t="shared" si="116"/>
        <v>40052.932623161192</v>
      </c>
      <c r="J277" s="340">
        <f t="shared" si="117"/>
        <v>1.5707713598340622</v>
      </c>
      <c r="K277" s="348">
        <f t="shared" si="107"/>
        <v>7.5748153642849507</v>
      </c>
      <c r="L277" s="349">
        <f t="shared" si="108"/>
        <v>1.4383933975565135</v>
      </c>
      <c r="M277" s="337">
        <f t="shared" si="118"/>
        <v>1.0142521467585972</v>
      </c>
      <c r="N277" s="340">
        <f t="shared" si="119"/>
        <v>0.16783867507855579</v>
      </c>
      <c r="O277" s="341">
        <f t="shared" si="120"/>
        <v>1.0066734633280072</v>
      </c>
      <c r="P277" s="342">
        <f t="shared" si="121"/>
        <v>0.25600657792118908</v>
      </c>
      <c r="Q277" s="343">
        <f t="shared" si="122"/>
        <v>1.3888778362152761</v>
      </c>
      <c r="R277" s="344">
        <f t="shared" si="123"/>
        <v>-111.86923629744123</v>
      </c>
      <c r="S277" s="346">
        <f t="shared" si="124"/>
        <v>68.130763702558767</v>
      </c>
      <c r="U277" s="319">
        <f t="shared" si="130"/>
        <v>1000000000</v>
      </c>
      <c r="V277" s="319">
        <f t="shared" si="131"/>
        <v>316235089</v>
      </c>
      <c r="X277" s="345">
        <f t="shared" si="125"/>
        <v>23.119060315441779</v>
      </c>
      <c r="Y277" s="346">
        <f t="shared" si="126"/>
        <v>-17.201146279769539</v>
      </c>
      <c r="AA277" s="345">
        <f t="shared" si="127"/>
        <v>41.878938809936123</v>
      </c>
      <c r="AB277" s="346">
        <f t="shared" si="128"/>
        <v>-94.668090017671688</v>
      </c>
      <c r="AD277">
        <f t="shared" si="132"/>
        <v>0</v>
      </c>
      <c r="AE277">
        <f t="shared" si="109"/>
        <v>0</v>
      </c>
    </row>
    <row r="278" spans="1:31" x14ac:dyDescent="0.25">
      <c r="A278" s="347">
        <v>17886.5</v>
      </c>
      <c r="B278" s="364">
        <f t="shared" si="129"/>
        <v>17.886500000000002</v>
      </c>
      <c r="C278" s="337">
        <f t="shared" si="110"/>
        <v>7.8193534576321344</v>
      </c>
      <c r="D278" s="338">
        <f t="shared" si="111"/>
        <v>1.4425573173725583</v>
      </c>
      <c r="E278" s="338">
        <f t="shared" si="112"/>
        <v>1.0010506854217149</v>
      </c>
      <c r="F278" s="339">
        <f t="shared" si="113"/>
        <v>4.5820656824075066E-2</v>
      </c>
      <c r="G278" s="338">
        <f t="shared" si="114"/>
        <v>1</v>
      </c>
      <c r="H278" s="339">
        <f t="shared" si="115"/>
        <v>0</v>
      </c>
      <c r="I278" s="337">
        <f t="shared" si="116"/>
        <v>40286.047312691684</v>
      </c>
      <c r="J278" s="340">
        <f t="shared" si="117"/>
        <v>1.570771504305057</v>
      </c>
      <c r="K278" s="348">
        <f t="shared" si="107"/>
        <v>7.6181358691581798</v>
      </c>
      <c r="L278" s="349">
        <f t="shared" si="108"/>
        <v>1.4391506989689116</v>
      </c>
      <c r="M278" s="337">
        <f t="shared" si="118"/>
        <v>1.014417346794324</v>
      </c>
      <c r="N278" s="340">
        <f t="shared" si="119"/>
        <v>0.16879712592556945</v>
      </c>
      <c r="O278" s="341">
        <f t="shared" si="120"/>
        <v>1.0067551159726125</v>
      </c>
      <c r="P278" s="342">
        <f t="shared" si="121"/>
        <v>0.25750894960406051</v>
      </c>
      <c r="Q278" s="343">
        <f t="shared" si="122"/>
        <v>1.3364127143175186</v>
      </c>
      <c r="R278" s="344">
        <f t="shared" si="123"/>
        <v>-111.99397141910377</v>
      </c>
      <c r="S278" s="346">
        <f t="shared" si="124"/>
        <v>68.006028580896228</v>
      </c>
      <c r="U278" s="319">
        <f t="shared" si="130"/>
        <v>1000000000</v>
      </c>
      <c r="V278" s="319">
        <f t="shared" si="131"/>
        <v>319926882.25</v>
      </c>
      <c r="X278" s="345">
        <f t="shared" si="125"/>
        <v>23.116772169257146</v>
      </c>
      <c r="Y278" s="346">
        <f t="shared" si="126"/>
        <v>-17.212679571015883</v>
      </c>
      <c r="AA278" s="345">
        <f t="shared" si="127"/>
        <v>41.828761834223002</v>
      </c>
      <c r="AB278" s="346">
        <f t="shared" si="128"/>
        <v>-94.781291848087889</v>
      </c>
      <c r="AD278">
        <f t="shared" si="132"/>
        <v>0</v>
      </c>
      <c r="AE278">
        <f t="shared" si="109"/>
        <v>0</v>
      </c>
    </row>
    <row r="279" spans="1:31" x14ac:dyDescent="0.25">
      <c r="A279" s="347">
        <v>17990</v>
      </c>
      <c r="B279" s="364">
        <f t="shared" si="129"/>
        <v>17.989999999999998</v>
      </c>
      <c r="C279" s="337">
        <f t="shared" si="110"/>
        <v>7.8638621178472503</v>
      </c>
      <c r="D279" s="338">
        <f t="shared" si="111"/>
        <v>1.4432871079658389</v>
      </c>
      <c r="E279" s="338">
        <f t="shared" si="112"/>
        <v>1.0010628736834783</v>
      </c>
      <c r="F279" s="339">
        <f t="shared" si="113"/>
        <v>4.6085423280791231E-2</v>
      </c>
      <c r="G279" s="338">
        <f t="shared" si="114"/>
        <v>1</v>
      </c>
      <c r="H279" s="339">
        <f t="shared" si="115"/>
        <v>0</v>
      </c>
      <c r="I279" s="337">
        <f t="shared" si="116"/>
        <v>40519.162002222998</v>
      </c>
      <c r="J279" s="340">
        <f t="shared" si="117"/>
        <v>1.5707716471137116</v>
      </c>
      <c r="K279" s="348">
        <f t="shared" ref="K279:K342" si="133">SQRT(1+(A279/Zero2)^2)</f>
        <v>7.6614606936641358</v>
      </c>
      <c r="L279" s="349">
        <f t="shared" ref="L279:L342" si="134">ATAN(A279/Zero2)</f>
        <v>1.4398994358731467</v>
      </c>
      <c r="M279" s="337">
        <f t="shared" si="118"/>
        <v>1.0145834783982917</v>
      </c>
      <c r="N279" s="340">
        <f t="shared" si="119"/>
        <v>0.16975526377203193</v>
      </c>
      <c r="O279" s="341">
        <f t="shared" si="120"/>
        <v>1.0068373290549668</v>
      </c>
      <c r="P279" s="342">
        <f t="shared" si="121"/>
        <v>0.25901152463770855</v>
      </c>
      <c r="Q279" s="343">
        <f t="shared" si="122"/>
        <v>1.2842272624803128</v>
      </c>
      <c r="R279" s="344">
        <f t="shared" si="123"/>
        <v>-112.1187125200218</v>
      </c>
      <c r="S279" s="346">
        <f t="shared" si="124"/>
        <v>67.881287479978198</v>
      </c>
      <c r="U279" s="319">
        <f t="shared" si="130"/>
        <v>1000000000</v>
      </c>
      <c r="V279" s="319">
        <f t="shared" si="131"/>
        <v>323640100</v>
      </c>
      <c r="X279" s="345">
        <f t="shared" si="125"/>
        <v>23.114491140117799</v>
      </c>
      <c r="Y279" s="346">
        <f t="shared" si="126"/>
        <v>-17.224685543578481</v>
      </c>
      <c r="AA279" s="345">
        <f t="shared" si="127"/>
        <v>41.778857411525138</v>
      </c>
      <c r="AB279" s="346">
        <f t="shared" si="128"/>
        <v>-94.894026976443328</v>
      </c>
      <c r="AD279">
        <f t="shared" si="132"/>
        <v>0</v>
      </c>
      <c r="AE279">
        <f t="shared" si="109"/>
        <v>0</v>
      </c>
    </row>
    <row r="280" spans="1:31" x14ac:dyDescent="0.25">
      <c r="A280" s="347">
        <v>18093.5</v>
      </c>
      <c r="B280" s="364">
        <f t="shared" si="129"/>
        <v>18.093499999999999</v>
      </c>
      <c r="C280" s="337">
        <f t="shared" si="110"/>
        <v>7.9083749191660253</v>
      </c>
      <c r="D280" s="338">
        <f t="shared" si="111"/>
        <v>1.4440086835924251</v>
      </c>
      <c r="E280" s="338">
        <f t="shared" si="112"/>
        <v>1.0010751321193156</v>
      </c>
      <c r="F280" s="339">
        <f t="shared" si="113"/>
        <v>4.635018327179323E-2</v>
      </c>
      <c r="G280" s="338">
        <f t="shared" si="114"/>
        <v>1</v>
      </c>
      <c r="H280" s="339">
        <f t="shared" si="115"/>
        <v>0</v>
      </c>
      <c r="I280" s="337">
        <f t="shared" si="116"/>
        <v>40752.27669175512</v>
      </c>
      <c r="J280" s="340">
        <f t="shared" si="117"/>
        <v>1.5707717882885535</v>
      </c>
      <c r="K280" s="348">
        <f t="shared" si="133"/>
        <v>7.7047897649336035</v>
      </c>
      <c r="L280" s="349">
        <f t="shared" si="134"/>
        <v>1.4406397519140539</v>
      </c>
      <c r="M280" s="337">
        <f t="shared" si="118"/>
        <v>1.0147505411129603</v>
      </c>
      <c r="N280" s="340">
        <f t="shared" si="119"/>
        <v>0.17071308701291246</v>
      </c>
      <c r="O280" s="341">
        <f t="shared" si="120"/>
        <v>1.006920104056682</v>
      </c>
      <c r="P280" s="342">
        <f t="shared" si="121"/>
        <v>0.26051430385206709</v>
      </c>
      <c r="Q280" s="343">
        <f t="shared" si="122"/>
        <v>1.2323181233171554</v>
      </c>
      <c r="R280" s="344">
        <f t="shared" si="123"/>
        <v>-112.24345936791646</v>
      </c>
      <c r="S280" s="346">
        <f t="shared" si="124"/>
        <v>67.756540632083542</v>
      </c>
      <c r="U280" s="319">
        <f t="shared" si="130"/>
        <v>1000000000</v>
      </c>
      <c r="V280" s="319">
        <f t="shared" si="131"/>
        <v>327374742.25</v>
      </c>
      <c r="X280" s="345">
        <f t="shared" si="125"/>
        <v>23.112216901475527</v>
      </c>
      <c r="Y280" s="346">
        <f t="shared" si="126"/>
        <v>-17.237155876887531</v>
      </c>
      <c r="AA280" s="345">
        <f t="shared" si="127"/>
        <v>41.729222511004252</v>
      </c>
      <c r="AB280" s="346">
        <f t="shared" si="128"/>
        <v>-95.006303491028916</v>
      </c>
      <c r="AD280">
        <f t="shared" si="132"/>
        <v>0</v>
      </c>
      <c r="AE280">
        <f t="shared" si="109"/>
        <v>0</v>
      </c>
    </row>
    <row r="281" spans="1:31" x14ac:dyDescent="0.25">
      <c r="A281" s="347">
        <v>18197</v>
      </c>
      <c r="B281" s="364">
        <f t="shared" si="129"/>
        <v>18.196999999999999</v>
      </c>
      <c r="C281" s="337">
        <f t="shared" si="110"/>
        <v>7.9528917920544613</v>
      </c>
      <c r="D281" s="338">
        <f t="shared" si="111"/>
        <v>1.444722181446096</v>
      </c>
      <c r="E281" s="338">
        <f t="shared" si="112"/>
        <v>1.0010874607266487</v>
      </c>
      <c r="F281" s="339">
        <f t="shared" si="113"/>
        <v>4.6614936760201064E-2</v>
      </c>
      <c r="G281" s="338">
        <f t="shared" si="114"/>
        <v>1</v>
      </c>
      <c r="H281" s="339">
        <f t="shared" si="115"/>
        <v>0</v>
      </c>
      <c r="I281" s="337">
        <f t="shared" si="116"/>
        <v>40985.391381288056</v>
      </c>
      <c r="J281" s="340">
        <f t="shared" si="117"/>
        <v>1.5707719278574608</v>
      </c>
      <c r="K281" s="348">
        <f t="shared" si="133"/>
        <v>7.7481230117203008</v>
      </c>
      <c r="L281" s="349">
        <f t="shared" si="134"/>
        <v>1.4413717875603898</v>
      </c>
      <c r="M281" s="337">
        <f t="shared" si="118"/>
        <v>1.0149185344785274</v>
      </c>
      <c r="N281" s="340">
        <f t="shared" si="119"/>
        <v>0.17167059404654303</v>
      </c>
      <c r="O281" s="341">
        <f t="shared" si="120"/>
        <v>1.0070034424672827</v>
      </c>
      <c r="P281" s="342">
        <f t="shared" si="121"/>
        <v>0.26201728807112495</v>
      </c>
      <c r="Q281" s="343">
        <f t="shared" si="122"/>
        <v>1.1806819969773239</v>
      </c>
      <c r="R281" s="344">
        <f t="shared" si="123"/>
        <v>-112.36821173429789</v>
      </c>
      <c r="S281" s="346">
        <f t="shared" si="124"/>
        <v>67.631788265702113</v>
      </c>
      <c r="U281" s="319">
        <f t="shared" si="130"/>
        <v>1000000000</v>
      </c>
      <c r="V281" s="319">
        <f t="shared" si="131"/>
        <v>331130809</v>
      </c>
      <c r="X281" s="345">
        <f t="shared" si="125"/>
        <v>23.109949136139825</v>
      </c>
      <c r="Y281" s="346">
        <f t="shared" si="126"/>
        <v>-17.250082432504588</v>
      </c>
      <c r="AA281" s="345">
        <f t="shared" si="127"/>
        <v>41.679854150000118</v>
      </c>
      <c r="AB281" s="346">
        <f t="shared" si="128"/>
        <v>-95.118129301793317</v>
      </c>
      <c r="AD281">
        <f t="shared" si="132"/>
        <v>0</v>
      </c>
      <c r="AE281">
        <f t="shared" si="109"/>
        <v>0</v>
      </c>
    </row>
    <row r="282" spans="1:31" x14ac:dyDescent="0.25">
      <c r="A282" s="347">
        <v>18303</v>
      </c>
      <c r="B282" s="364">
        <f t="shared" si="129"/>
        <v>18.303000000000001</v>
      </c>
      <c r="C282" s="337">
        <f t="shared" si="110"/>
        <v>7.9984881009723994</v>
      </c>
      <c r="D282" s="338">
        <f t="shared" si="111"/>
        <v>1.4454446809187962</v>
      </c>
      <c r="E282" s="338">
        <f t="shared" si="112"/>
        <v>1.0011001598581324</v>
      </c>
      <c r="F282" s="339">
        <f t="shared" si="113"/>
        <v>4.6886078481784797E-2</v>
      </c>
      <c r="G282" s="338">
        <f t="shared" si="114"/>
        <v>1</v>
      </c>
      <c r="H282" s="339">
        <f t="shared" si="115"/>
        <v>0</v>
      </c>
      <c r="I282" s="337">
        <f t="shared" si="116"/>
        <v>41224.136860424056</v>
      </c>
      <c r="J282" s="340">
        <f t="shared" si="117"/>
        <v>1.5707720691614746</v>
      </c>
      <c r="K282" s="348">
        <f t="shared" si="133"/>
        <v>7.792507210527158</v>
      </c>
      <c r="L282" s="349">
        <f t="shared" si="134"/>
        <v>1.442113065927241</v>
      </c>
      <c r="M282" s="337">
        <f t="shared" si="118"/>
        <v>1.0150915498136781</v>
      </c>
      <c r="N282" s="340">
        <f t="shared" si="119"/>
        <v>0.17265089984312856</v>
      </c>
      <c r="O282" s="341">
        <f t="shared" si="120"/>
        <v>1.0070893794342453</v>
      </c>
      <c r="P282" s="342">
        <f t="shared" si="121"/>
        <v>0.26355678960371431</v>
      </c>
      <c r="Q282" s="343">
        <f t="shared" si="122"/>
        <v>1.1280782166293681</v>
      </c>
      <c r="R282" s="344">
        <f t="shared" si="123"/>
        <v>-112.49598292803994</v>
      </c>
      <c r="S282" s="346">
        <f t="shared" si="124"/>
        <v>67.504017071960064</v>
      </c>
      <c r="U282" s="319">
        <f t="shared" si="130"/>
        <v>1000000000</v>
      </c>
      <c r="V282" s="319">
        <f t="shared" si="131"/>
        <v>334999809</v>
      </c>
      <c r="X282" s="345">
        <f t="shared" si="125"/>
        <v>23.107632981685974</v>
      </c>
      <c r="Y282" s="346">
        <f t="shared" si="126"/>
        <v>-17.263785791555502</v>
      </c>
      <c r="AA282" s="345">
        <f t="shared" si="127"/>
        <v>41.629566524106011</v>
      </c>
      <c r="AB282" s="346">
        <f t="shared" si="128"/>
        <v>-95.232197136484444</v>
      </c>
      <c r="AD282">
        <f t="shared" si="132"/>
        <v>0</v>
      </c>
      <c r="AE282">
        <f t="shared" ref="AE282:AE345" si="135">IF(AD282&gt;0,S282,0)</f>
        <v>0</v>
      </c>
    </row>
    <row r="283" spans="1:31" x14ac:dyDescent="0.25">
      <c r="A283" s="347">
        <v>18409</v>
      </c>
      <c r="B283" s="364">
        <f t="shared" si="129"/>
        <v>18.408999999999999</v>
      </c>
      <c r="C283" s="337">
        <f t="shared" si="110"/>
        <v>8.0440885378105644</v>
      </c>
      <c r="D283" s="338">
        <f t="shared" si="111"/>
        <v>1.4461589893314799</v>
      </c>
      <c r="E283" s="338">
        <f t="shared" si="112"/>
        <v>1.0011129325864603</v>
      </c>
      <c r="F283" s="339">
        <f t="shared" si="113"/>
        <v>4.7157213304562344E-2</v>
      </c>
      <c r="G283" s="338">
        <f t="shared" si="114"/>
        <v>1</v>
      </c>
      <c r="H283" s="339">
        <f t="shared" si="115"/>
        <v>0</v>
      </c>
      <c r="I283" s="337">
        <f t="shared" si="116"/>
        <v>41462.882339560863</v>
      </c>
      <c r="J283" s="340">
        <f t="shared" si="117"/>
        <v>1.5707722088382166</v>
      </c>
      <c r="K283" s="348">
        <f t="shared" si="133"/>
        <v>7.8368956427642358</v>
      </c>
      <c r="L283" s="349">
        <f t="shared" si="134"/>
        <v>1.4428459474433735</v>
      </c>
      <c r="M283" s="337">
        <f t="shared" si="118"/>
        <v>1.0152655403182298</v>
      </c>
      <c r="N283" s="340">
        <f t="shared" si="119"/>
        <v>0.17363087058259699</v>
      </c>
      <c r="O283" s="341">
        <f t="shared" si="120"/>
        <v>1.0071759105444629</v>
      </c>
      <c r="P283" s="342">
        <f t="shared" si="121"/>
        <v>0.26509650789439815</v>
      </c>
      <c r="Q283" s="343">
        <f t="shared" si="122"/>
        <v>1.0757539707726189</v>
      </c>
      <c r="R283" s="344">
        <f t="shared" si="123"/>
        <v>-112.62375943672264</v>
      </c>
      <c r="S283" s="346">
        <f t="shared" si="124"/>
        <v>67.376240563277364</v>
      </c>
      <c r="U283" s="319">
        <f t="shared" si="130"/>
        <v>1000000000</v>
      </c>
      <c r="V283" s="319">
        <f t="shared" si="131"/>
        <v>338891281</v>
      </c>
      <c r="X283" s="345">
        <f t="shared" si="125"/>
        <v>23.105322972359854</v>
      </c>
      <c r="Y283" s="346">
        <f t="shared" si="126"/>
        <v>-17.277950964119814</v>
      </c>
      <c r="AA283" s="345">
        <f t="shared" si="127"/>
        <v>41.579552287575396</v>
      </c>
      <c r="AB283" s="346">
        <f t="shared" si="128"/>
        <v>-95.345808472602826</v>
      </c>
      <c r="AD283">
        <f t="shared" si="132"/>
        <v>0</v>
      </c>
      <c r="AE283">
        <f t="shared" si="135"/>
        <v>0</v>
      </c>
    </row>
    <row r="284" spans="1:31" x14ac:dyDescent="0.25">
      <c r="A284" s="347">
        <v>18515</v>
      </c>
      <c r="B284" s="364">
        <f t="shared" si="129"/>
        <v>18.515000000000001</v>
      </c>
      <c r="C284" s="337">
        <f t="shared" si="110"/>
        <v>8.0896930327634795</v>
      </c>
      <c r="D284" s="338">
        <f t="shared" si="111"/>
        <v>1.4468652444767915</v>
      </c>
      <c r="E284" s="338">
        <f t="shared" si="112"/>
        <v>1.0011257789088155</v>
      </c>
      <c r="F284" s="339">
        <f t="shared" si="113"/>
        <v>4.7428341188934055E-2</v>
      </c>
      <c r="G284" s="338">
        <f t="shared" si="114"/>
        <v>1</v>
      </c>
      <c r="H284" s="339">
        <f t="shared" si="115"/>
        <v>0</v>
      </c>
      <c r="I284" s="337">
        <f t="shared" si="116"/>
        <v>41701.627818698478</v>
      </c>
      <c r="J284" s="340">
        <f t="shared" si="117"/>
        <v>1.5707723469156352</v>
      </c>
      <c r="K284" s="348">
        <f t="shared" si="133"/>
        <v>7.8812882369018595</v>
      </c>
      <c r="L284" s="349">
        <f t="shared" si="134"/>
        <v>1.4435705732045188</v>
      </c>
      <c r="M284" s="337">
        <f t="shared" si="118"/>
        <v>1.0154405054909117</v>
      </c>
      <c r="N284" s="340">
        <f t="shared" si="119"/>
        <v>0.17461050455544974</v>
      </c>
      <c r="O284" s="341">
        <f t="shared" si="120"/>
        <v>1.0072630374237597</v>
      </c>
      <c r="P284" s="342">
        <f t="shared" si="121"/>
        <v>0.26663644380872614</v>
      </c>
      <c r="Q284" s="343">
        <f t="shared" si="122"/>
        <v>1.0237058938056813</v>
      </c>
      <c r="R284" s="344">
        <f t="shared" si="123"/>
        <v>-112.75154102660858</v>
      </c>
      <c r="S284" s="346">
        <f t="shared" si="124"/>
        <v>67.248458973391422</v>
      </c>
      <c r="U284" s="319">
        <f t="shared" si="130"/>
        <v>1000000000</v>
      </c>
      <c r="V284" s="319">
        <f t="shared" si="131"/>
        <v>342805225</v>
      </c>
      <c r="X284" s="345">
        <f t="shared" si="125"/>
        <v>23.103018795961443</v>
      </c>
      <c r="Y284" s="346">
        <f t="shared" si="126"/>
        <v>-17.292569769661867</v>
      </c>
      <c r="AA284" s="345">
        <f t="shared" si="127"/>
        <v>41.529808387006867</v>
      </c>
      <c r="AB284" s="346">
        <f t="shared" si="128"/>
        <v>-95.458971256946697</v>
      </c>
      <c r="AD284">
        <f t="shared" si="132"/>
        <v>0</v>
      </c>
      <c r="AE284">
        <f t="shared" si="135"/>
        <v>0</v>
      </c>
    </row>
    <row r="285" spans="1:31" x14ac:dyDescent="0.25">
      <c r="A285" s="347">
        <v>18621</v>
      </c>
      <c r="B285" s="364">
        <f t="shared" si="129"/>
        <v>18.620999999999999</v>
      </c>
      <c r="C285" s="337">
        <f t="shared" si="110"/>
        <v>8.1353015175847716</v>
      </c>
      <c r="D285" s="338">
        <f t="shared" si="111"/>
        <v>1.4475635810899286</v>
      </c>
      <c r="E285" s="338">
        <f t="shared" si="112"/>
        <v>1.0011386988223647</v>
      </c>
      <c r="F285" s="339">
        <f t="shared" si="113"/>
        <v>4.7699462095306414E-2</v>
      </c>
      <c r="G285" s="338">
        <f t="shared" si="114"/>
        <v>1</v>
      </c>
      <c r="H285" s="339">
        <f t="shared" si="115"/>
        <v>0</v>
      </c>
      <c r="I285" s="337">
        <f t="shared" si="116"/>
        <v>41940.373297836872</v>
      </c>
      <c r="J285" s="340">
        <f t="shared" si="117"/>
        <v>1.570772483421043</v>
      </c>
      <c r="K285" s="348">
        <f t="shared" si="133"/>
        <v>7.9256849230063011</v>
      </c>
      <c r="L285" s="349">
        <f t="shared" si="134"/>
        <v>1.4442870811800754</v>
      </c>
      <c r="M285" s="337">
        <f t="shared" si="118"/>
        <v>1.0156164448279912</v>
      </c>
      <c r="N285" s="340">
        <f t="shared" si="119"/>
        <v>0.17558980005594846</v>
      </c>
      <c r="O285" s="341">
        <f t="shared" si="120"/>
        <v>1.0073507617066142</v>
      </c>
      <c r="P285" s="342">
        <f t="shared" si="121"/>
        <v>0.26817659820556383</v>
      </c>
      <c r="Q285" s="343">
        <f t="shared" si="122"/>
        <v>0.97193067783754938</v>
      </c>
      <c r="R285" s="344">
        <f t="shared" si="123"/>
        <v>-112.87932746770282</v>
      </c>
      <c r="S285" s="346">
        <f t="shared" si="124"/>
        <v>67.120672532297178</v>
      </c>
      <c r="U285" s="319">
        <f t="shared" si="130"/>
        <v>1000000000</v>
      </c>
      <c r="V285" s="319">
        <f t="shared" si="131"/>
        <v>346741641</v>
      </c>
      <c r="X285" s="345">
        <f t="shared" si="125"/>
        <v>23.100720149285969</v>
      </c>
      <c r="Y285" s="346">
        <f t="shared" si="126"/>
        <v>-17.307634206950691</v>
      </c>
      <c r="AA285" s="345">
        <f t="shared" si="127"/>
        <v>41.480331817714209</v>
      </c>
      <c r="AB285" s="346">
        <f t="shared" si="128"/>
        <v>-95.571693260752141</v>
      </c>
      <c r="AD285">
        <f t="shared" si="132"/>
        <v>0</v>
      </c>
      <c r="AE285">
        <f t="shared" si="135"/>
        <v>0</v>
      </c>
    </row>
    <row r="286" spans="1:31" x14ac:dyDescent="0.25">
      <c r="A286" s="347">
        <v>18729.5</v>
      </c>
      <c r="B286" s="364">
        <f t="shared" si="129"/>
        <v>18.729500000000002</v>
      </c>
      <c r="C286" s="337">
        <f t="shared" si="110"/>
        <v>8.181989736703061</v>
      </c>
      <c r="D286" s="338">
        <f t="shared" si="111"/>
        <v>1.4482703245495121</v>
      </c>
      <c r="E286" s="338">
        <f t="shared" si="112"/>
        <v>1.0011519996630063</v>
      </c>
      <c r="F286" s="339">
        <f t="shared" si="113"/>
        <v>4.7976970094553643E-2</v>
      </c>
      <c r="G286" s="338">
        <f t="shared" si="114"/>
        <v>1</v>
      </c>
      <c r="H286" s="339">
        <f t="shared" si="115"/>
        <v>0</v>
      </c>
      <c r="I286" s="337">
        <f t="shared" si="116"/>
        <v>42184.749566578386</v>
      </c>
      <c r="J286" s="340">
        <f t="shared" si="117"/>
        <v>1.5707726215457161</v>
      </c>
      <c r="K286" s="348">
        <f t="shared" si="133"/>
        <v>7.9711328672645463</v>
      </c>
      <c r="L286" s="349">
        <f t="shared" si="134"/>
        <v>1.4450122215194188</v>
      </c>
      <c r="M286" s="337">
        <f t="shared" si="118"/>
        <v>1.0157975420480649</v>
      </c>
      <c r="N286" s="340">
        <f t="shared" si="119"/>
        <v>0.17659183983120957</v>
      </c>
      <c r="O286" s="341">
        <f t="shared" si="120"/>
        <v>1.0074411753778116</v>
      </c>
      <c r="P286" s="342">
        <f t="shared" si="121"/>
        <v>0.26975330416058879</v>
      </c>
      <c r="Q286" s="343">
        <f t="shared" si="122"/>
        <v>0.91921354471242001</v>
      </c>
      <c r="R286" s="344">
        <f t="shared" si="123"/>
        <v>-113.01013252789146</v>
      </c>
      <c r="S286" s="346">
        <f t="shared" si="124"/>
        <v>66.989867472108543</v>
      </c>
      <c r="U286" s="319">
        <f t="shared" si="130"/>
        <v>1000000000</v>
      </c>
      <c r="V286" s="319">
        <f t="shared" si="131"/>
        <v>350794170.25</v>
      </c>
      <c r="X286" s="345">
        <f t="shared" si="125"/>
        <v>23.098372708779419</v>
      </c>
      <c r="Y286" s="346">
        <f t="shared" si="126"/>
        <v>-17.323507289957288</v>
      </c>
      <c r="AA286" s="345">
        <f t="shared" si="127"/>
        <v>41.429962125095628</v>
      </c>
      <c r="AB286" s="346">
        <f t="shared" si="128"/>
        <v>-95.686625237934166</v>
      </c>
      <c r="AD286">
        <f t="shared" si="132"/>
        <v>0</v>
      </c>
      <c r="AE286">
        <f t="shared" si="135"/>
        <v>0</v>
      </c>
    </row>
    <row r="287" spans="1:31" x14ac:dyDescent="0.25">
      <c r="A287" s="347">
        <v>18838</v>
      </c>
      <c r="B287" s="364">
        <f t="shared" si="129"/>
        <v>18.838000000000001</v>
      </c>
      <c r="C287" s="337">
        <f t="shared" si="110"/>
        <v>8.2286819962364905</v>
      </c>
      <c r="D287" s="338">
        <f t="shared" si="111"/>
        <v>1.4489690477631592</v>
      </c>
      <c r="E287" s="338">
        <f t="shared" si="112"/>
        <v>1.0011653776010017</v>
      </c>
      <c r="F287" s="339">
        <f t="shared" si="113"/>
        <v>4.8254470698844122E-2</v>
      </c>
      <c r="G287" s="338">
        <f t="shared" si="114"/>
        <v>1</v>
      </c>
      <c r="H287" s="339">
        <f t="shared" si="115"/>
        <v>0</v>
      </c>
      <c r="I287" s="337">
        <f t="shared" si="116"/>
        <v>42429.125835320701</v>
      </c>
      <c r="J287" s="340">
        <f t="shared" si="117"/>
        <v>1.5707727580792936</v>
      </c>
      <c r="K287" s="348">
        <f t="shared" si="133"/>
        <v>8.0165849554457882</v>
      </c>
      <c r="L287" s="349">
        <f t="shared" si="134"/>
        <v>1.4457291394932419</v>
      </c>
      <c r="M287" s="337">
        <f t="shared" si="118"/>
        <v>1.015979658849699</v>
      </c>
      <c r="N287" s="340">
        <f t="shared" si="119"/>
        <v>0.17759352137585527</v>
      </c>
      <c r="O287" s="341">
        <f t="shared" si="120"/>
        <v>1.007532218457363</v>
      </c>
      <c r="P287" s="342">
        <f t="shared" si="121"/>
        <v>0.27133024082476154</v>
      </c>
      <c r="Q287" s="343">
        <f t="shared" si="122"/>
        <v>0.86677546148706475</v>
      </c>
      <c r="R287" s="344">
        <f t="shared" si="123"/>
        <v>-113.14094219477407</v>
      </c>
      <c r="S287" s="346">
        <f t="shared" si="124"/>
        <v>66.85905780522593</v>
      </c>
      <c r="U287" s="319">
        <f t="shared" si="130"/>
        <v>1000000000</v>
      </c>
      <c r="V287" s="319">
        <f t="shared" si="131"/>
        <v>354870244</v>
      </c>
      <c r="X287" s="345">
        <f t="shared" si="125"/>
        <v>23.09603044666224</v>
      </c>
      <c r="Y287" s="346">
        <f t="shared" si="126"/>
        <v>-17.339830863540904</v>
      </c>
      <c r="AA287" s="345">
        <f t="shared" si="127"/>
        <v>41.379866303987441</v>
      </c>
      <c r="AB287" s="346">
        <f t="shared" si="128"/>
        <v>-95.801111331233145</v>
      </c>
      <c r="AD287">
        <f t="shared" si="132"/>
        <v>0</v>
      </c>
      <c r="AE287">
        <f t="shared" si="135"/>
        <v>0</v>
      </c>
    </row>
    <row r="288" spans="1:31" x14ac:dyDescent="0.25">
      <c r="A288" s="347">
        <v>18946.5</v>
      </c>
      <c r="B288" s="364">
        <f t="shared" si="129"/>
        <v>18.9465</v>
      </c>
      <c r="C288" s="337">
        <f t="shared" si="110"/>
        <v>8.2753782277932206</v>
      </c>
      <c r="D288" s="338">
        <f t="shared" si="111"/>
        <v>1.4496598858124965</v>
      </c>
      <c r="E288" s="338">
        <f t="shared" si="112"/>
        <v>1.0011788326332605</v>
      </c>
      <c r="F288" s="339">
        <f t="shared" si="113"/>
        <v>4.853196386573639E-2</v>
      </c>
      <c r="G288" s="338">
        <f t="shared" si="114"/>
        <v>1</v>
      </c>
      <c r="H288" s="339">
        <f t="shared" si="115"/>
        <v>0</v>
      </c>
      <c r="I288" s="337">
        <f t="shared" si="116"/>
        <v>42673.502104063802</v>
      </c>
      <c r="J288" s="340">
        <f t="shared" si="117"/>
        <v>1.5707728930491109</v>
      </c>
      <c r="K288" s="348">
        <f t="shared" si="133"/>
        <v>8.0620411174623321</v>
      </c>
      <c r="L288" s="349">
        <f t="shared" si="134"/>
        <v>1.4464379734386454</v>
      </c>
      <c r="M288" s="337">
        <f t="shared" si="118"/>
        <v>1.0161627946847047</v>
      </c>
      <c r="N288" s="340">
        <f t="shared" si="119"/>
        <v>0.17859484287292843</v>
      </c>
      <c r="O288" s="341">
        <f t="shared" si="120"/>
        <v>1.0076238927262267</v>
      </c>
      <c r="P288" s="342">
        <f t="shared" si="121"/>
        <v>0.27290740909716693</v>
      </c>
      <c r="Q288" s="343">
        <f t="shared" si="122"/>
        <v>0.81461306003882228</v>
      </c>
      <c r="R288" s="344">
        <f t="shared" si="123"/>
        <v>-113.27175623323339</v>
      </c>
      <c r="S288" s="346">
        <f t="shared" si="124"/>
        <v>66.72824376676661</v>
      </c>
      <c r="U288" s="319">
        <f t="shared" si="130"/>
        <v>1000000000</v>
      </c>
      <c r="V288" s="319">
        <f t="shared" si="131"/>
        <v>358969862.25</v>
      </c>
      <c r="X288" s="345">
        <f t="shared" si="125"/>
        <v>23.093693065140741</v>
      </c>
      <c r="Y288" s="346">
        <f t="shared" si="126"/>
        <v>-17.356596899031739</v>
      </c>
      <c r="AA288" s="345">
        <f t="shared" si="127"/>
        <v>41.330041284060712</v>
      </c>
      <c r="AB288" s="346">
        <f t="shared" si="128"/>
        <v>-95.915159334201661</v>
      </c>
      <c r="AD288">
        <f t="shared" si="132"/>
        <v>0</v>
      </c>
      <c r="AE288">
        <f t="shared" si="135"/>
        <v>0</v>
      </c>
    </row>
    <row r="289" spans="1:31" x14ac:dyDescent="0.25">
      <c r="A289" s="347">
        <v>19055</v>
      </c>
      <c r="B289" s="364">
        <f t="shared" si="129"/>
        <v>19.055</v>
      </c>
      <c r="C289" s="337">
        <f t="shared" si="110"/>
        <v>8.3220783645106824</v>
      </c>
      <c r="D289" s="338">
        <f t="shared" si="111"/>
        <v>1.4503429707775513</v>
      </c>
      <c r="E289" s="338">
        <f t="shared" si="112"/>
        <v>1.0011923647566741</v>
      </c>
      <c r="F289" s="339">
        <f t="shared" si="113"/>
        <v>4.8809449552795869E-2</v>
      </c>
      <c r="G289" s="338">
        <f t="shared" si="114"/>
        <v>1</v>
      </c>
      <c r="H289" s="339">
        <f t="shared" si="115"/>
        <v>0</v>
      </c>
      <c r="I289" s="337">
        <f t="shared" si="116"/>
        <v>42917.87837280766</v>
      </c>
      <c r="J289" s="340">
        <f t="shared" si="117"/>
        <v>1.5707730264818802</v>
      </c>
      <c r="K289" s="348">
        <f t="shared" si="133"/>
        <v>8.1075012847921091</v>
      </c>
      <c r="L289" s="349">
        <f t="shared" si="134"/>
        <v>1.4471388586229226</v>
      </c>
      <c r="M289" s="337">
        <f t="shared" si="118"/>
        <v>1.0163469490022223</v>
      </c>
      <c r="N289" s="340">
        <f t="shared" si="119"/>
        <v>0.17959580250966578</v>
      </c>
      <c r="O289" s="341">
        <f t="shared" si="120"/>
        <v>1.0077161999748006</v>
      </c>
      <c r="P289" s="342">
        <f t="shared" si="121"/>
        <v>0.2744848098693935</v>
      </c>
      <c r="Q289" s="343">
        <f t="shared" si="122"/>
        <v>0.76272302999942698</v>
      </c>
      <c r="R289" s="344">
        <f t="shared" si="123"/>
        <v>-113.40257441183502</v>
      </c>
      <c r="S289" s="346">
        <f t="shared" si="124"/>
        <v>66.597425588164981</v>
      </c>
      <c r="U289" s="319">
        <f t="shared" si="130"/>
        <v>1000000000</v>
      </c>
      <c r="V289" s="319">
        <f t="shared" si="131"/>
        <v>363093025</v>
      </c>
      <c r="X289" s="345">
        <f t="shared" si="125"/>
        <v>23.091360275047641</v>
      </c>
      <c r="Y289" s="346">
        <f t="shared" si="126"/>
        <v>-17.373797543851591</v>
      </c>
      <c r="AA289" s="345">
        <f t="shared" si="127"/>
        <v>41.280484044114409</v>
      </c>
      <c r="AB289" s="346">
        <f t="shared" si="128"/>
        <v>-96.028776867983439</v>
      </c>
      <c r="AD289">
        <f t="shared" si="132"/>
        <v>0</v>
      </c>
      <c r="AE289">
        <f t="shared" si="135"/>
        <v>0</v>
      </c>
    </row>
    <row r="290" spans="1:31" x14ac:dyDescent="0.25">
      <c r="A290" s="347">
        <v>19165.75</v>
      </c>
      <c r="B290" s="364">
        <f t="shared" si="129"/>
        <v>19.165749999999999</v>
      </c>
      <c r="C290" s="337">
        <f t="shared" si="110"/>
        <v>8.3697508968358107</v>
      </c>
      <c r="D290" s="338">
        <f t="shared" si="111"/>
        <v>1.4510323592921053</v>
      </c>
      <c r="E290" s="338">
        <f t="shared" si="112"/>
        <v>1.0012062570026403</v>
      </c>
      <c r="F290" s="339">
        <f t="shared" si="113"/>
        <v>4.9092681793170431E-2</v>
      </c>
      <c r="G290" s="338">
        <f t="shared" si="114"/>
        <v>1</v>
      </c>
      <c r="H290" s="339">
        <f t="shared" si="115"/>
        <v>0</v>
      </c>
      <c r="I290" s="337">
        <f t="shared" si="116"/>
        <v>43167.32235219446</v>
      </c>
      <c r="J290" s="340">
        <f t="shared" si="117"/>
        <v>1.5707731611236064</v>
      </c>
      <c r="K290" s="348">
        <f t="shared" si="133"/>
        <v>8.1539082356816834</v>
      </c>
      <c r="L290" s="349">
        <f t="shared" si="134"/>
        <v>1.447846217920469</v>
      </c>
      <c r="M290" s="337">
        <f t="shared" si="118"/>
        <v>1.0165359719956677</v>
      </c>
      <c r="N290" s="340">
        <f t="shared" si="119"/>
        <v>0.18061714430165757</v>
      </c>
      <c r="O290" s="341">
        <f t="shared" si="120"/>
        <v>1.0078110761033405</v>
      </c>
      <c r="P290" s="342">
        <f t="shared" si="121"/>
        <v>0.27609516241749393</v>
      </c>
      <c r="Q290" s="343">
        <f t="shared" si="122"/>
        <v>0.7100344630400206</v>
      </c>
      <c r="R290" s="344">
        <f t="shared" si="123"/>
        <v>-113.53610944303051</v>
      </c>
      <c r="S290" s="346">
        <f t="shared" si="124"/>
        <v>66.463890556969488</v>
      </c>
      <c r="U290" s="319">
        <f t="shared" si="130"/>
        <v>1000000000</v>
      </c>
      <c r="V290" s="319">
        <f t="shared" si="131"/>
        <v>367325973.0625</v>
      </c>
      <c r="X290" s="345">
        <f t="shared" si="125"/>
        <v>23.088983552778934</v>
      </c>
      <c r="Y290" s="346">
        <f t="shared" si="126"/>
        <v>-17.391795130047523</v>
      </c>
      <c r="AA290" s="345">
        <f t="shared" si="127"/>
        <v>41.230172199423706</v>
      </c>
      <c r="AB290" s="346">
        <f t="shared" si="128"/>
        <v>-96.144314312982971</v>
      </c>
      <c r="AD290">
        <f t="shared" si="132"/>
        <v>0</v>
      </c>
      <c r="AE290">
        <f t="shared" si="135"/>
        <v>0</v>
      </c>
    </row>
    <row r="291" spans="1:31" x14ac:dyDescent="0.25">
      <c r="A291" s="347">
        <v>19276.5</v>
      </c>
      <c r="B291" s="364">
        <f t="shared" si="129"/>
        <v>19.276499999999999</v>
      </c>
      <c r="C291" s="337">
        <f t="shared" si="110"/>
        <v>8.4174273618818507</v>
      </c>
      <c r="D291" s="338">
        <f t="shared" si="111"/>
        <v>1.4517139387088114</v>
      </c>
      <c r="E291" s="338">
        <f t="shared" si="112"/>
        <v>1.0012202295636428</v>
      </c>
      <c r="F291" s="339">
        <f t="shared" si="113"/>
        <v>4.9375906150951658E-2</v>
      </c>
      <c r="G291" s="338">
        <f t="shared" si="114"/>
        <v>1</v>
      </c>
      <c r="H291" s="339">
        <f t="shared" si="115"/>
        <v>0</v>
      </c>
      <c r="I291" s="337">
        <f t="shared" si="116"/>
        <v>43416.766331582032</v>
      </c>
      <c r="J291" s="340">
        <f t="shared" si="117"/>
        <v>1.5707732942182084</v>
      </c>
      <c r="K291" s="348">
        <f t="shared" si="133"/>
        <v>8.200319220259308</v>
      </c>
      <c r="L291" s="349">
        <f t="shared" si="134"/>
        <v>1.4485455707442874</v>
      </c>
      <c r="M291" s="337">
        <f t="shared" si="118"/>
        <v>1.0167260549825612</v>
      </c>
      <c r="N291" s="340">
        <f t="shared" si="119"/>
        <v>0.18163810526646981</v>
      </c>
      <c r="O291" s="341">
        <f t="shared" si="120"/>
        <v>1.0079066155359286</v>
      </c>
      <c r="P291" s="342">
        <f t="shared" si="121"/>
        <v>0.27770575906137401</v>
      </c>
      <c r="Q291" s="343">
        <f t="shared" si="122"/>
        <v>0.65762288971050575</v>
      </c>
      <c r="R291" s="344">
        <f t="shared" si="123"/>
        <v>-113.66964831189441</v>
      </c>
      <c r="S291" s="346">
        <f t="shared" si="124"/>
        <v>66.330351688105594</v>
      </c>
      <c r="U291" s="319">
        <f t="shared" si="130"/>
        <v>1000000000</v>
      </c>
      <c r="V291" s="319">
        <f t="shared" si="131"/>
        <v>371583452.25</v>
      </c>
      <c r="X291" s="345">
        <f t="shared" si="125"/>
        <v>23.086611031777476</v>
      </c>
      <c r="Y291" s="346">
        <f t="shared" si="126"/>
        <v>-17.410229544963553</v>
      </c>
      <c r="AA291" s="345">
        <f t="shared" si="127"/>
        <v>41.180133147095653</v>
      </c>
      <c r="AB291" s="346">
        <f t="shared" si="128"/>
        <v>-96.259418766930864</v>
      </c>
      <c r="AD291">
        <f t="shared" si="132"/>
        <v>0</v>
      </c>
      <c r="AE291">
        <f t="shared" si="135"/>
        <v>0</v>
      </c>
    </row>
    <row r="292" spans="1:31" x14ac:dyDescent="0.25">
      <c r="A292" s="347">
        <v>19387.25</v>
      </c>
      <c r="B292" s="364">
        <f t="shared" si="129"/>
        <v>19.387250000000002</v>
      </c>
      <c r="C292" s="337">
        <f t="shared" si="110"/>
        <v>8.4651076932001921</v>
      </c>
      <c r="D292" s="338">
        <f t="shared" si="111"/>
        <v>1.4523878403449273</v>
      </c>
      <c r="E292" s="338">
        <f t="shared" si="112"/>
        <v>1.0012342824363183</v>
      </c>
      <c r="F292" s="339">
        <f t="shared" si="113"/>
        <v>4.9659122581032229E-2</v>
      </c>
      <c r="G292" s="338">
        <f t="shared" si="114"/>
        <v>1</v>
      </c>
      <c r="H292" s="339">
        <f t="shared" si="115"/>
        <v>0</v>
      </c>
      <c r="I292" s="337">
        <f t="shared" si="116"/>
        <v>43666.210310970353</v>
      </c>
      <c r="J292" s="340">
        <f t="shared" si="117"/>
        <v>1.5707734257921999</v>
      </c>
      <c r="K292" s="348">
        <f t="shared" si="133"/>
        <v>8.2467341704225881</v>
      </c>
      <c r="L292" s="349">
        <f t="shared" si="134"/>
        <v>1.4492370515925275</v>
      </c>
      <c r="M292" s="337">
        <f t="shared" si="118"/>
        <v>1.0169171973684987</v>
      </c>
      <c r="N292" s="340">
        <f t="shared" si="119"/>
        <v>0.18265868348983505</v>
      </c>
      <c r="O292" s="341">
        <f t="shared" si="120"/>
        <v>1.0080028202070024</v>
      </c>
      <c r="P292" s="342">
        <f t="shared" si="121"/>
        <v>0.27931660072481973</v>
      </c>
      <c r="Q292" s="343">
        <f t="shared" si="122"/>
        <v>0.60548496717857747</v>
      </c>
      <c r="R292" s="344">
        <f t="shared" si="123"/>
        <v>-113.80319078352821</v>
      </c>
      <c r="S292" s="346">
        <f t="shared" si="124"/>
        <v>66.196809216471792</v>
      </c>
      <c r="U292" s="319">
        <f t="shared" si="130"/>
        <v>1000000000</v>
      </c>
      <c r="V292" s="319">
        <f t="shared" si="131"/>
        <v>375865462.5625</v>
      </c>
      <c r="X292" s="345">
        <f t="shared" si="125"/>
        <v>23.084242430508247</v>
      </c>
      <c r="Y292" s="346">
        <f t="shared" si="126"/>
        <v>-17.429092974263025</v>
      </c>
      <c r="AA292" s="345">
        <f t="shared" si="127"/>
        <v>41.130363825832958</v>
      </c>
      <c r="AB292" s="346">
        <f t="shared" si="128"/>
        <v>-96.374097809265194</v>
      </c>
      <c r="AD292">
        <f t="shared" si="132"/>
        <v>0</v>
      </c>
      <c r="AE292">
        <f t="shared" si="135"/>
        <v>0</v>
      </c>
    </row>
    <row r="293" spans="1:31" x14ac:dyDescent="0.25">
      <c r="A293" s="347">
        <v>19498</v>
      </c>
      <c r="B293" s="364">
        <f t="shared" si="129"/>
        <v>19.498000000000001</v>
      </c>
      <c r="C293" s="337">
        <f t="shared" si="110"/>
        <v>8.5127918258256035</v>
      </c>
      <c r="D293" s="338">
        <f t="shared" si="111"/>
        <v>1.4530541926036875</v>
      </c>
      <c r="E293" s="338">
        <f t="shared" si="112"/>
        <v>1.0012484156172858</v>
      </c>
      <c r="F293" s="339">
        <f t="shared" si="113"/>
        <v>4.9942331038312471E-2</v>
      </c>
      <c r="G293" s="338">
        <f t="shared" si="114"/>
        <v>1</v>
      </c>
      <c r="H293" s="339">
        <f t="shared" si="115"/>
        <v>0</v>
      </c>
      <c r="I293" s="337">
        <f t="shared" si="116"/>
        <v>43915.654290359431</v>
      </c>
      <c r="J293" s="340">
        <f t="shared" si="117"/>
        <v>1.5707735558714926</v>
      </c>
      <c r="K293" s="348">
        <f t="shared" si="133"/>
        <v>8.2931530195880008</v>
      </c>
      <c r="L293" s="349">
        <f t="shared" si="134"/>
        <v>1.449920791982559</v>
      </c>
      <c r="M293" s="337">
        <f t="shared" si="118"/>
        <v>1.0171093985562107</v>
      </c>
      <c r="N293" s="340">
        <f t="shared" si="119"/>
        <v>0.18367887706211</v>
      </c>
      <c r="O293" s="341">
        <f t="shared" si="120"/>
        <v>1.0080996920611776</v>
      </c>
      <c r="P293" s="342">
        <f t="shared" si="121"/>
        <v>0.28092768832330284</v>
      </c>
      <c r="Q293" s="343">
        <f t="shared" si="122"/>
        <v>0.55361740977626561</v>
      </c>
      <c r="R293" s="344">
        <f t="shared" si="123"/>
        <v>-113.93673662661195</v>
      </c>
      <c r="S293" s="346">
        <f t="shared" si="124"/>
        <v>66.063263373388054</v>
      </c>
      <c r="U293" s="319">
        <f t="shared" si="130"/>
        <v>1000000000</v>
      </c>
      <c r="V293" s="319">
        <f t="shared" si="131"/>
        <v>380172004</v>
      </c>
      <c r="X293" s="345">
        <f t="shared" si="125"/>
        <v>23.081877475618143</v>
      </c>
      <c r="Y293" s="346">
        <f t="shared" si="126"/>
        <v>-17.448377774625829</v>
      </c>
      <c r="AA293" s="345">
        <f t="shared" si="127"/>
        <v>41.080861223320753</v>
      </c>
      <c r="AB293" s="346">
        <f t="shared" si="128"/>
        <v>-96.488358851986106</v>
      </c>
      <c r="AD293">
        <f t="shared" si="132"/>
        <v>0</v>
      </c>
      <c r="AE293">
        <f t="shared" si="135"/>
        <v>0</v>
      </c>
    </row>
    <row r="294" spans="1:31" x14ac:dyDescent="0.25">
      <c r="A294" s="347">
        <v>19611.75</v>
      </c>
      <c r="B294" s="364">
        <f t="shared" si="129"/>
        <v>19.611750000000001</v>
      </c>
      <c r="C294" s="337">
        <f t="shared" si="110"/>
        <v>8.5617715184001391</v>
      </c>
      <c r="D294" s="338">
        <f t="shared" si="111"/>
        <v>1.4537308680207062</v>
      </c>
      <c r="E294" s="338">
        <f t="shared" si="112"/>
        <v>1.0012630152356439</v>
      </c>
      <c r="F294" s="339">
        <f t="shared" si="113"/>
        <v>5.0233202709471056E-2</v>
      </c>
      <c r="G294" s="338">
        <f t="shared" si="114"/>
        <v>1</v>
      </c>
      <c r="H294" s="339">
        <f t="shared" si="115"/>
        <v>0</v>
      </c>
      <c r="I294" s="337">
        <f t="shared" si="116"/>
        <v>44171.855217272227</v>
      </c>
      <c r="J294" s="340">
        <f t="shared" si="117"/>
        <v>1.5707736879449963</v>
      </c>
      <c r="K294" s="348">
        <f t="shared" si="133"/>
        <v>8.3408332546955783</v>
      </c>
      <c r="L294" s="349">
        <f t="shared" si="134"/>
        <v>1.4506151308285145</v>
      </c>
      <c r="M294" s="337">
        <f t="shared" si="118"/>
        <v>1.0173079076777665</v>
      </c>
      <c r="N294" s="340">
        <f t="shared" si="119"/>
        <v>0.18472630325236475</v>
      </c>
      <c r="O294" s="341">
        <f t="shared" si="120"/>
        <v>1.008199884573902</v>
      </c>
      <c r="P294" s="342">
        <f t="shared" si="121"/>
        <v>0.28258267409172455</v>
      </c>
      <c r="Q294" s="343">
        <f t="shared" si="122"/>
        <v>0.50062291972733797</v>
      </c>
      <c r="R294" s="344">
        <f t="shared" si="123"/>
        <v>-114.07390323469373</v>
      </c>
      <c r="S294" s="346">
        <f t="shared" si="124"/>
        <v>65.926096765306269</v>
      </c>
      <c r="U294" s="319">
        <f t="shared" si="130"/>
        <v>1000000000</v>
      </c>
      <c r="V294" s="319">
        <f t="shared" si="131"/>
        <v>384620738.0625</v>
      </c>
      <c r="X294" s="345">
        <f t="shared" si="125"/>
        <v>23.079451975856497</v>
      </c>
      <c r="Y294" s="346">
        <f t="shared" si="126"/>
        <v>-17.468615756531126</v>
      </c>
      <c r="AA294" s="345">
        <f t="shared" si="127"/>
        <v>41.030292233033464</v>
      </c>
      <c r="AB294" s="346">
        <f t="shared" si="128"/>
        <v>-96.605287478162623</v>
      </c>
      <c r="AD294">
        <f t="shared" si="132"/>
        <v>0</v>
      </c>
      <c r="AE294">
        <f t="shared" si="135"/>
        <v>0</v>
      </c>
    </row>
    <row r="295" spans="1:31" x14ac:dyDescent="0.25">
      <c r="A295" s="347">
        <v>19725.5</v>
      </c>
      <c r="B295" s="364">
        <f t="shared" si="129"/>
        <v>19.7255</v>
      </c>
      <c r="C295" s="337">
        <f t="shared" si="110"/>
        <v>8.6107550867205216</v>
      </c>
      <c r="D295" s="338">
        <f t="shared" si="111"/>
        <v>1.4543998450024891</v>
      </c>
      <c r="E295" s="338">
        <f t="shared" si="112"/>
        <v>1.0012776995647155</v>
      </c>
      <c r="F295" s="339">
        <f t="shared" si="113"/>
        <v>5.0524065873628073E-2</v>
      </c>
      <c r="G295" s="338">
        <f t="shared" si="114"/>
        <v>1</v>
      </c>
      <c r="H295" s="339">
        <f t="shared" si="115"/>
        <v>0</v>
      </c>
      <c r="I295" s="337">
        <f t="shared" si="116"/>
        <v>44428.056144185794</v>
      </c>
      <c r="J295" s="340">
        <f t="shared" si="117"/>
        <v>1.5707738184952573</v>
      </c>
      <c r="K295" s="348">
        <f t="shared" si="133"/>
        <v>8.3885174652588397</v>
      </c>
      <c r="L295" s="349">
        <f t="shared" si="134"/>
        <v>1.4513015761164143</v>
      </c>
      <c r="M295" s="337">
        <f t="shared" si="118"/>
        <v>1.0175075324532816</v>
      </c>
      <c r="N295" s="340">
        <f t="shared" si="119"/>
        <v>0.1857733196018958</v>
      </c>
      <c r="O295" s="341">
        <f t="shared" si="120"/>
        <v>1.0083007850959147</v>
      </c>
      <c r="P295" s="342">
        <f t="shared" si="121"/>
        <v>0.2842379212299333</v>
      </c>
      <c r="Q295" s="343">
        <f t="shared" si="122"/>
        <v>0.44790679412345052</v>
      </c>
      <c r="R295" s="344">
        <f t="shared" si="123"/>
        <v>-114.21107291587147</v>
      </c>
      <c r="S295" s="346">
        <f t="shared" si="124"/>
        <v>65.788927084128531</v>
      </c>
      <c r="U295" s="319">
        <f t="shared" si="130"/>
        <v>1000000000</v>
      </c>
      <c r="V295" s="319">
        <f t="shared" si="131"/>
        <v>389095350.25</v>
      </c>
      <c r="X295" s="345">
        <f t="shared" si="125"/>
        <v>23.077029763512176</v>
      </c>
      <c r="Y295" s="346">
        <f t="shared" si="126"/>
        <v>-17.489282436579732</v>
      </c>
      <c r="AA295" s="345">
        <f t="shared" si="127"/>
        <v>40.979998319773905</v>
      </c>
      <c r="AB295" s="346">
        <f t="shared" si="128"/>
        <v>-96.721790479291741</v>
      </c>
      <c r="AD295">
        <f t="shared" si="132"/>
        <v>0</v>
      </c>
      <c r="AE295">
        <f t="shared" si="135"/>
        <v>0</v>
      </c>
    </row>
    <row r="296" spans="1:31" x14ac:dyDescent="0.25">
      <c r="A296" s="347">
        <v>19839.25</v>
      </c>
      <c r="B296" s="364">
        <f t="shared" si="129"/>
        <v>19.83925</v>
      </c>
      <c r="C296" s="337">
        <f t="shared" si="110"/>
        <v>8.6597424650176311</v>
      </c>
      <c r="D296" s="338">
        <f t="shared" si="111"/>
        <v>1.4550612535931744</v>
      </c>
      <c r="E296" s="338">
        <f t="shared" si="112"/>
        <v>1.0012924686007738</v>
      </c>
      <c r="F296" s="339">
        <f t="shared" si="113"/>
        <v>5.0814920481944019E-2</v>
      </c>
      <c r="G296" s="338">
        <f t="shared" si="114"/>
        <v>1</v>
      </c>
      <c r="H296" s="339">
        <f t="shared" si="115"/>
        <v>0</v>
      </c>
      <c r="I296" s="337">
        <f t="shared" si="116"/>
        <v>44684.257071100095</v>
      </c>
      <c r="J296" s="340">
        <f t="shared" si="117"/>
        <v>1.5707739475484768</v>
      </c>
      <c r="K296" s="348">
        <f t="shared" si="133"/>
        <v>8.4362055838660375</v>
      </c>
      <c r="L296" s="349">
        <f t="shared" si="134"/>
        <v>1.4519802610557295</v>
      </c>
      <c r="M296" s="337">
        <f t="shared" si="118"/>
        <v>1.0177082722262458</v>
      </c>
      <c r="N296" s="340">
        <f t="shared" si="119"/>
        <v>0.18681992405698472</v>
      </c>
      <c r="O296" s="341">
        <f t="shared" si="120"/>
        <v>1.0084023957675923</v>
      </c>
      <c r="P296" s="342">
        <f t="shared" si="121"/>
        <v>0.28589343070214379</v>
      </c>
      <c r="Q296" s="343">
        <f t="shared" si="122"/>
        <v>0.3954656528242102</v>
      </c>
      <c r="R296" s="344">
        <f t="shared" si="123"/>
        <v>-114.34824543066048</v>
      </c>
      <c r="S296" s="346">
        <f t="shared" si="124"/>
        <v>65.651754569339516</v>
      </c>
      <c r="U296" s="319">
        <f t="shared" si="130"/>
        <v>1000000000</v>
      </c>
      <c r="V296" s="319">
        <f t="shared" si="131"/>
        <v>393595840.5625</v>
      </c>
      <c r="X296" s="345">
        <f t="shared" si="125"/>
        <v>23.074610567610399</v>
      </c>
      <c r="Y296" s="346">
        <f t="shared" si="126"/>
        <v>-17.510370066262968</v>
      </c>
      <c r="AA296" s="345">
        <f t="shared" si="127"/>
        <v>40.929976374376437</v>
      </c>
      <c r="AB296" s="346">
        <f t="shared" si="128"/>
        <v>-96.837875364397519</v>
      </c>
      <c r="AD296">
        <f t="shared" si="132"/>
        <v>0</v>
      </c>
      <c r="AE296">
        <f t="shared" si="135"/>
        <v>0</v>
      </c>
    </row>
    <row r="297" spans="1:31" x14ac:dyDescent="0.25">
      <c r="A297" s="347">
        <v>19953</v>
      </c>
      <c r="B297" s="364">
        <f t="shared" si="129"/>
        <v>19.952999999999999</v>
      </c>
      <c r="C297" s="337">
        <f t="shared" si="110"/>
        <v>8.7087335889971254</v>
      </c>
      <c r="D297" s="338">
        <f t="shared" si="111"/>
        <v>1.4557152209374673</v>
      </c>
      <c r="E297" s="338">
        <f t="shared" si="112"/>
        <v>1.0013073223400704</v>
      </c>
      <c r="F297" s="339">
        <f t="shared" si="113"/>
        <v>5.1105766485588081E-2</v>
      </c>
      <c r="G297" s="338">
        <f t="shared" si="114"/>
        <v>1</v>
      </c>
      <c r="H297" s="339">
        <f t="shared" si="115"/>
        <v>0</v>
      </c>
      <c r="I297" s="337">
        <f t="shared" si="116"/>
        <v>44940.457998015139</v>
      </c>
      <c r="J297" s="340">
        <f t="shared" si="117"/>
        <v>1.5707740751302579</v>
      </c>
      <c r="K297" s="348">
        <f t="shared" si="133"/>
        <v>8.4838975446156439</v>
      </c>
      <c r="L297" s="349">
        <f t="shared" si="134"/>
        <v>1.4526513158895651</v>
      </c>
      <c r="M297" s="337">
        <f t="shared" si="118"/>
        <v>1.0179101263370001</v>
      </c>
      <c r="N297" s="340">
        <f t="shared" si="119"/>
        <v>0.18786611456913779</v>
      </c>
      <c r="O297" s="341">
        <f t="shared" si="120"/>
        <v>1.0085047187405598</v>
      </c>
      <c r="P297" s="342">
        <f t="shared" si="121"/>
        <v>0.28754920346311896</v>
      </c>
      <c r="Q297" s="343">
        <f t="shared" si="122"/>
        <v>0.3432961736877807</v>
      </c>
      <c r="R297" s="344">
        <f t="shared" si="123"/>
        <v>-114.48542054313413</v>
      </c>
      <c r="S297" s="346">
        <f t="shared" si="124"/>
        <v>65.514579456865874</v>
      </c>
      <c r="U297" s="319">
        <f t="shared" si="130"/>
        <v>1000000000</v>
      </c>
      <c r="V297" s="319">
        <f t="shared" si="131"/>
        <v>398122209</v>
      </c>
      <c r="X297" s="345">
        <f t="shared" si="125"/>
        <v>23.072194125130604</v>
      </c>
      <c r="Y297" s="346">
        <f t="shared" si="126"/>
        <v>-17.531871067297509</v>
      </c>
      <c r="AA297" s="345">
        <f t="shared" si="127"/>
        <v>40.880223337719805</v>
      </c>
      <c r="AB297" s="346">
        <f t="shared" si="128"/>
        <v>-96.953549475836596</v>
      </c>
      <c r="AD297">
        <f t="shared" si="132"/>
        <v>0</v>
      </c>
      <c r="AE297">
        <f t="shared" si="135"/>
        <v>0</v>
      </c>
    </row>
    <row r="298" spans="1:31" x14ac:dyDescent="0.25">
      <c r="A298" s="347">
        <v>20069</v>
      </c>
      <c r="B298" s="364">
        <f t="shared" si="129"/>
        <v>20.068999999999999</v>
      </c>
      <c r="C298" s="337">
        <f t="shared" si="110"/>
        <v>8.758697560569404</v>
      </c>
      <c r="D298" s="338">
        <f t="shared" si="111"/>
        <v>1.4563745892816493</v>
      </c>
      <c r="E298" s="338">
        <f t="shared" si="112"/>
        <v>1.0013225571186688</v>
      </c>
      <c r="F298" s="339">
        <f t="shared" si="113"/>
        <v>5.1402356574836064E-2</v>
      </c>
      <c r="G298" s="338">
        <f t="shared" si="114"/>
        <v>1</v>
      </c>
      <c r="H298" s="339">
        <f t="shared" si="115"/>
        <v>0</v>
      </c>
      <c r="I298" s="337">
        <f t="shared" si="116"/>
        <v>45201.726635573199</v>
      </c>
      <c r="J298" s="340">
        <f t="shared" si="117"/>
        <v>1.5707742037461878</v>
      </c>
      <c r="K298" s="348">
        <f t="shared" si="133"/>
        <v>8.5325367529345719</v>
      </c>
      <c r="L298" s="349">
        <f t="shared" si="134"/>
        <v>1.4533279183620935</v>
      </c>
      <c r="M298" s="337">
        <f t="shared" si="118"/>
        <v>1.0181171200978776</v>
      </c>
      <c r="N298" s="340">
        <f t="shared" si="119"/>
        <v>0.18893257053569515</v>
      </c>
      <c r="O298" s="341">
        <f t="shared" si="120"/>
        <v>1.0086098015014606</v>
      </c>
      <c r="P298" s="342">
        <f t="shared" si="121"/>
        <v>0.28923799990521054</v>
      </c>
      <c r="Q298" s="343">
        <f t="shared" si="122"/>
        <v>0.29037116152067938</v>
      </c>
      <c r="R298" s="344">
        <f t="shared" si="123"/>
        <v>-114.6253114437756</v>
      </c>
      <c r="S298" s="346">
        <f t="shared" si="124"/>
        <v>65.374688556224399</v>
      </c>
      <c r="U298" s="319">
        <f t="shared" si="130"/>
        <v>1000000000</v>
      </c>
      <c r="V298" s="319">
        <f t="shared" si="131"/>
        <v>402764761</v>
      </c>
      <c r="X298" s="345">
        <f t="shared" si="125"/>
        <v>23.069732455891653</v>
      </c>
      <c r="Y298" s="346">
        <f t="shared" si="126"/>
        <v>-17.554215396309292</v>
      </c>
      <c r="AA298" s="345">
        <f t="shared" si="127"/>
        <v>40.829759994791658</v>
      </c>
      <c r="AB298" s="346">
        <f t="shared" si="128"/>
        <v>-97.071096047466327</v>
      </c>
      <c r="AD298">
        <f t="shared" si="132"/>
        <v>0</v>
      </c>
      <c r="AE298">
        <f t="shared" si="135"/>
        <v>0</v>
      </c>
    </row>
    <row r="299" spans="1:31" x14ac:dyDescent="0.25">
      <c r="A299" s="347">
        <v>20185</v>
      </c>
      <c r="B299" s="364">
        <f t="shared" si="129"/>
        <v>20.184999999999999</v>
      </c>
      <c r="C299" s="337">
        <f t="shared" si="110"/>
        <v>8.8086652969311121</v>
      </c>
      <c r="D299" s="338">
        <f t="shared" si="111"/>
        <v>1.4570264772855122</v>
      </c>
      <c r="E299" s="338">
        <f t="shared" si="112"/>
        <v>1.0013378799766033</v>
      </c>
      <c r="F299" s="339">
        <f t="shared" si="113"/>
        <v>5.1698937613100758E-2</v>
      </c>
      <c r="G299" s="338">
        <f t="shared" si="114"/>
        <v>1</v>
      </c>
      <c r="H299" s="339">
        <f t="shared" si="115"/>
        <v>0</v>
      </c>
      <c r="I299" s="337">
        <f t="shared" si="116"/>
        <v>45462.995273131994</v>
      </c>
      <c r="J299" s="340">
        <f t="shared" si="117"/>
        <v>1.5707743308838469</v>
      </c>
      <c r="K299" s="348">
        <f t="shared" si="133"/>
        <v>8.5811798230894585</v>
      </c>
      <c r="L299" s="349">
        <f t="shared" si="134"/>
        <v>1.4539968503928671</v>
      </c>
      <c r="M299" s="337">
        <f t="shared" si="118"/>
        <v>1.0183252713206863</v>
      </c>
      <c r="N299" s="340">
        <f t="shared" si="119"/>
        <v>0.18999859173545938</v>
      </c>
      <c r="O299" s="341">
        <f t="shared" si="120"/>
        <v>1.0087156295763446</v>
      </c>
      <c r="P299" s="342">
        <f t="shared" si="121"/>
        <v>0.29092707213013302</v>
      </c>
      <c r="Q299" s="343">
        <f t="shared" si="122"/>
        <v>0.23772186535495773</v>
      </c>
      <c r="R299" s="344">
        <f t="shared" si="123"/>
        <v>-114.76520456120146</v>
      </c>
      <c r="S299" s="346">
        <f t="shared" si="124"/>
        <v>65.234795438798542</v>
      </c>
      <c r="U299" s="319">
        <f t="shared" si="130"/>
        <v>1000000000</v>
      </c>
      <c r="V299" s="319">
        <f t="shared" si="131"/>
        <v>407434225</v>
      </c>
      <c r="X299" s="345">
        <f t="shared" si="125"/>
        <v>23.067273121751569</v>
      </c>
      <c r="Y299" s="346">
        <f t="shared" si="126"/>
        <v>-17.576974214260098</v>
      </c>
      <c r="AA299" s="345">
        <f t="shared" si="127"/>
        <v>40.779570032766017</v>
      </c>
      <c r="AB299" s="346">
        <f t="shared" si="128"/>
        <v>-97.188230346941381</v>
      </c>
      <c r="AD299">
        <f t="shared" si="132"/>
        <v>0</v>
      </c>
      <c r="AE299">
        <f t="shared" si="135"/>
        <v>0</v>
      </c>
    </row>
    <row r="300" spans="1:31" x14ac:dyDescent="0.25">
      <c r="A300" s="347">
        <v>20301</v>
      </c>
      <c r="B300" s="364">
        <f t="shared" si="129"/>
        <v>20.300999999999998</v>
      </c>
      <c r="C300" s="337">
        <f t="shared" si="110"/>
        <v>8.8586367343756045</v>
      </c>
      <c r="D300" s="338">
        <f t="shared" si="111"/>
        <v>1.4576710109797282</v>
      </c>
      <c r="E300" s="338">
        <f t="shared" si="112"/>
        <v>1.0013532909098302</v>
      </c>
      <c r="F300" s="339">
        <f t="shared" si="113"/>
        <v>5.1995509548624155E-2</v>
      </c>
      <c r="G300" s="338">
        <f t="shared" si="114"/>
        <v>1</v>
      </c>
      <c r="H300" s="339">
        <f t="shared" si="115"/>
        <v>0</v>
      </c>
      <c r="I300" s="337">
        <f t="shared" si="116"/>
        <v>45724.26391069153</v>
      </c>
      <c r="J300" s="340">
        <f t="shared" si="117"/>
        <v>1.5707744565685757</v>
      </c>
      <c r="K300" s="348">
        <f t="shared" si="133"/>
        <v>8.6298266897771754</v>
      </c>
      <c r="L300" s="349">
        <f t="shared" si="134"/>
        <v>1.4546582410943754</v>
      </c>
      <c r="M300" s="337">
        <f t="shared" si="118"/>
        <v>1.0185345792957972</v>
      </c>
      <c r="N300" s="340">
        <f t="shared" si="119"/>
        <v>0.19106417601287209</v>
      </c>
      <c r="O300" s="341">
        <f t="shared" si="120"/>
        <v>1.0088222052830562</v>
      </c>
      <c r="P300" s="342">
        <f t="shared" si="121"/>
        <v>0.29261642111974123</v>
      </c>
      <c r="Q300" s="343">
        <f t="shared" si="122"/>
        <v>0.18534493992687415</v>
      </c>
      <c r="R300" s="344">
        <f t="shared" si="123"/>
        <v>-114.90509965600573</v>
      </c>
      <c r="S300" s="346">
        <f t="shared" si="124"/>
        <v>65.094900343994269</v>
      </c>
      <c r="U300" s="319">
        <f t="shared" si="130"/>
        <v>1000000000</v>
      </c>
      <c r="V300" s="319">
        <f t="shared" si="131"/>
        <v>412130601</v>
      </c>
      <c r="X300" s="345">
        <f t="shared" si="125"/>
        <v>23.064815867662297</v>
      </c>
      <c r="Y300" s="346">
        <f t="shared" si="126"/>
        <v>-17.600140001496708</v>
      </c>
      <c r="AA300" s="345">
        <f t="shared" si="127"/>
        <v>40.729650361427204</v>
      </c>
      <c r="AB300" s="346">
        <f t="shared" si="128"/>
        <v>-97.304959654509034</v>
      </c>
      <c r="AD300">
        <f t="shared" si="132"/>
        <v>0</v>
      </c>
      <c r="AE300">
        <f t="shared" si="135"/>
        <v>0</v>
      </c>
    </row>
    <row r="301" spans="1:31" x14ac:dyDescent="0.25">
      <c r="A301" s="347">
        <v>20417</v>
      </c>
      <c r="B301" s="364">
        <f t="shared" si="129"/>
        <v>20.417000000000002</v>
      </c>
      <c r="C301" s="337">
        <f t="shared" si="110"/>
        <v>8.9086118106209824</v>
      </c>
      <c r="D301" s="338">
        <f t="shared" si="111"/>
        <v>1.4583083135917247</v>
      </c>
      <c r="E301" s="338">
        <f t="shared" si="112"/>
        <v>1.0013687899142834</v>
      </c>
      <c r="F301" s="339">
        <f t="shared" si="113"/>
        <v>5.229207232965781E-2</v>
      </c>
      <c r="G301" s="338">
        <f t="shared" si="114"/>
        <v>1</v>
      </c>
      <c r="H301" s="339">
        <f t="shared" si="115"/>
        <v>0</v>
      </c>
      <c r="I301" s="337">
        <f t="shared" si="116"/>
        <v>45985.532548251773</v>
      </c>
      <c r="J301" s="340">
        <f t="shared" si="117"/>
        <v>1.570774580825139</v>
      </c>
      <c r="K301" s="348">
        <f t="shared" si="133"/>
        <v>8.6784772891537738</v>
      </c>
      <c r="L301" s="349">
        <f t="shared" si="134"/>
        <v>1.4553122167106771</v>
      </c>
      <c r="M301" s="337">
        <f t="shared" si="118"/>
        <v>1.0187450433102228</v>
      </c>
      <c r="N301" s="340">
        <f t="shared" si="119"/>
        <v>0.19212932121811038</v>
      </c>
      <c r="O301" s="341">
        <f t="shared" si="120"/>
        <v>1.0089295309515116</v>
      </c>
      <c r="P301" s="342">
        <f t="shared" si="121"/>
        <v>0.29430604784544989</v>
      </c>
      <c r="Q301" s="343">
        <f t="shared" si="122"/>
        <v>0.13323709716073526</v>
      </c>
      <c r="R301" s="344">
        <f t="shared" si="123"/>
        <v>-115.04499649221424</v>
      </c>
      <c r="S301" s="346">
        <f t="shared" si="124"/>
        <v>64.955003507785761</v>
      </c>
      <c r="U301" s="319">
        <f t="shared" si="130"/>
        <v>1000000000</v>
      </c>
      <c r="V301" s="319">
        <f t="shared" si="131"/>
        <v>416853889</v>
      </c>
      <c r="X301" s="345">
        <f t="shared" si="125"/>
        <v>23.062360446090686</v>
      </c>
      <c r="Y301" s="346">
        <f t="shared" si="126"/>
        <v>-17.623705403010472</v>
      </c>
      <c r="AA301" s="345">
        <f t="shared" si="127"/>
        <v>40.679997940232681</v>
      </c>
      <c r="AB301" s="346">
        <f t="shared" si="128"/>
        <v>-97.421291089203748</v>
      </c>
      <c r="AD301">
        <f t="shared" si="132"/>
        <v>0</v>
      </c>
      <c r="AE301">
        <f t="shared" si="135"/>
        <v>0</v>
      </c>
    </row>
    <row r="302" spans="1:31" x14ac:dyDescent="0.25">
      <c r="A302" s="347">
        <v>20536</v>
      </c>
      <c r="B302" s="364">
        <f t="shared" si="129"/>
        <v>20.536000000000001</v>
      </c>
      <c r="C302" s="337">
        <f t="shared" si="110"/>
        <v>8.9598830630972301</v>
      </c>
      <c r="D302" s="338">
        <f t="shared" si="111"/>
        <v>1.4589547104289036</v>
      </c>
      <c r="E302" s="338">
        <f t="shared" si="112"/>
        <v>1.0013847812680077</v>
      </c>
      <c r="F302" s="339">
        <f t="shared" si="113"/>
        <v>5.2596295270878252E-2</v>
      </c>
      <c r="G302" s="338">
        <f t="shared" si="114"/>
        <v>1</v>
      </c>
      <c r="H302" s="339">
        <f t="shared" si="115"/>
        <v>0</v>
      </c>
      <c r="I302" s="337">
        <f t="shared" si="116"/>
        <v>46253.55813333585</v>
      </c>
      <c r="J302" s="340">
        <f t="shared" si="117"/>
        <v>1.5707747068365532</v>
      </c>
      <c r="K302" s="348">
        <f t="shared" si="133"/>
        <v>8.7283899070089106</v>
      </c>
      <c r="L302" s="349">
        <f t="shared" si="134"/>
        <v>1.4559755296426893</v>
      </c>
      <c r="M302" s="337">
        <f t="shared" si="118"/>
        <v>1.0189621508809759</v>
      </c>
      <c r="N302" s="340">
        <f t="shared" si="119"/>
        <v>0.19322155478299624</v>
      </c>
      <c r="O302" s="341">
        <f t="shared" si="120"/>
        <v>1.0090404140443574</v>
      </c>
      <c r="P302" s="342">
        <f t="shared" si="121"/>
        <v>0.2960396614243464</v>
      </c>
      <c r="Q302" s="343">
        <f t="shared" si="122"/>
        <v>8.0057861734748895E-2</v>
      </c>
      <c r="R302" s="344">
        <f t="shared" si="123"/>
        <v>-115.18851291578545</v>
      </c>
      <c r="S302" s="346">
        <f t="shared" si="124"/>
        <v>64.811487084214548</v>
      </c>
      <c r="U302" s="319">
        <f t="shared" si="130"/>
        <v>1000000000</v>
      </c>
      <c r="V302" s="319">
        <f t="shared" si="131"/>
        <v>421727296</v>
      </c>
      <c r="X302" s="345">
        <f t="shared" si="125"/>
        <v>23.059843174684289</v>
      </c>
      <c r="Y302" s="346">
        <f t="shared" si="126"/>
        <v>-17.648287964970514</v>
      </c>
      <c r="AA302" s="345">
        <f t="shared" si="127"/>
        <v>40.629335976213092</v>
      </c>
      <c r="AB302" s="346">
        <f t="shared" si="128"/>
        <v>-97.540224950814945</v>
      </c>
      <c r="AD302">
        <f t="shared" si="132"/>
        <v>0</v>
      </c>
      <c r="AE302">
        <f t="shared" si="135"/>
        <v>0</v>
      </c>
    </row>
    <row r="303" spans="1:31" x14ac:dyDescent="0.25">
      <c r="A303" s="347">
        <v>20655</v>
      </c>
      <c r="B303" s="364">
        <f t="shared" si="129"/>
        <v>20.655000000000001</v>
      </c>
      <c r="C303" s="337">
        <f t="shared" si="110"/>
        <v>9.0111580166689738</v>
      </c>
      <c r="D303" s="338">
        <f t="shared" si="111"/>
        <v>1.4595937513244588</v>
      </c>
      <c r="E303" s="338">
        <f t="shared" si="112"/>
        <v>1.0014008652985287</v>
      </c>
      <c r="F303" s="339">
        <f t="shared" si="113"/>
        <v>5.2900508467681281E-2</v>
      </c>
      <c r="G303" s="338">
        <f t="shared" si="114"/>
        <v>1</v>
      </c>
      <c r="H303" s="339">
        <f t="shared" si="115"/>
        <v>0</v>
      </c>
      <c r="I303" s="337">
        <f t="shared" si="116"/>
        <v>46521.583718420654</v>
      </c>
      <c r="J303" s="340">
        <f t="shared" si="117"/>
        <v>1.570774831395984</v>
      </c>
      <c r="K303" s="348">
        <f t="shared" si="133"/>
        <v>8.7783063215436172</v>
      </c>
      <c r="L303" s="349">
        <f t="shared" si="134"/>
        <v>1.456631299217783</v>
      </c>
      <c r="M303" s="337">
        <f t="shared" si="118"/>
        <v>1.0191804735285028</v>
      </c>
      <c r="N303" s="340">
        <f t="shared" si="119"/>
        <v>0.19431332170659441</v>
      </c>
      <c r="O303" s="341">
        <f t="shared" si="120"/>
        <v>1.0091520913979566</v>
      </c>
      <c r="P303" s="342">
        <f t="shared" si="121"/>
        <v>0.29777356932786381</v>
      </c>
      <c r="Q303" s="343">
        <f t="shared" si="122"/>
        <v>2.7154975949025564E-2</v>
      </c>
      <c r="R303" s="344">
        <f t="shared" si="123"/>
        <v>-115.33203067956585</v>
      </c>
      <c r="S303" s="346">
        <f t="shared" si="124"/>
        <v>64.667969320434153</v>
      </c>
      <c r="U303" s="319">
        <f t="shared" si="130"/>
        <v>1000000000</v>
      </c>
      <c r="V303" s="319">
        <f t="shared" si="131"/>
        <v>426629025</v>
      </c>
      <c r="X303" s="345">
        <f t="shared" si="125"/>
        <v>23.057327327270748</v>
      </c>
      <c r="Y303" s="346">
        <f t="shared" si="126"/>
        <v>-17.673275909676946</v>
      </c>
      <c r="AA303" s="345">
        <f t="shared" si="127"/>
        <v>40.578948937840906</v>
      </c>
      <c r="AB303" s="346">
        <f t="shared" si="128"/>
        <v>-97.658754769888901</v>
      </c>
      <c r="AD303">
        <f t="shared" si="132"/>
        <v>20655</v>
      </c>
      <c r="AE303">
        <f t="shared" si="135"/>
        <v>64.667969320434153</v>
      </c>
    </row>
    <row r="304" spans="1:31" x14ac:dyDescent="0.25">
      <c r="A304" s="347">
        <v>20774</v>
      </c>
      <c r="B304" s="364">
        <f t="shared" si="129"/>
        <v>20.774000000000001</v>
      </c>
      <c r="C304" s="337">
        <f t="shared" si="110"/>
        <v>9.0624366085142007</v>
      </c>
      <c r="D304" s="338">
        <f t="shared" si="111"/>
        <v>1.4602255606198267</v>
      </c>
      <c r="E304" s="338">
        <f t="shared" si="112"/>
        <v>1.0014170420013808</v>
      </c>
      <c r="F304" s="339">
        <f t="shared" si="113"/>
        <v>5.3204711864230543E-2</v>
      </c>
      <c r="G304" s="338">
        <f t="shared" si="114"/>
        <v>1</v>
      </c>
      <c r="H304" s="339">
        <f t="shared" si="115"/>
        <v>0</v>
      </c>
      <c r="I304" s="337">
        <f t="shared" si="116"/>
        <v>46789.609303506179</v>
      </c>
      <c r="J304" s="340">
        <f t="shared" si="117"/>
        <v>1.5707749545283836</v>
      </c>
      <c r="K304" s="348">
        <f t="shared" si="133"/>
        <v>8.8282264683565153</v>
      </c>
      <c r="L304" s="349">
        <f t="shared" si="134"/>
        <v>1.4572796528312595</v>
      </c>
      <c r="M304" s="337">
        <f t="shared" si="118"/>
        <v>1.0194000104721128</v>
      </c>
      <c r="N304" s="340">
        <f t="shared" si="119"/>
        <v>0.19540461968688896</v>
      </c>
      <c r="O304" s="341">
        <f t="shared" si="120"/>
        <v>1.0092645655671535</v>
      </c>
      <c r="P304" s="342">
        <f t="shared" si="121"/>
        <v>0.29950777257013644</v>
      </c>
      <c r="Q304" s="343">
        <f t="shared" si="122"/>
        <v>-2.547493087728548E-2</v>
      </c>
      <c r="R304" s="344">
        <f t="shared" si="123"/>
        <v>-115.47554953942044</v>
      </c>
      <c r="S304" s="346">
        <f t="shared" si="124"/>
        <v>64.524450460579558</v>
      </c>
      <c r="U304" s="319">
        <f t="shared" si="130"/>
        <v>20774</v>
      </c>
      <c r="V304" s="319">
        <f t="shared" si="131"/>
        <v>431559076</v>
      </c>
      <c r="X304" s="345">
        <f t="shared" si="125"/>
        <v>23.054812659659</v>
      </c>
      <c r="Y304" s="346">
        <f t="shared" si="126"/>
        <v>-17.698661807450549</v>
      </c>
      <c r="AA304" s="345">
        <f t="shared" si="127"/>
        <v>40.528833698626343</v>
      </c>
      <c r="AB304" s="346">
        <f t="shared" si="128"/>
        <v>-97.776887731969907</v>
      </c>
      <c r="AD304">
        <f t="shared" si="132"/>
        <v>0</v>
      </c>
      <c r="AE304">
        <f t="shared" si="135"/>
        <v>0</v>
      </c>
    </row>
    <row r="305" spans="1:31" x14ac:dyDescent="0.25">
      <c r="A305" s="347">
        <v>20893</v>
      </c>
      <c r="B305" s="364">
        <f t="shared" si="129"/>
        <v>20.893000000000001</v>
      </c>
      <c r="C305" s="337">
        <f t="shared" si="110"/>
        <v>9.1137187772203738</v>
      </c>
      <c r="D305" s="338">
        <f t="shared" si="111"/>
        <v>1.460850259881199</v>
      </c>
      <c r="E305" s="338">
        <f t="shared" si="112"/>
        <v>1.0014333113720733</v>
      </c>
      <c r="F305" s="339">
        <f t="shared" si="113"/>
        <v>5.3508905404700553E-2</v>
      </c>
      <c r="G305" s="338">
        <f t="shared" si="114"/>
        <v>1</v>
      </c>
      <c r="H305" s="339">
        <f t="shared" si="115"/>
        <v>0</v>
      </c>
      <c r="I305" s="337">
        <f t="shared" si="116"/>
        <v>47057.634888592402</v>
      </c>
      <c r="J305" s="340">
        <f t="shared" si="117"/>
        <v>1.5707750762581358</v>
      </c>
      <c r="K305" s="348">
        <f t="shared" si="133"/>
        <v>8.8781502844899443</v>
      </c>
      <c r="L305" s="349">
        <f t="shared" si="134"/>
        <v>1.4579207150381923</v>
      </c>
      <c r="M305" s="337">
        <f t="shared" si="118"/>
        <v>1.0196207609274475</v>
      </c>
      <c r="N305" s="340">
        <f t="shared" si="119"/>
        <v>0.19649544642830899</v>
      </c>
      <c r="O305" s="341">
        <f t="shared" si="120"/>
        <v>1.0093778391200539</v>
      </c>
      <c r="P305" s="342">
        <f t="shared" si="121"/>
        <v>0.30124227215349059</v>
      </c>
      <c r="Q305" s="343">
        <f t="shared" si="122"/>
        <v>-7.7835171676134088E-2</v>
      </c>
      <c r="R305" s="344">
        <f t="shared" si="123"/>
        <v>-115.61906925459719</v>
      </c>
      <c r="S305" s="346">
        <f t="shared" si="124"/>
        <v>64.380930745402807</v>
      </c>
      <c r="U305" s="319">
        <f t="shared" si="130"/>
        <v>20893</v>
      </c>
      <c r="V305" s="319">
        <f t="shared" si="131"/>
        <v>436517449</v>
      </c>
      <c r="X305" s="345">
        <f t="shared" si="125"/>
        <v>23.052298934929055</v>
      </c>
      <c r="Y305" s="346">
        <f t="shared" si="126"/>
        <v>-17.724438391681829</v>
      </c>
      <c r="AA305" s="345">
        <f t="shared" si="127"/>
        <v>40.478987182557439</v>
      </c>
      <c r="AB305" s="346">
        <f t="shared" si="128"/>
        <v>-97.894630862915335</v>
      </c>
      <c r="AD305">
        <f t="shared" si="132"/>
        <v>0</v>
      </c>
      <c r="AE305">
        <f t="shared" si="135"/>
        <v>0</v>
      </c>
    </row>
    <row r="306" spans="1:31" x14ac:dyDescent="0.25">
      <c r="A306" s="347">
        <v>21014.75</v>
      </c>
      <c r="B306" s="364">
        <f t="shared" si="129"/>
        <v>21.014749999999999</v>
      </c>
      <c r="C306" s="337">
        <f t="shared" si="110"/>
        <v>9.1661896772541915</v>
      </c>
      <c r="D306" s="338">
        <f t="shared" si="111"/>
        <v>1.4614821610277817</v>
      </c>
      <c r="E306" s="338">
        <f t="shared" si="112"/>
        <v>1.0014500526157171</v>
      </c>
      <c r="F306" s="339">
        <f t="shared" si="113"/>
        <v>5.3820118369258554E-2</v>
      </c>
      <c r="G306" s="338">
        <f t="shared" si="114"/>
        <v>1</v>
      </c>
      <c r="H306" s="339">
        <f t="shared" si="115"/>
        <v>0</v>
      </c>
      <c r="I306" s="337">
        <f t="shared" si="116"/>
        <v>47331.854342242252</v>
      </c>
      <c r="J306" s="340">
        <f t="shared" si="117"/>
        <v>1.5707751993741781</v>
      </c>
      <c r="K306" s="348">
        <f t="shared" si="133"/>
        <v>8.9292315355631988</v>
      </c>
      <c r="L306" s="349">
        <f t="shared" si="134"/>
        <v>1.4585691726083145</v>
      </c>
      <c r="M306" s="337">
        <f t="shared" si="118"/>
        <v>1.0198478678377687</v>
      </c>
      <c r="N306" s="340">
        <f t="shared" si="119"/>
        <v>0.1976109912637897</v>
      </c>
      <c r="O306" s="341">
        <f t="shared" si="120"/>
        <v>1.0094945603381424</v>
      </c>
      <c r="P306" s="342">
        <f t="shared" si="121"/>
        <v>0.30301716243582527</v>
      </c>
      <c r="Q306" s="343">
        <f t="shared" si="122"/>
        <v>-0.13112972821859881</v>
      </c>
      <c r="R306" s="344">
        <f t="shared" si="123"/>
        <v>-115.7659062394102</v>
      </c>
      <c r="S306" s="346">
        <f t="shared" si="124"/>
        <v>64.234093760589801</v>
      </c>
      <c r="U306" s="319">
        <f t="shared" si="130"/>
        <v>21014.75</v>
      </c>
      <c r="V306" s="319">
        <f t="shared" si="131"/>
        <v>441619717.5625</v>
      </c>
      <c r="X306" s="345">
        <f t="shared" si="125"/>
        <v>23.049727856027424</v>
      </c>
      <c r="Y306" s="346">
        <f t="shared" si="126"/>
        <v>-17.75120757471138</v>
      </c>
      <c r="AA306" s="345">
        <f t="shared" si="127"/>
        <v>40.428263704916603</v>
      </c>
      <c r="AB306" s="346">
        <f t="shared" si="128"/>
        <v>-98.014698664698841</v>
      </c>
      <c r="AD306">
        <f t="shared" si="132"/>
        <v>0</v>
      </c>
      <c r="AE306">
        <f t="shared" si="135"/>
        <v>0</v>
      </c>
    </row>
    <row r="307" spans="1:31" x14ac:dyDescent="0.25">
      <c r="A307" s="347">
        <v>21136.5</v>
      </c>
      <c r="B307" s="364">
        <f t="shared" si="129"/>
        <v>21.136500000000002</v>
      </c>
      <c r="C307" s="337">
        <f t="shared" si="110"/>
        <v>9.2186641956734334</v>
      </c>
      <c r="D307" s="338">
        <f t="shared" si="111"/>
        <v>1.4621068686008145</v>
      </c>
      <c r="E307" s="338">
        <f t="shared" si="112"/>
        <v>1.0014668908500648</v>
      </c>
      <c r="F307" s="339">
        <f t="shared" si="113"/>
        <v>5.4131320898754415E-2</v>
      </c>
      <c r="G307" s="338">
        <f t="shared" si="114"/>
        <v>1</v>
      </c>
      <c r="H307" s="339">
        <f t="shared" si="115"/>
        <v>0</v>
      </c>
      <c r="I307" s="337">
        <f t="shared" si="116"/>
        <v>47606.073795892815</v>
      </c>
      <c r="J307" s="340">
        <f t="shared" si="117"/>
        <v>1.5707753210718798</v>
      </c>
      <c r="K307" s="348">
        <f t="shared" si="133"/>
        <v>8.9803164986379027</v>
      </c>
      <c r="L307" s="349">
        <f t="shared" si="134"/>
        <v>1.4592102528811985</v>
      </c>
      <c r="M307" s="337">
        <f t="shared" si="118"/>
        <v>1.0200762433218198</v>
      </c>
      <c r="N307" s="340">
        <f t="shared" si="119"/>
        <v>0.19872603798822566</v>
      </c>
      <c r="O307" s="341">
        <f t="shared" si="120"/>
        <v>1.0096121237939903</v>
      </c>
      <c r="P307" s="342">
        <f t="shared" si="121"/>
        <v>0.30479236499844437</v>
      </c>
      <c r="Q307" s="343">
        <f t="shared" si="122"/>
        <v>-0.18414884747887147</v>
      </c>
      <c r="R307" s="344">
        <f t="shared" si="123"/>
        <v>-115.91274362011701</v>
      </c>
      <c r="S307" s="346">
        <f t="shared" si="124"/>
        <v>64.087256379882987</v>
      </c>
      <c r="U307" s="319">
        <f t="shared" si="130"/>
        <v>21136.5</v>
      </c>
      <c r="V307" s="319">
        <f t="shared" si="131"/>
        <v>446751632.25</v>
      </c>
      <c r="X307" s="345">
        <f t="shared" si="125"/>
        <v>23.047157284642136</v>
      </c>
      <c r="Y307" s="346">
        <f t="shared" si="126"/>
        <v>-17.778370824811812</v>
      </c>
      <c r="AA307" s="345">
        <f t="shared" si="127"/>
        <v>40.377815157041617</v>
      </c>
      <c r="AB307" s="346">
        <f t="shared" si="128"/>
        <v>-98.134372795305197</v>
      </c>
      <c r="AD307">
        <f t="shared" si="132"/>
        <v>0</v>
      </c>
      <c r="AE307">
        <f t="shared" si="135"/>
        <v>0</v>
      </c>
    </row>
    <row r="308" spans="1:31" x14ac:dyDescent="0.25">
      <c r="A308" s="347">
        <v>21258.25</v>
      </c>
      <c r="B308" s="364">
        <f t="shared" si="129"/>
        <v>21.25825</v>
      </c>
      <c r="C308" s="337">
        <f t="shared" si="110"/>
        <v>9.2711422710380909</v>
      </c>
      <c r="D308" s="338">
        <f t="shared" si="111"/>
        <v>1.4627245042633301</v>
      </c>
      <c r="E308" s="338">
        <f t="shared" si="112"/>
        <v>1.0014838260702239</v>
      </c>
      <c r="F308" s="339">
        <f t="shared" si="113"/>
        <v>5.4442512933437937E-2</v>
      </c>
      <c r="G308" s="338">
        <f t="shared" si="114"/>
        <v>1</v>
      </c>
      <c r="H308" s="339">
        <f t="shared" si="115"/>
        <v>0</v>
      </c>
      <c r="I308" s="337">
        <f t="shared" si="116"/>
        <v>47880.293249544076</v>
      </c>
      <c r="J308" s="340">
        <f t="shared" si="117"/>
        <v>1.5707754413756103</v>
      </c>
      <c r="K308" s="348">
        <f t="shared" si="133"/>
        <v>9.0314051107247053</v>
      </c>
      <c r="L308" s="349">
        <f t="shared" si="134"/>
        <v>1.4598440805204709</v>
      </c>
      <c r="M308" s="337">
        <f t="shared" si="118"/>
        <v>1.0203058865277643</v>
      </c>
      <c r="N308" s="340">
        <f t="shared" si="119"/>
        <v>0.19984058416428854</v>
      </c>
      <c r="O308" s="341">
        <f t="shared" si="120"/>
        <v>1.0097305322808068</v>
      </c>
      <c r="P308" s="342">
        <f t="shared" si="121"/>
        <v>0.30656788087600095</v>
      </c>
      <c r="Q308" s="343">
        <f t="shared" si="122"/>
        <v>-0.2368958982068527</v>
      </c>
      <c r="R308" s="344">
        <f t="shared" si="123"/>
        <v>-116.05958114924852</v>
      </c>
      <c r="S308" s="346">
        <f t="shared" si="124"/>
        <v>63.940418850751485</v>
      </c>
      <c r="U308" s="319">
        <f t="shared" si="130"/>
        <v>21258.25</v>
      </c>
      <c r="V308" s="319">
        <f t="shared" si="131"/>
        <v>451913193.0625</v>
      </c>
      <c r="X308" s="345">
        <f t="shared" si="125"/>
        <v>23.044586989134842</v>
      </c>
      <c r="Y308" s="346">
        <f t="shared" si="126"/>
        <v>-17.805920861031115</v>
      </c>
      <c r="AA308" s="345">
        <f t="shared" si="127"/>
        <v>40.327638401820927</v>
      </c>
      <c r="AB308" s="346">
        <f t="shared" si="128"/>
        <v>-98.253660288217432</v>
      </c>
      <c r="AD308">
        <f t="shared" si="132"/>
        <v>0</v>
      </c>
      <c r="AE308">
        <f t="shared" si="135"/>
        <v>0</v>
      </c>
    </row>
    <row r="309" spans="1:31" x14ac:dyDescent="0.25">
      <c r="A309" s="347">
        <v>21380</v>
      </c>
      <c r="B309" s="364">
        <f t="shared" si="129"/>
        <v>21.38</v>
      </c>
      <c r="C309" s="337">
        <f t="shared" si="110"/>
        <v>9.3236238432872902</v>
      </c>
      <c r="D309" s="338">
        <f t="shared" si="111"/>
        <v>1.4633351869609166</v>
      </c>
      <c r="E309" s="338">
        <f t="shared" si="112"/>
        <v>1.0015008582712743</v>
      </c>
      <c r="F309" s="339">
        <f t="shared" si="113"/>
        <v>5.4753694413571086E-2</v>
      </c>
      <c r="G309" s="338">
        <f t="shared" si="114"/>
        <v>1</v>
      </c>
      <c r="H309" s="339">
        <f t="shared" si="115"/>
        <v>0</v>
      </c>
      <c r="I309" s="337">
        <f t="shared" si="116"/>
        <v>48154.512703196015</v>
      </c>
      <c r="J309" s="340">
        <f t="shared" si="117"/>
        <v>1.5707755603091835</v>
      </c>
      <c r="K309" s="348">
        <f t="shared" si="133"/>
        <v>9.0824973102470512</v>
      </c>
      <c r="L309" s="349">
        <f t="shared" si="134"/>
        <v>1.4604707774082641</v>
      </c>
      <c r="M309" s="337">
        <f t="shared" si="118"/>
        <v>1.0205367965998065</v>
      </c>
      <c r="N309" s="340">
        <f t="shared" si="119"/>
        <v>0.20095462736181213</v>
      </c>
      <c r="O309" s="341">
        <f t="shared" si="120"/>
        <v>1.0098497886062086</v>
      </c>
      <c r="P309" s="342">
        <f t="shared" si="121"/>
        <v>0.30834371108993752</v>
      </c>
      <c r="Q309" s="343">
        <f t="shared" si="122"/>
        <v>-0.28937419146630788</v>
      </c>
      <c r="R309" s="344">
        <f t="shared" si="123"/>
        <v>-116.20641858262641</v>
      </c>
      <c r="S309" s="346">
        <f t="shared" si="124"/>
        <v>63.793581417373588</v>
      </c>
      <c r="U309" s="319">
        <f t="shared" si="130"/>
        <v>21380</v>
      </c>
      <c r="V309" s="319">
        <f t="shared" si="131"/>
        <v>457104400</v>
      </c>
      <c r="X309" s="345">
        <f t="shared" si="125"/>
        <v>23.042016744826022</v>
      </c>
      <c r="Y309" s="346">
        <f t="shared" si="126"/>
        <v>-17.833850562163644</v>
      </c>
      <c r="AA309" s="345">
        <f t="shared" si="127"/>
        <v>40.277730352870293</v>
      </c>
      <c r="AB309" s="346">
        <f t="shared" si="128"/>
        <v>-98.372568020462779</v>
      </c>
      <c r="AD309">
        <f t="shared" si="132"/>
        <v>0</v>
      </c>
      <c r="AE309">
        <f t="shared" si="135"/>
        <v>0</v>
      </c>
    </row>
    <row r="310" spans="1:31" x14ac:dyDescent="0.25">
      <c r="A310" s="347">
        <v>21504.5</v>
      </c>
      <c r="B310" s="364">
        <f t="shared" si="129"/>
        <v>21.5045</v>
      </c>
      <c r="C310" s="337">
        <f t="shared" si="110"/>
        <v>9.3772943860062341</v>
      </c>
      <c r="D310" s="338">
        <f t="shared" si="111"/>
        <v>1.4639525941653238</v>
      </c>
      <c r="E310" s="338">
        <f t="shared" si="112"/>
        <v>1.0015183754695067</v>
      </c>
      <c r="F310" s="339">
        <f t="shared" si="113"/>
        <v>5.5071893656431871E-2</v>
      </c>
      <c r="G310" s="338">
        <f t="shared" si="114"/>
        <v>1</v>
      </c>
      <c r="H310" s="339">
        <f t="shared" si="115"/>
        <v>0</v>
      </c>
      <c r="I310" s="337">
        <f t="shared" si="116"/>
        <v>48434.926025411638</v>
      </c>
      <c r="J310" s="340">
        <f t="shared" si="117"/>
        <v>1.5707756805364601</v>
      </c>
      <c r="K310" s="348">
        <f t="shared" si="133"/>
        <v>9.1347471902007609</v>
      </c>
      <c r="L310" s="349">
        <f t="shared" si="134"/>
        <v>1.4611043796585304</v>
      </c>
      <c r="M310" s="337">
        <f t="shared" si="118"/>
        <v>1.0207742315157873</v>
      </c>
      <c r="N310" s="340">
        <f t="shared" si="119"/>
        <v>0.20209331107998291</v>
      </c>
      <c r="O310" s="341">
        <f t="shared" si="120"/>
        <v>1.0099726183270901</v>
      </c>
      <c r="P310" s="342">
        <f t="shared" si="121"/>
        <v>0.31015997857551819</v>
      </c>
      <c r="Q310" s="343">
        <f t="shared" si="122"/>
        <v>-0.34276328508953763</v>
      </c>
      <c r="R310" s="344">
        <f t="shared" si="123"/>
        <v>-116.35657232251866</v>
      </c>
      <c r="S310" s="346">
        <f t="shared" si="124"/>
        <v>63.643427677481341</v>
      </c>
      <c r="U310" s="319">
        <f t="shared" si="130"/>
        <v>21504.5</v>
      </c>
      <c r="V310" s="319">
        <f t="shared" si="131"/>
        <v>462443520.25</v>
      </c>
      <c r="X310" s="345">
        <f t="shared" si="125"/>
        <v>23.039388271613994</v>
      </c>
      <c r="Y310" s="346">
        <f t="shared" si="126"/>
        <v>-17.862796487133455</v>
      </c>
      <c r="AA310" s="345">
        <f t="shared" si="127"/>
        <v>40.226969732459096</v>
      </c>
      <c r="AB310" s="346">
        <f t="shared" si="128"/>
        <v>-98.493775835385208</v>
      </c>
      <c r="AD310">
        <f t="shared" si="132"/>
        <v>0</v>
      </c>
      <c r="AE310">
        <f t="shared" si="135"/>
        <v>0</v>
      </c>
    </row>
    <row r="311" spans="1:31" x14ac:dyDescent="0.25">
      <c r="A311" s="347">
        <v>21629</v>
      </c>
      <c r="B311" s="364">
        <f t="shared" si="129"/>
        <v>21.629000000000001</v>
      </c>
      <c r="C311" s="337">
        <f t="shared" si="110"/>
        <v>9.4309684625861081</v>
      </c>
      <c r="D311" s="338">
        <f t="shared" si="111"/>
        <v>1.464562973952573</v>
      </c>
      <c r="E311" s="338">
        <f t="shared" si="112"/>
        <v>1.0015359940686808</v>
      </c>
      <c r="F311" s="339">
        <f t="shared" si="113"/>
        <v>5.5390081736254509E-2</v>
      </c>
      <c r="G311" s="338">
        <f t="shared" si="114"/>
        <v>1</v>
      </c>
      <c r="H311" s="339">
        <f t="shared" si="115"/>
        <v>0</v>
      </c>
      <c r="I311" s="337">
        <f t="shared" si="116"/>
        <v>48715.339347627953</v>
      </c>
      <c r="J311" s="340">
        <f t="shared" si="117"/>
        <v>1.5707757993796418</v>
      </c>
      <c r="K311" s="348">
        <f t="shared" si="133"/>
        <v>9.1870006956014212</v>
      </c>
      <c r="L311" s="349">
        <f t="shared" si="134"/>
        <v>1.4617307745958745</v>
      </c>
      <c r="M311" s="337">
        <f t="shared" si="118"/>
        <v>1.0210129893516859</v>
      </c>
      <c r="N311" s="340">
        <f t="shared" si="119"/>
        <v>0.20323146372443268</v>
      </c>
      <c r="O311" s="341">
        <f t="shared" si="120"/>
        <v>1.0100963406038723</v>
      </c>
      <c r="P311" s="342">
        <f t="shared" si="121"/>
        <v>0.31197657687561553</v>
      </c>
      <c r="Q311" s="343">
        <f t="shared" si="122"/>
        <v>-0.3958781669880056</v>
      </c>
      <c r="R311" s="344">
        <f t="shared" si="123"/>
        <v>-116.50672545596387</v>
      </c>
      <c r="S311" s="346">
        <f t="shared" si="124"/>
        <v>63.493274544036126</v>
      </c>
      <c r="U311" s="319">
        <f t="shared" si="130"/>
        <v>21629</v>
      </c>
      <c r="V311" s="319">
        <f t="shared" si="131"/>
        <v>467813641</v>
      </c>
      <c r="X311" s="345">
        <f t="shared" si="125"/>
        <v>23.03675939803388</v>
      </c>
      <c r="Y311" s="346">
        <f t="shared" si="126"/>
        <v>-17.892124853130152</v>
      </c>
      <c r="AA311" s="345">
        <f t="shared" si="127"/>
        <v>40.176483724140738</v>
      </c>
      <c r="AB311" s="346">
        <f t="shared" si="128"/>
        <v>-98.614600602833747</v>
      </c>
      <c r="AD311">
        <f t="shared" si="132"/>
        <v>0</v>
      </c>
      <c r="AE311">
        <f t="shared" si="135"/>
        <v>0</v>
      </c>
    </row>
    <row r="312" spans="1:31" x14ac:dyDescent="0.25">
      <c r="A312" s="347">
        <v>21753.5</v>
      </c>
      <c r="B312" s="364">
        <f t="shared" si="129"/>
        <v>21.753499999999999</v>
      </c>
      <c r="C312" s="337">
        <f t="shared" si="110"/>
        <v>9.4846460130320409</v>
      </c>
      <c r="D312" s="338">
        <f t="shared" si="111"/>
        <v>1.4651664451771649</v>
      </c>
      <c r="E312" s="338">
        <f t="shared" si="112"/>
        <v>1.0015537140634452</v>
      </c>
      <c r="F312" s="339">
        <f t="shared" si="113"/>
        <v>5.5708258589200768E-2</v>
      </c>
      <c r="G312" s="338">
        <f t="shared" si="114"/>
        <v>1</v>
      </c>
      <c r="H312" s="339">
        <f t="shared" si="115"/>
        <v>0</v>
      </c>
      <c r="I312" s="337">
        <f t="shared" si="116"/>
        <v>48995.752669844944</v>
      </c>
      <c r="J312" s="340">
        <f t="shared" si="117"/>
        <v>1.5707759168624926</v>
      </c>
      <c r="K312" s="348">
        <f t="shared" si="133"/>
        <v>9.2392577649368413</v>
      </c>
      <c r="L312" s="349">
        <f t="shared" si="134"/>
        <v>1.4623500840178019</v>
      </c>
      <c r="M312" s="337">
        <f t="shared" si="118"/>
        <v>1.0212530691796498</v>
      </c>
      <c r="N312" s="340">
        <f t="shared" si="119"/>
        <v>0.20436908271997109</v>
      </c>
      <c r="O312" s="341">
        <f t="shared" si="120"/>
        <v>1.0102209584852759</v>
      </c>
      <c r="P312" s="342">
        <f t="shared" si="121"/>
        <v>0.31379350703915704</v>
      </c>
      <c r="Q312" s="343">
        <f t="shared" si="122"/>
        <v>-0.44872219899706478</v>
      </c>
      <c r="R312" s="344">
        <f t="shared" si="123"/>
        <v>-116.65687773191118</v>
      </c>
      <c r="S312" s="346">
        <f t="shared" si="124"/>
        <v>63.34312226808882</v>
      </c>
      <c r="U312" s="319">
        <f t="shared" si="130"/>
        <v>21753.5</v>
      </c>
      <c r="V312" s="319">
        <f t="shared" si="131"/>
        <v>473214762.25</v>
      </c>
      <c r="X312" s="345">
        <f t="shared" si="125"/>
        <v>23.034129904938712</v>
      </c>
      <c r="Y312" s="346">
        <f t="shared" si="126"/>
        <v>-17.921828535484742</v>
      </c>
      <c r="AA312" s="345">
        <f t="shared" si="127"/>
        <v>40.126269185226846</v>
      </c>
      <c r="AB312" s="346">
        <f t="shared" si="128"/>
        <v>-98.735049196426459</v>
      </c>
      <c r="AD312">
        <f t="shared" si="132"/>
        <v>0</v>
      </c>
      <c r="AE312">
        <f t="shared" si="135"/>
        <v>0</v>
      </c>
    </row>
    <row r="313" spans="1:31" x14ac:dyDescent="0.25">
      <c r="A313" s="347">
        <v>21878</v>
      </c>
      <c r="B313" s="364">
        <f t="shared" si="129"/>
        <v>21.878</v>
      </c>
      <c r="C313" s="337">
        <f t="shared" si="110"/>
        <v>9.538326978695812</v>
      </c>
      <c r="D313" s="338">
        <f t="shared" si="111"/>
        <v>1.4657631240383724</v>
      </c>
      <c r="E313" s="338">
        <f t="shared" si="112"/>
        <v>1.0015715354484183</v>
      </c>
      <c r="F313" s="339">
        <f t="shared" si="113"/>
        <v>5.6026424151446028E-2</v>
      </c>
      <c r="G313" s="338">
        <f t="shared" si="114"/>
        <v>1</v>
      </c>
      <c r="H313" s="339">
        <f t="shared" si="115"/>
        <v>0</v>
      </c>
      <c r="I313" s="337">
        <f t="shared" si="116"/>
        <v>49276.165992062604</v>
      </c>
      <c r="J313" s="340">
        <f t="shared" si="117"/>
        <v>1.5707760330082365</v>
      </c>
      <c r="K313" s="348">
        <f t="shared" si="133"/>
        <v>9.2915183380745141</v>
      </c>
      <c r="L313" s="349">
        <f t="shared" si="134"/>
        <v>1.4629624270036181</v>
      </c>
      <c r="M313" s="337">
        <f t="shared" si="118"/>
        <v>1.021494470067563</v>
      </c>
      <c r="N313" s="340">
        <f t="shared" si="119"/>
        <v>0.2055061654993473</v>
      </c>
      <c r="O313" s="341">
        <f t="shared" si="120"/>
        <v>1.0103464750356326</v>
      </c>
      <c r="P313" s="342">
        <f t="shared" si="121"/>
        <v>0.31561077010032323</v>
      </c>
      <c r="Q313" s="343">
        <f t="shared" si="122"/>
        <v>-0.50129868544327083</v>
      </c>
      <c r="R313" s="344">
        <f t="shared" si="123"/>
        <v>-116.80702890249593</v>
      </c>
      <c r="S313" s="346">
        <f t="shared" si="124"/>
        <v>63.192971097504071</v>
      </c>
      <c r="U313" s="319">
        <f t="shared" si="130"/>
        <v>21878</v>
      </c>
      <c r="V313" s="319">
        <f t="shared" si="131"/>
        <v>478646884</v>
      </c>
      <c r="X313" s="345">
        <f t="shared" si="125"/>
        <v>23.031499579828498</v>
      </c>
      <c r="Y313" s="346">
        <f t="shared" si="126"/>
        <v>-17.951900565693588</v>
      </c>
      <c r="AA313" s="345">
        <f t="shared" si="127"/>
        <v>40.076323023890851</v>
      </c>
      <c r="AB313" s="346">
        <f t="shared" si="128"/>
        <v>-98.855128336802309</v>
      </c>
      <c r="AD313">
        <f t="shared" si="132"/>
        <v>0</v>
      </c>
      <c r="AE313">
        <f t="shared" si="135"/>
        <v>0</v>
      </c>
    </row>
    <row r="314" spans="1:31" x14ac:dyDescent="0.25">
      <c r="A314" s="347">
        <v>22005.25</v>
      </c>
      <c r="B314" s="364">
        <f t="shared" si="129"/>
        <v>22.00525</v>
      </c>
      <c r="C314" s="337">
        <f t="shared" si="110"/>
        <v>9.5931971380248271</v>
      </c>
      <c r="D314" s="338">
        <f t="shared" si="111"/>
        <v>1.4663660817441975</v>
      </c>
      <c r="E314" s="338">
        <f t="shared" si="112"/>
        <v>1.0015898552470635</v>
      </c>
      <c r="F314" s="339">
        <f t="shared" si="113"/>
        <v>5.6351605733103223E-2</v>
      </c>
      <c r="G314" s="338">
        <f t="shared" si="114"/>
        <v>1</v>
      </c>
      <c r="H314" s="339">
        <f t="shared" si="115"/>
        <v>0</v>
      </c>
      <c r="I314" s="337">
        <f t="shared" si="116"/>
        <v>49562.773182843986</v>
      </c>
      <c r="J314" s="340">
        <f t="shared" si="117"/>
        <v>1.5707761503613387</v>
      </c>
      <c r="K314" s="348">
        <f t="shared" si="133"/>
        <v>9.3449368207748584</v>
      </c>
      <c r="L314" s="349">
        <f t="shared" si="134"/>
        <v>1.4635812178800005</v>
      </c>
      <c r="M314" s="337">
        <f t="shared" si="118"/>
        <v>1.0217425672811185</v>
      </c>
      <c r="N314" s="340">
        <f t="shared" si="119"/>
        <v>0.20666780778771451</v>
      </c>
      <c r="O314" s="341">
        <f t="shared" si="120"/>
        <v>1.0104756959094929</v>
      </c>
      <c r="P314" s="342">
        <f t="shared" si="121"/>
        <v>0.31746851857985597</v>
      </c>
      <c r="Q314" s="343">
        <f t="shared" si="122"/>
        <v>-0.55476340554644143</v>
      </c>
      <c r="R314" s="344">
        <f t="shared" si="123"/>
        <v>-116.96049526815655</v>
      </c>
      <c r="S314" s="346">
        <f t="shared" si="124"/>
        <v>63.039504731843451</v>
      </c>
      <c r="U314" s="319">
        <f t="shared" si="130"/>
        <v>22005.25</v>
      </c>
      <c r="V314" s="319">
        <f t="shared" si="131"/>
        <v>484231027.5625</v>
      </c>
      <c r="X314" s="345">
        <f t="shared" si="125"/>
        <v>23.028810080899721</v>
      </c>
      <c r="Y314" s="346">
        <f t="shared" si="126"/>
        <v>-17.983010384376044</v>
      </c>
      <c r="AA314" s="345">
        <f t="shared" si="127"/>
        <v>40.02554780271646</v>
      </c>
      <c r="AB314" s="346">
        <f t="shared" si="128"/>
        <v>-98.977484883780519</v>
      </c>
      <c r="AD314">
        <f t="shared" si="132"/>
        <v>0</v>
      </c>
      <c r="AE314">
        <f t="shared" si="135"/>
        <v>0</v>
      </c>
    </row>
    <row r="315" spans="1:31" x14ac:dyDescent="0.25">
      <c r="A315" s="347">
        <v>22132.5</v>
      </c>
      <c r="B315" s="364">
        <f t="shared" si="129"/>
        <v>22.1325</v>
      </c>
      <c r="C315" s="337">
        <f t="shared" si="110"/>
        <v>9.6480707453665708</v>
      </c>
      <c r="D315" s="338">
        <f t="shared" si="111"/>
        <v>1.4669621809951656</v>
      </c>
      <c r="E315" s="338">
        <f t="shared" si="112"/>
        <v>1.0016082809530049</v>
      </c>
      <c r="F315" s="339">
        <f t="shared" si="113"/>
        <v>5.6676775384985133E-2</v>
      </c>
      <c r="G315" s="338">
        <f t="shared" si="114"/>
        <v>1</v>
      </c>
      <c r="H315" s="339">
        <f t="shared" si="115"/>
        <v>0</v>
      </c>
      <c r="I315" s="337">
        <f t="shared" si="116"/>
        <v>49849.380373626038</v>
      </c>
      <c r="J315" s="340">
        <f t="shared" si="117"/>
        <v>1.5707762663650062</v>
      </c>
      <c r="K315" s="348">
        <f t="shared" si="133"/>
        <v>9.3983588409952254</v>
      </c>
      <c r="L315" s="349">
        <f t="shared" si="134"/>
        <v>1.4641929743434765</v>
      </c>
      <c r="M315" s="337">
        <f t="shared" si="118"/>
        <v>1.021992042576686</v>
      </c>
      <c r="N315" s="340">
        <f t="shared" si="119"/>
        <v>0.20782888451245324</v>
      </c>
      <c r="O315" s="341">
        <f t="shared" si="120"/>
        <v>1.010605862113831</v>
      </c>
      <c r="P315" s="342">
        <f t="shared" si="121"/>
        <v>0.31932661696290787</v>
      </c>
      <c r="Q315" s="343">
        <f t="shared" si="122"/>
        <v>-0.60795543213335201</v>
      </c>
      <c r="R315" s="344">
        <f t="shared" si="123"/>
        <v>-117.11395996526565</v>
      </c>
      <c r="S315" s="346">
        <f t="shared" si="124"/>
        <v>62.88604003473435</v>
      </c>
      <c r="U315" s="319">
        <f t="shared" si="130"/>
        <v>22132.5</v>
      </c>
      <c r="V315" s="319">
        <f t="shared" si="131"/>
        <v>489847556.25</v>
      </c>
      <c r="X315" s="345">
        <f t="shared" si="125"/>
        <v>23.026119284215515</v>
      </c>
      <c r="Y315" s="346">
        <f t="shared" si="126"/>
        <v>-18.014490763503957</v>
      </c>
      <c r="AA315" s="345">
        <f t="shared" si="127"/>
        <v>39.97504657281376</v>
      </c>
      <c r="AB315" s="346">
        <f t="shared" si="128"/>
        <v>-99.099469201761693</v>
      </c>
      <c r="AD315">
        <f t="shared" si="132"/>
        <v>0</v>
      </c>
      <c r="AE315">
        <f t="shared" si="135"/>
        <v>0</v>
      </c>
    </row>
    <row r="316" spans="1:31" x14ac:dyDescent="0.25">
      <c r="A316" s="347">
        <v>22259.75</v>
      </c>
      <c r="B316" s="364">
        <f t="shared" si="129"/>
        <v>22.25975</v>
      </c>
      <c r="C316" s="337">
        <f t="shared" si="110"/>
        <v>9.7029477422218395</v>
      </c>
      <c r="D316" s="338">
        <f t="shared" si="111"/>
        <v>1.4675515377321771</v>
      </c>
      <c r="E316" s="338">
        <f t="shared" si="112"/>
        <v>1.0016268125603982</v>
      </c>
      <c r="F316" s="339">
        <f t="shared" si="113"/>
        <v>5.7001933038988199E-2</v>
      </c>
      <c r="G316" s="338">
        <f t="shared" si="114"/>
        <v>1</v>
      </c>
      <c r="H316" s="339">
        <f t="shared" si="115"/>
        <v>0</v>
      </c>
      <c r="I316" s="337">
        <f t="shared" si="116"/>
        <v>50135.987564408759</v>
      </c>
      <c r="J316" s="340">
        <f t="shared" si="117"/>
        <v>1.5707763810423814</v>
      </c>
      <c r="K316" s="348">
        <f t="shared" si="133"/>
        <v>9.4517843387528213</v>
      </c>
      <c r="L316" s="349">
        <f t="shared" si="134"/>
        <v>1.4647978152166889</v>
      </c>
      <c r="M316" s="337">
        <f t="shared" si="118"/>
        <v>1.0222428949453155</v>
      </c>
      <c r="N316" s="340">
        <f t="shared" si="119"/>
        <v>0.20898939295829327</v>
      </c>
      <c r="O316" s="341">
        <f t="shared" si="120"/>
        <v>1.0107369769708661</v>
      </c>
      <c r="P316" s="342">
        <f t="shared" si="121"/>
        <v>0.32118506630546151</v>
      </c>
      <c r="Q316" s="343">
        <f t="shared" si="122"/>
        <v>-0.66087811551198716</v>
      </c>
      <c r="R316" s="344">
        <f t="shared" si="123"/>
        <v>-117.26742273886923</v>
      </c>
      <c r="S316" s="346">
        <f t="shared" si="124"/>
        <v>62.732577261130771</v>
      </c>
      <c r="U316" s="319">
        <f t="shared" si="130"/>
        <v>22259.75</v>
      </c>
      <c r="V316" s="319">
        <f t="shared" si="131"/>
        <v>495496470.0625</v>
      </c>
      <c r="X316" s="345">
        <f t="shared" si="125"/>
        <v>23.0234269830061</v>
      </c>
      <c r="Y316" s="346">
        <f t="shared" si="126"/>
        <v>-18.046334740793792</v>
      </c>
      <c r="AA316" s="345">
        <f t="shared" si="127"/>
        <v>39.924816190644535</v>
      </c>
      <c r="AB316" s="346">
        <f t="shared" si="128"/>
        <v>-99.221087998075447</v>
      </c>
      <c r="AD316">
        <f t="shared" si="132"/>
        <v>0</v>
      </c>
      <c r="AE316">
        <f t="shared" si="135"/>
        <v>0</v>
      </c>
    </row>
    <row r="317" spans="1:31" x14ac:dyDescent="0.25">
      <c r="A317" s="347">
        <v>22387</v>
      </c>
      <c r="B317" s="364">
        <f t="shared" si="129"/>
        <v>22.387</v>
      </c>
      <c r="C317" s="337">
        <f t="shared" si="110"/>
        <v>9.7578280714038339</v>
      </c>
      <c r="D317" s="338">
        <f t="shared" si="111"/>
        <v>1.4681342653067944</v>
      </c>
      <c r="E317" s="338">
        <f t="shared" si="112"/>
        <v>1.0016454500633649</v>
      </c>
      <c r="F317" s="339">
        <f t="shared" si="113"/>
        <v>5.7327078627024061E-2</v>
      </c>
      <c r="G317" s="338">
        <f t="shared" si="114"/>
        <v>1</v>
      </c>
      <c r="H317" s="339">
        <f t="shared" si="115"/>
        <v>0</v>
      </c>
      <c r="I317" s="337">
        <f t="shared" si="116"/>
        <v>50422.594755192134</v>
      </c>
      <c r="J317" s="340">
        <f t="shared" si="117"/>
        <v>1.5707764944160807</v>
      </c>
      <c r="K317" s="348">
        <f t="shared" si="133"/>
        <v>9.505213255409565</v>
      </c>
      <c r="L317" s="349">
        <f t="shared" si="134"/>
        <v>1.4653958566711685</v>
      </c>
      <c r="M317" s="337">
        <f t="shared" si="118"/>
        <v>1.0224951233734803</v>
      </c>
      <c r="N317" s="340">
        <f t="shared" si="119"/>
        <v>0.21014933041874456</v>
      </c>
      <c r="O317" s="341">
        <f t="shared" si="120"/>
        <v>1.0108690438196881</v>
      </c>
      <c r="P317" s="342">
        <f t="shared" si="121"/>
        <v>0.32304386764707343</v>
      </c>
      <c r="Q317" s="343">
        <f t="shared" si="122"/>
        <v>-0.71353474876479961</v>
      </c>
      <c r="R317" s="344">
        <f t="shared" si="123"/>
        <v>-117.42088333708385</v>
      </c>
      <c r="S317" s="346">
        <f t="shared" si="124"/>
        <v>62.579116662916149</v>
      </c>
      <c r="U317" s="319">
        <f t="shared" si="130"/>
        <v>22387</v>
      </c>
      <c r="V317" s="319">
        <f t="shared" si="131"/>
        <v>501177769</v>
      </c>
      <c r="X317" s="345">
        <f t="shared" si="125"/>
        <v>23.02073297683939</v>
      </c>
      <c r="Y317" s="346">
        <f t="shared" si="126"/>
        <v>-18.0785355063325</v>
      </c>
      <c r="AA317" s="345">
        <f t="shared" si="127"/>
        <v>39.874853563558439</v>
      </c>
      <c r="AB317" s="346">
        <f t="shared" si="128"/>
        <v>-99.342347830751336</v>
      </c>
      <c r="AD317">
        <f t="shared" si="132"/>
        <v>0</v>
      </c>
      <c r="AE317">
        <f t="shared" si="135"/>
        <v>0</v>
      </c>
    </row>
    <row r="318" spans="1:31" x14ac:dyDescent="0.25">
      <c r="A318" s="347">
        <v>22517.5</v>
      </c>
      <c r="B318" s="364">
        <f t="shared" si="129"/>
        <v>22.517499999999998</v>
      </c>
      <c r="C318" s="337">
        <f t="shared" si="110"/>
        <v>9.8141134618071604</v>
      </c>
      <c r="D318" s="338">
        <f t="shared" si="111"/>
        <v>1.4687251066931437</v>
      </c>
      <c r="E318" s="338">
        <f t="shared" si="112"/>
        <v>1.0016646735541068</v>
      </c>
      <c r="F318" s="339">
        <f t="shared" si="113"/>
        <v>5.7660515919349578E-2</v>
      </c>
      <c r="G318" s="338">
        <f t="shared" si="114"/>
        <v>1</v>
      </c>
      <c r="H318" s="339">
        <f t="shared" si="115"/>
        <v>0</v>
      </c>
      <c r="I318" s="337">
        <f t="shared" si="116"/>
        <v>50716.521972459828</v>
      </c>
      <c r="J318" s="340">
        <f t="shared" si="117"/>
        <v>1.5707766093544813</v>
      </c>
      <c r="K318" s="348">
        <f t="shared" si="133"/>
        <v>9.5600102522427708</v>
      </c>
      <c r="L318" s="349">
        <f t="shared" si="134"/>
        <v>1.4660022291140804</v>
      </c>
      <c r="M318" s="337">
        <f t="shared" si="118"/>
        <v>1.0227552219443732</v>
      </c>
      <c r="N318" s="340">
        <f t="shared" si="119"/>
        <v>0.21133829712896687</v>
      </c>
      <c r="O318" s="341">
        <f t="shared" si="120"/>
        <v>1.011005475981001</v>
      </c>
      <c r="P318" s="342">
        <f t="shared" si="121"/>
        <v>0.32495050995681418</v>
      </c>
      <c r="Q318" s="343">
        <f t="shared" si="122"/>
        <v>-0.76726330801292675</v>
      </c>
      <c r="R318" s="344">
        <f t="shared" si="123"/>
        <v>-117.5782608410405</v>
      </c>
      <c r="S318" s="346">
        <f t="shared" si="124"/>
        <v>62.421739158959497</v>
      </c>
      <c r="U318" s="319">
        <f t="shared" si="130"/>
        <v>22517.5</v>
      </c>
      <c r="V318" s="319">
        <f t="shared" si="131"/>
        <v>507037806.25</v>
      </c>
      <c r="X318" s="345">
        <f t="shared" si="125"/>
        <v>23.017968190693644</v>
      </c>
      <c r="Y318" s="346">
        <f t="shared" si="126"/>
        <v>-18.111922284541304</v>
      </c>
      <c r="AA318" s="345">
        <f t="shared" si="127"/>
        <v>39.823889790456057</v>
      </c>
      <c r="AB318" s="346">
        <f t="shared" si="128"/>
        <v>-99.466338556499196</v>
      </c>
      <c r="AD318">
        <f t="shared" si="132"/>
        <v>0</v>
      </c>
      <c r="AE318">
        <f t="shared" si="135"/>
        <v>0</v>
      </c>
    </row>
    <row r="319" spans="1:31" x14ac:dyDescent="0.25">
      <c r="A319" s="347">
        <v>22648</v>
      </c>
      <c r="B319" s="364">
        <f t="shared" si="129"/>
        <v>22.648</v>
      </c>
      <c r="C319" s="337">
        <f t="shared" si="110"/>
        <v>9.8704022391798141</v>
      </c>
      <c r="D319" s="338">
        <f t="shared" si="111"/>
        <v>1.4693092093992093</v>
      </c>
      <c r="E319" s="338">
        <f t="shared" si="112"/>
        <v>1.0016840084060741</v>
      </c>
      <c r="F319" s="339">
        <f t="shared" si="113"/>
        <v>5.7993940376499777E-2</v>
      </c>
      <c r="G319" s="338">
        <f t="shared" si="114"/>
        <v>1</v>
      </c>
      <c r="H319" s="339">
        <f t="shared" si="115"/>
        <v>0</v>
      </c>
      <c r="I319" s="337">
        <f t="shared" si="116"/>
        <v>51010.449189728191</v>
      </c>
      <c r="J319" s="340">
        <f t="shared" si="117"/>
        <v>1.5707767229683092</v>
      </c>
      <c r="K319" s="348">
        <f t="shared" si="133"/>
        <v>9.6148107241052028</v>
      </c>
      <c r="L319" s="349">
        <f t="shared" si="134"/>
        <v>1.4666016896276008</v>
      </c>
      <c r="M319" s="337">
        <f t="shared" si="118"/>
        <v>1.0230167655884614</v>
      </c>
      <c r="N319" s="340">
        <f t="shared" si="119"/>
        <v>0.21252665757784417</v>
      </c>
      <c r="O319" s="341">
        <f t="shared" si="120"/>
        <v>1.0111429165509724</v>
      </c>
      <c r="P319" s="342">
        <f t="shared" si="121"/>
        <v>0.32685752463675316</v>
      </c>
      <c r="Q319" s="343">
        <f t="shared" si="122"/>
        <v>-0.82071888986961894</v>
      </c>
      <c r="R319" s="344">
        <f t="shared" si="123"/>
        <v>-117.73563552997322</v>
      </c>
      <c r="S319" s="346">
        <f t="shared" si="124"/>
        <v>62.264364470026777</v>
      </c>
      <c r="U319" s="319">
        <f t="shared" si="130"/>
        <v>22648</v>
      </c>
      <c r="V319" s="319">
        <f t="shared" si="131"/>
        <v>512931904</v>
      </c>
      <c r="X319" s="345">
        <f t="shared" si="125"/>
        <v>23.015201203954984</v>
      </c>
      <c r="Y319" s="346">
        <f t="shared" si="126"/>
        <v>-18.14567027502418</v>
      </c>
      <c r="AA319" s="345">
        <f t="shared" si="127"/>
        <v>39.773201195338025</v>
      </c>
      <c r="AB319" s="346">
        <f t="shared" si="128"/>
        <v>-99.589965254949021</v>
      </c>
      <c r="AD319">
        <f t="shared" si="132"/>
        <v>0</v>
      </c>
      <c r="AE319">
        <f t="shared" si="135"/>
        <v>0</v>
      </c>
    </row>
    <row r="320" spans="1:31" x14ac:dyDescent="0.25">
      <c r="A320" s="347">
        <v>22778.5</v>
      </c>
      <c r="B320" s="364">
        <f t="shared" si="129"/>
        <v>22.778500000000001</v>
      </c>
      <c r="C320" s="337">
        <f t="shared" si="110"/>
        <v>9.9266943459049219</v>
      </c>
      <c r="D320" s="338">
        <f t="shared" si="111"/>
        <v>1.4698866876637322</v>
      </c>
      <c r="E320" s="338">
        <f t="shared" si="112"/>
        <v>1.0017034546128183</v>
      </c>
      <c r="F320" s="339">
        <f t="shared" si="113"/>
        <v>5.8327351925085195E-2</v>
      </c>
      <c r="G320" s="338">
        <f t="shared" si="114"/>
        <v>1</v>
      </c>
      <c r="H320" s="339">
        <f t="shared" si="115"/>
        <v>0</v>
      </c>
      <c r="I320" s="337">
        <f t="shared" si="116"/>
        <v>51304.376406997202</v>
      </c>
      <c r="J320" s="340">
        <f t="shared" si="117"/>
        <v>1.5707768352803302</v>
      </c>
      <c r="K320" s="348">
        <f t="shared" si="133"/>
        <v>9.6696146119149073</v>
      </c>
      <c r="L320" s="349">
        <f t="shared" si="134"/>
        <v>1.4671943553001576</v>
      </c>
      <c r="M320" s="337">
        <f t="shared" si="118"/>
        <v>1.0232797531976914</v>
      </c>
      <c r="N320" s="340">
        <f t="shared" si="119"/>
        <v>0.2137144088751313</v>
      </c>
      <c r="O320" s="341">
        <f t="shared" si="120"/>
        <v>1.0112813691861331</v>
      </c>
      <c r="P320" s="342">
        <f t="shared" si="121"/>
        <v>0.32876491275376923</v>
      </c>
      <c r="Q320" s="343">
        <f t="shared" si="122"/>
        <v>-0.87390486715605076</v>
      </c>
      <c r="R320" s="344">
        <f t="shared" si="123"/>
        <v>-117.89300714164506</v>
      </c>
      <c r="S320" s="346">
        <f t="shared" si="124"/>
        <v>62.106992858354943</v>
      </c>
      <c r="U320" s="319">
        <f t="shared" si="130"/>
        <v>22778.5</v>
      </c>
      <c r="V320" s="319">
        <f t="shared" si="131"/>
        <v>518860062.25</v>
      </c>
      <c r="X320" s="345">
        <f t="shared" si="125"/>
        <v>23.012431819855031</v>
      </c>
      <c r="Y320" s="346">
        <f t="shared" si="126"/>
        <v>-18.179772604813895</v>
      </c>
      <c r="AA320" s="345">
        <f t="shared" si="127"/>
        <v>39.722784602151549</v>
      </c>
      <c r="AB320" s="346">
        <f t="shared" si="128"/>
        <v>-99.713234536831152</v>
      </c>
      <c r="AD320">
        <f t="shared" si="132"/>
        <v>0</v>
      </c>
      <c r="AE320">
        <f t="shared" si="135"/>
        <v>0</v>
      </c>
    </row>
    <row r="321" spans="1:31" x14ac:dyDescent="0.25">
      <c r="A321" s="347">
        <v>22909</v>
      </c>
      <c r="B321" s="364">
        <f t="shared" si="129"/>
        <v>22.908999999999999</v>
      </c>
      <c r="C321" s="337">
        <f t="shared" si="110"/>
        <v>9.9829897256618061</v>
      </c>
      <c r="D321" s="338">
        <f t="shared" si="111"/>
        <v>1.4704576531665281</v>
      </c>
      <c r="E321" s="338">
        <f t="shared" si="112"/>
        <v>1.0017230121678542</v>
      </c>
      <c r="F321" s="339">
        <f t="shared" si="113"/>
        <v>5.8660750491733554E-2</v>
      </c>
      <c r="G321" s="338">
        <f t="shared" si="114"/>
        <v>1</v>
      </c>
      <c r="H321" s="339">
        <f t="shared" si="115"/>
        <v>0</v>
      </c>
      <c r="I321" s="337">
        <f t="shared" si="116"/>
        <v>51598.303624266853</v>
      </c>
      <c r="J321" s="340">
        <f t="shared" si="117"/>
        <v>1.5707769463127912</v>
      </c>
      <c r="K321" s="348">
        <f t="shared" si="133"/>
        <v>9.7244218579181609</v>
      </c>
      <c r="L321" s="349">
        <f t="shared" si="134"/>
        <v>1.4677803405998582</v>
      </c>
      <c r="M321" s="337">
        <f t="shared" si="118"/>
        <v>1.0235441836590333</v>
      </c>
      <c r="N321" s="340">
        <f t="shared" si="119"/>
        <v>0.21490154814042028</v>
      </c>
      <c r="O321" s="341">
        <f t="shared" si="120"/>
        <v>1.0114208375614828</v>
      </c>
      <c r="P321" s="342">
        <f t="shared" si="121"/>
        <v>0.33067267535619971</v>
      </c>
      <c r="Q321" s="343">
        <f t="shared" si="122"/>
        <v>-0.92682455497890459</v>
      </c>
      <c r="R321" s="344">
        <f t="shared" si="123"/>
        <v>-118.05037541680731</v>
      </c>
      <c r="S321" s="346">
        <f t="shared" si="124"/>
        <v>61.949624583192687</v>
      </c>
      <c r="U321" s="319">
        <f t="shared" si="130"/>
        <v>22909</v>
      </c>
      <c r="V321" s="319">
        <f t="shared" si="131"/>
        <v>524822281</v>
      </c>
      <c r="X321" s="345">
        <f t="shared" si="125"/>
        <v>23.009659847749994</v>
      </c>
      <c r="Y321" s="346">
        <f t="shared" si="126"/>
        <v>-18.21422255161044</v>
      </c>
      <c r="AA321" s="345">
        <f t="shared" si="127"/>
        <v>39.672636886433729</v>
      </c>
      <c r="AB321" s="346">
        <f t="shared" si="128"/>
        <v>-99.836152865196865</v>
      </c>
      <c r="AD321">
        <f t="shared" si="132"/>
        <v>0</v>
      </c>
      <c r="AE321">
        <f t="shared" si="135"/>
        <v>0</v>
      </c>
    </row>
    <row r="322" spans="1:31" x14ac:dyDescent="0.25">
      <c r="A322" s="347">
        <v>23042.25</v>
      </c>
      <c r="B322" s="364">
        <f t="shared" si="129"/>
        <v>23.042249999999999</v>
      </c>
      <c r="C322" s="337">
        <f t="shared" si="110"/>
        <v>10.040474726535445</v>
      </c>
      <c r="D322" s="338">
        <f t="shared" si="111"/>
        <v>1.4710340438841985</v>
      </c>
      <c r="E322" s="338">
        <f t="shared" si="112"/>
        <v>1.0017430967411436</v>
      </c>
      <c r="F322" s="339">
        <f t="shared" si="113"/>
        <v>5.9001161227285645E-2</v>
      </c>
      <c r="G322" s="338">
        <f t="shared" si="114"/>
        <v>1</v>
      </c>
      <c r="H322" s="339">
        <f t="shared" si="115"/>
        <v>0</v>
      </c>
      <c r="I322" s="337">
        <f t="shared" si="116"/>
        <v>51898.424710100306</v>
      </c>
      <c r="J322" s="340">
        <f t="shared" si="117"/>
        <v>1.5707770583873168</v>
      </c>
      <c r="K322" s="348">
        <f t="shared" si="133"/>
        <v>9.7803874523138621</v>
      </c>
      <c r="L322" s="349">
        <f t="shared" si="134"/>
        <v>1.4683718975119961</v>
      </c>
      <c r="M322" s="337">
        <f t="shared" si="118"/>
        <v>1.0238156740279558</v>
      </c>
      <c r="N322" s="340">
        <f t="shared" si="119"/>
        <v>0.21611306925398877</v>
      </c>
      <c r="O322" s="341">
        <f t="shared" si="120"/>
        <v>1.0115642968358876</v>
      </c>
      <c r="P322" s="342">
        <f t="shared" si="121"/>
        <v>0.33262102732813631</v>
      </c>
      <c r="Q322" s="343">
        <f t="shared" si="122"/>
        <v>-0.98058802860475136</v>
      </c>
      <c r="R322" s="344">
        <f t="shared" si="123"/>
        <v>-118.2110561726023</v>
      </c>
      <c r="S322" s="346">
        <f t="shared" si="124"/>
        <v>61.788943827397702</v>
      </c>
      <c r="U322" s="319">
        <f t="shared" si="130"/>
        <v>23042.25</v>
      </c>
      <c r="V322" s="319">
        <f t="shared" si="131"/>
        <v>530945285.0625</v>
      </c>
      <c r="X322" s="345">
        <f t="shared" si="125"/>
        <v>23.006826600145839</v>
      </c>
      <c r="Y322" s="346">
        <f t="shared" si="126"/>
        <v>-18.249750305239509</v>
      </c>
      <c r="AA322" s="345">
        <f t="shared" si="127"/>
        <v>39.621706660412038</v>
      </c>
      <c r="AB322" s="346">
        <f t="shared" si="128"/>
        <v>-99.961305867362782</v>
      </c>
      <c r="AD322">
        <f t="shared" si="132"/>
        <v>0</v>
      </c>
      <c r="AE322">
        <f t="shared" si="135"/>
        <v>0</v>
      </c>
    </row>
    <row r="323" spans="1:31" x14ac:dyDescent="0.25">
      <c r="A323" s="347">
        <v>23175.5</v>
      </c>
      <c r="B323" s="364">
        <f t="shared" si="129"/>
        <v>23.1755</v>
      </c>
      <c r="C323" s="337">
        <f t="shared" si="110"/>
        <v>10.097963025139201</v>
      </c>
      <c r="D323" s="338">
        <f t="shared" si="111"/>
        <v>1.4716038719367406</v>
      </c>
      <c r="E323" s="338">
        <f t="shared" si="112"/>
        <v>1.0017632973912285</v>
      </c>
      <c r="F323" s="339">
        <f t="shared" si="113"/>
        <v>5.9341558273453145E-2</v>
      </c>
      <c r="G323" s="338">
        <f t="shared" si="114"/>
        <v>1</v>
      </c>
      <c r="H323" s="339">
        <f t="shared" si="115"/>
        <v>0</v>
      </c>
      <c r="I323" s="337">
        <f t="shared" si="116"/>
        <v>52198.545795934398</v>
      </c>
      <c r="J323" s="340">
        <f t="shared" si="117"/>
        <v>1.5707771691730739</v>
      </c>
      <c r="K323" s="348">
        <f t="shared" si="133"/>
        <v>9.8363564303072692</v>
      </c>
      <c r="L323" s="349">
        <f t="shared" si="134"/>
        <v>1.4689567226959717</v>
      </c>
      <c r="M323" s="337">
        <f t="shared" si="118"/>
        <v>1.0240886663384861</v>
      </c>
      <c r="N323" s="340">
        <f t="shared" si="119"/>
        <v>0.21732394623135468</v>
      </c>
      <c r="O323" s="341">
        <f t="shared" si="120"/>
        <v>1.011708822912927</v>
      </c>
      <c r="P323" s="342">
        <f t="shared" si="121"/>
        <v>0.33456977188421388</v>
      </c>
      <c r="Q323" s="343">
        <f t="shared" si="122"/>
        <v>-1.0340806786857664</v>
      </c>
      <c r="R323" s="344">
        <f t="shared" si="123"/>
        <v>-118.37173291262712</v>
      </c>
      <c r="S323" s="346">
        <f t="shared" si="124"/>
        <v>61.628267087372876</v>
      </c>
      <c r="U323" s="319">
        <f t="shared" si="130"/>
        <v>23175.5</v>
      </c>
      <c r="V323" s="319">
        <f t="shared" si="131"/>
        <v>537103800.25</v>
      </c>
      <c r="X323" s="345">
        <f t="shared" si="125"/>
        <v>23.003990271256622</v>
      </c>
      <c r="Y323" s="346">
        <f t="shared" si="126"/>
        <v>-18.285626778354683</v>
      </c>
      <c r="AA323" s="345">
        <f t="shared" si="127"/>
        <v>39.571050339220236</v>
      </c>
      <c r="AB323" s="346">
        <f t="shared" si="128"/>
        <v>-100.08610613427244</v>
      </c>
      <c r="AD323">
        <f t="shared" si="132"/>
        <v>0</v>
      </c>
      <c r="AE323">
        <f t="shared" si="135"/>
        <v>0</v>
      </c>
    </row>
    <row r="324" spans="1:31" x14ac:dyDescent="0.25">
      <c r="A324" s="347">
        <v>23308.75</v>
      </c>
      <c r="B324" s="364">
        <f t="shared" si="129"/>
        <v>23.30875</v>
      </c>
      <c r="C324" s="337">
        <f t="shared" si="110"/>
        <v>10.155454565469409</v>
      </c>
      <c r="D324" s="338">
        <f t="shared" si="111"/>
        <v>1.4721672484075981</v>
      </c>
      <c r="E324" s="338">
        <f t="shared" si="112"/>
        <v>1.0017836141110867</v>
      </c>
      <c r="F324" s="339">
        <f t="shared" si="113"/>
        <v>5.9681941552182857E-2</v>
      </c>
      <c r="G324" s="338">
        <f t="shared" si="114"/>
        <v>1</v>
      </c>
      <c r="H324" s="339">
        <f t="shared" si="115"/>
        <v>0</v>
      </c>
      <c r="I324" s="337">
        <f t="shared" si="116"/>
        <v>52498.666881769132</v>
      </c>
      <c r="J324" s="340">
        <f t="shared" si="117"/>
        <v>1.5707772786921645</v>
      </c>
      <c r="K324" s="348">
        <f t="shared" si="133"/>
        <v>9.8923287344670623</v>
      </c>
      <c r="L324" s="349">
        <f t="shared" si="134"/>
        <v>1.469534930015739</v>
      </c>
      <c r="M324" s="337">
        <f t="shared" si="118"/>
        <v>1.0243631593898241</v>
      </c>
      <c r="N324" s="340">
        <f t="shared" si="119"/>
        <v>0.21853417603809777</v>
      </c>
      <c r="O324" s="341">
        <f t="shared" si="120"/>
        <v>1.0118544197641439</v>
      </c>
      <c r="P324" s="342">
        <f t="shared" si="121"/>
        <v>0.33651891008000595</v>
      </c>
      <c r="Q324" s="343">
        <f t="shared" si="122"/>
        <v>-1.0873058564879252</v>
      </c>
      <c r="R324" s="344">
        <f t="shared" si="123"/>
        <v>-118.53240536992915</v>
      </c>
      <c r="S324" s="346">
        <f t="shared" si="124"/>
        <v>61.467594630070849</v>
      </c>
      <c r="U324" s="319">
        <f t="shared" si="130"/>
        <v>23308.75</v>
      </c>
      <c r="V324" s="319">
        <f t="shared" si="131"/>
        <v>543297826.5625</v>
      </c>
      <c r="X324" s="345">
        <f t="shared" si="125"/>
        <v>23.001150676609402</v>
      </c>
      <c r="Y324" s="346">
        <f t="shared" si="126"/>
        <v>-18.321845274438814</v>
      </c>
      <c r="AA324" s="345">
        <f t="shared" si="127"/>
        <v>39.520664756065294</v>
      </c>
      <c r="AB324" s="346">
        <f t="shared" si="128"/>
        <v>-100.21056009549035</v>
      </c>
      <c r="AD324">
        <f t="shared" si="132"/>
        <v>0</v>
      </c>
      <c r="AE324">
        <f t="shared" si="135"/>
        <v>0</v>
      </c>
    </row>
    <row r="325" spans="1:31" x14ac:dyDescent="0.25">
      <c r="A325" s="347">
        <v>23442</v>
      </c>
      <c r="B325" s="364">
        <f t="shared" si="129"/>
        <v>23.442</v>
      </c>
      <c r="C325" s="337">
        <f t="shared" si="110"/>
        <v>10.212949292780324</v>
      </c>
      <c r="D325" s="338">
        <f t="shared" si="111"/>
        <v>1.4727242818953914</v>
      </c>
      <c r="E325" s="338">
        <f t="shared" si="112"/>
        <v>1.0018040468936569</v>
      </c>
      <c r="F325" s="339">
        <f t="shared" si="113"/>
        <v>6.0022310985440669E-2</v>
      </c>
      <c r="G325" s="338">
        <f t="shared" si="114"/>
        <v>1</v>
      </c>
      <c r="H325" s="339">
        <f t="shared" si="115"/>
        <v>0</v>
      </c>
      <c r="I325" s="337">
        <f t="shared" si="116"/>
        <v>52798.787967604483</v>
      </c>
      <c r="J325" s="340">
        <f t="shared" si="117"/>
        <v>1.5707773869661894</v>
      </c>
      <c r="K325" s="348">
        <f t="shared" si="133"/>
        <v>9.9483043086510499</v>
      </c>
      <c r="L325" s="349">
        <f t="shared" si="134"/>
        <v>1.4701066307904938</v>
      </c>
      <c r="M325" s="337">
        <f t="shared" si="118"/>
        <v>1.0246391519758584</v>
      </c>
      <c r="N325" s="340">
        <f t="shared" si="119"/>
        <v>0.21974375565062346</v>
      </c>
      <c r="O325" s="341">
        <f t="shared" si="120"/>
        <v>1.0120010913809376</v>
      </c>
      <c r="P325" s="342">
        <f t="shared" si="121"/>
        <v>0.33846844295052408</v>
      </c>
      <c r="Q325" s="343">
        <f t="shared" si="122"/>
        <v>-1.1402668560767391</v>
      </c>
      <c r="R325" s="344">
        <f t="shared" si="123"/>
        <v>-118.69307328040217</v>
      </c>
      <c r="S325" s="346">
        <f t="shared" si="124"/>
        <v>61.306926719597826</v>
      </c>
      <c r="U325" s="319">
        <f t="shared" si="130"/>
        <v>23442</v>
      </c>
      <c r="V325" s="319">
        <f t="shared" si="131"/>
        <v>549527364</v>
      </c>
      <c r="X325" s="345">
        <f t="shared" si="125"/>
        <v>22.998307637547786</v>
      </c>
      <c r="Y325" s="346">
        <f t="shared" si="126"/>
        <v>-18.358399243370215</v>
      </c>
      <c r="AA325" s="345">
        <f t="shared" si="127"/>
        <v>39.470546795538098</v>
      </c>
      <c r="AB325" s="346">
        <f t="shared" si="128"/>
        <v>-100.33467403703195</v>
      </c>
      <c r="AD325">
        <f t="shared" si="132"/>
        <v>0</v>
      </c>
      <c r="AE325">
        <f t="shared" si="135"/>
        <v>0</v>
      </c>
    </row>
    <row r="326" spans="1:31" x14ac:dyDescent="0.25">
      <c r="A326" s="347">
        <v>23578.5</v>
      </c>
      <c r="B326" s="364">
        <f t="shared" si="129"/>
        <v>23.578499999999998</v>
      </c>
      <c r="C326" s="337">
        <f t="shared" si="110"/>
        <v>10.271849579098443</v>
      </c>
      <c r="D326" s="338">
        <f t="shared" si="111"/>
        <v>1.4732884356147604</v>
      </c>
      <c r="E326" s="338">
        <f t="shared" si="112"/>
        <v>1.0018250983727846</v>
      </c>
      <c r="F326" s="339">
        <f t="shared" si="113"/>
        <v>6.0370967674510917E-2</v>
      </c>
      <c r="G326" s="338">
        <f t="shared" si="114"/>
        <v>1</v>
      </c>
      <c r="H326" s="339">
        <f t="shared" si="115"/>
        <v>0</v>
      </c>
      <c r="I326" s="337">
        <f t="shared" si="116"/>
        <v>53106.229079924255</v>
      </c>
      <c r="J326" s="340">
        <f t="shared" si="117"/>
        <v>1.5707774966121217</v>
      </c>
      <c r="K326" s="348">
        <f t="shared" si="133"/>
        <v>10.005648474005536</v>
      </c>
      <c r="L326" s="349">
        <f t="shared" si="134"/>
        <v>1.4706856427234529</v>
      </c>
      <c r="M326" s="337">
        <f t="shared" si="118"/>
        <v>1.0249234296638052</v>
      </c>
      <c r="N326" s="340">
        <f t="shared" si="119"/>
        <v>0.22098215988052997</v>
      </c>
      <c r="O326" s="341">
        <f t="shared" si="120"/>
        <v>1.0121524589532711</v>
      </c>
      <c r="P326" s="342">
        <f t="shared" si="121"/>
        <v>0.34046593569486677</v>
      </c>
      <c r="Q326" s="343">
        <f t="shared" si="122"/>
        <v>-1.1942490500611849</v>
      </c>
      <c r="R326" s="344">
        <f t="shared" si="123"/>
        <v>-118.85765493269049</v>
      </c>
      <c r="S326" s="346">
        <f t="shared" si="124"/>
        <v>61.142345067309506</v>
      </c>
      <c r="U326" s="319">
        <f t="shared" si="130"/>
        <v>23578.5</v>
      </c>
      <c r="V326" s="319">
        <f t="shared" si="131"/>
        <v>555945662.25</v>
      </c>
      <c r="X326" s="345">
        <f t="shared" si="125"/>
        <v>22.995391503778158</v>
      </c>
      <c r="Y326" s="346">
        <f t="shared" si="126"/>
        <v>-18.396185921321074</v>
      </c>
      <c r="AA326" s="345">
        <f t="shared" si="127"/>
        <v>39.41948073532329</v>
      </c>
      <c r="AB326" s="346">
        <f t="shared" si="128"/>
        <v>-100.4614690113694</v>
      </c>
      <c r="AD326">
        <f t="shared" si="132"/>
        <v>0</v>
      </c>
      <c r="AE326">
        <f t="shared" si="135"/>
        <v>0</v>
      </c>
    </row>
    <row r="327" spans="1:31" x14ac:dyDescent="0.25">
      <c r="A327" s="347">
        <v>23715</v>
      </c>
      <c r="B327" s="364">
        <f t="shared" si="129"/>
        <v>23.715</v>
      </c>
      <c r="C327" s="337">
        <f t="shared" si="110"/>
        <v>10.330753097353011</v>
      </c>
      <c r="D327" s="338">
        <f t="shared" si="111"/>
        <v>1.473846156166982</v>
      </c>
      <c r="E327" s="338">
        <f t="shared" si="112"/>
        <v>1.001846271630134</v>
      </c>
      <c r="F327" s="339">
        <f t="shared" si="113"/>
        <v>6.0719609668774356E-2</v>
      </c>
      <c r="G327" s="338">
        <f t="shared" si="114"/>
        <v>1</v>
      </c>
      <c r="H327" s="339">
        <f t="shared" si="115"/>
        <v>0</v>
      </c>
      <c r="I327" s="337">
        <f t="shared" si="116"/>
        <v>53413.670192244666</v>
      </c>
      <c r="J327" s="340">
        <f t="shared" si="117"/>
        <v>1.5707776049958428</v>
      </c>
      <c r="K327" s="348">
        <f t="shared" si="133"/>
        <v>10.062995955570539</v>
      </c>
      <c r="L327" s="349">
        <f t="shared" si="134"/>
        <v>1.4712580554448291</v>
      </c>
      <c r="M327" s="337">
        <f t="shared" si="118"/>
        <v>1.0252092783473583</v>
      </c>
      <c r="N327" s="340">
        <f t="shared" si="119"/>
        <v>0.22221987542444271</v>
      </c>
      <c r="O327" s="341">
        <f t="shared" si="120"/>
        <v>1.0123049629008707</v>
      </c>
      <c r="P327" s="342">
        <f t="shared" si="121"/>
        <v>0.34246384473328673</v>
      </c>
      <c r="Q327" s="343">
        <f t="shared" si="122"/>
        <v>-1.2479608412484473</v>
      </c>
      <c r="R327" s="344">
        <f t="shared" si="123"/>
        <v>-119.022231261348</v>
      </c>
      <c r="S327" s="346">
        <f t="shared" si="124"/>
        <v>60.977768738652003</v>
      </c>
      <c r="U327" s="319">
        <f t="shared" si="130"/>
        <v>23715</v>
      </c>
      <c r="V327" s="319">
        <f t="shared" si="131"/>
        <v>562401225</v>
      </c>
      <c r="X327" s="345">
        <f t="shared" si="125"/>
        <v>22.992471393884529</v>
      </c>
      <c r="Y327" s="346">
        <f t="shared" si="126"/>
        <v>-18.434311175123909</v>
      </c>
      <c r="AA327" s="345">
        <f t="shared" si="127"/>
        <v>39.368689054029645</v>
      </c>
      <c r="AB327" s="346">
        <f t="shared" si="128"/>
        <v>-100.58792008622409</v>
      </c>
      <c r="AD327">
        <f t="shared" si="132"/>
        <v>0</v>
      </c>
      <c r="AE327">
        <f t="shared" si="135"/>
        <v>0</v>
      </c>
    </row>
    <row r="328" spans="1:31" x14ac:dyDescent="0.25">
      <c r="A328" s="347">
        <v>23851.5</v>
      </c>
      <c r="B328" s="364">
        <f t="shared" si="129"/>
        <v>23.851500000000001</v>
      </c>
      <c r="C328" s="337">
        <f t="shared" si="110"/>
        <v>10.389659792574252</v>
      </c>
      <c r="D328" s="338">
        <f t="shared" si="111"/>
        <v>1.4743975526253135</v>
      </c>
      <c r="E328" s="338">
        <f t="shared" si="112"/>
        <v>1.0018675666579844</v>
      </c>
      <c r="F328" s="339">
        <f t="shared" si="113"/>
        <v>6.106823688440962E-2</v>
      </c>
      <c r="G328" s="338">
        <f t="shared" si="114"/>
        <v>1</v>
      </c>
      <c r="H328" s="339">
        <f t="shared" si="115"/>
        <v>0</v>
      </c>
      <c r="I328" s="337">
        <f t="shared" si="116"/>
        <v>53721.111304565697</v>
      </c>
      <c r="J328" s="340">
        <f t="shared" si="117"/>
        <v>1.5707777121390234</v>
      </c>
      <c r="K328" s="348">
        <f t="shared" si="133"/>
        <v>10.120346696971607</v>
      </c>
      <c r="L328" s="349">
        <f t="shared" si="134"/>
        <v>1.4718239807670122</v>
      </c>
      <c r="M328" s="337">
        <f t="shared" si="118"/>
        <v>1.0254966967128112</v>
      </c>
      <c r="N328" s="340">
        <f t="shared" si="119"/>
        <v>0.2234568990676388</v>
      </c>
      <c r="O328" s="341">
        <f t="shared" si="120"/>
        <v>1.012458607578812</v>
      </c>
      <c r="P328" s="342">
        <f t="shared" si="121"/>
        <v>0.34446217111060107</v>
      </c>
      <c r="Q328" s="343">
        <f t="shared" si="122"/>
        <v>-1.3014055923568348</v>
      </c>
      <c r="R328" s="344">
        <f t="shared" si="123"/>
        <v>-119.18680199115181</v>
      </c>
      <c r="S328" s="346">
        <f t="shared" si="124"/>
        <v>60.81319800884819</v>
      </c>
      <c r="U328" s="319">
        <f t="shared" si="130"/>
        <v>23851.5</v>
      </c>
      <c r="V328" s="319">
        <f t="shared" si="131"/>
        <v>568894052.25</v>
      </c>
      <c r="X328" s="345">
        <f t="shared" si="125"/>
        <v>22.989547133568202</v>
      </c>
      <c r="Y328" s="346">
        <f t="shared" si="126"/>
        <v>-18.472768415452276</v>
      </c>
      <c r="AA328" s="345">
        <f t="shared" si="127"/>
        <v>39.318168563237592</v>
      </c>
      <c r="AB328" s="346">
        <f t="shared" si="128"/>
        <v>-100.71403357569953</v>
      </c>
      <c r="AD328">
        <f t="shared" si="132"/>
        <v>0</v>
      </c>
      <c r="AE328">
        <f t="shared" si="135"/>
        <v>0</v>
      </c>
    </row>
    <row r="329" spans="1:31" x14ac:dyDescent="0.25">
      <c r="A329" s="347">
        <v>23988</v>
      </c>
      <c r="B329" s="364">
        <f t="shared" si="129"/>
        <v>23.988</v>
      </c>
      <c r="C329" s="337">
        <f t="shared" si="110"/>
        <v>10.448569611029082</v>
      </c>
      <c r="D329" s="338">
        <f t="shared" si="111"/>
        <v>1.4749427316187416</v>
      </c>
      <c r="E329" s="338">
        <f t="shared" si="112"/>
        <v>1.0018889834485711</v>
      </c>
      <c r="F329" s="339">
        <f t="shared" si="113"/>
        <v>6.1416849237616825E-2</v>
      </c>
      <c r="G329" s="338">
        <f t="shared" si="114"/>
        <v>1</v>
      </c>
      <c r="H329" s="339">
        <f t="shared" si="115"/>
        <v>0</v>
      </c>
      <c r="I329" s="337">
        <f t="shared" si="116"/>
        <v>54028.552416887338</v>
      </c>
      <c r="J329" s="340">
        <f t="shared" si="117"/>
        <v>1.5707778180628407</v>
      </c>
      <c r="K329" s="348">
        <f t="shared" si="133"/>
        <v>10.177700643101794</v>
      </c>
      <c r="L329" s="349">
        <f t="shared" si="134"/>
        <v>1.4723835279988646</v>
      </c>
      <c r="M329" s="337">
        <f t="shared" si="118"/>
        <v>1.0257856834407211</v>
      </c>
      <c r="N329" s="340">
        <f t="shared" si="119"/>
        <v>0.22469322760745855</v>
      </c>
      <c r="O329" s="341">
        <f t="shared" si="120"/>
        <v>1.0126133973637828</v>
      </c>
      <c r="P329" s="342">
        <f t="shared" si="121"/>
        <v>0.34646091584853261</v>
      </c>
      <c r="Q329" s="343">
        <f t="shared" si="122"/>
        <v>-1.3545866086699911</v>
      </c>
      <c r="R329" s="344">
        <f t="shared" si="123"/>
        <v>-119.35136684961256</v>
      </c>
      <c r="S329" s="346">
        <f t="shared" si="124"/>
        <v>60.64863315038744</v>
      </c>
      <c r="U329" s="319">
        <f t="shared" si="130"/>
        <v>23988</v>
      </c>
      <c r="V329" s="319">
        <f t="shared" si="131"/>
        <v>575424144</v>
      </c>
      <c r="X329" s="345">
        <f t="shared" si="125"/>
        <v>22.98661855412734</v>
      </c>
      <c r="Y329" s="346">
        <f t="shared" si="126"/>
        <v>-18.511551197084131</v>
      </c>
      <c r="AA329" s="345">
        <f t="shared" si="127"/>
        <v>39.267916126365293</v>
      </c>
      <c r="AB329" s="346">
        <f t="shared" si="128"/>
        <v>-100.83981565252843</v>
      </c>
      <c r="AD329">
        <f t="shared" si="132"/>
        <v>0</v>
      </c>
      <c r="AE329">
        <f t="shared" si="135"/>
        <v>0</v>
      </c>
    </row>
    <row r="330" spans="1:31" x14ac:dyDescent="0.25">
      <c r="A330" s="347">
        <v>24127.75</v>
      </c>
      <c r="B330" s="364">
        <f t="shared" si="129"/>
        <v>24.127749999999999</v>
      </c>
      <c r="C330" s="337">
        <f t="shared" si="110"/>
        <v>10.508885225025452</v>
      </c>
      <c r="D330" s="338">
        <f t="shared" si="111"/>
        <v>1.4754945586330457</v>
      </c>
      <c r="E330" s="338">
        <f t="shared" si="112"/>
        <v>1.0019110363005082</v>
      </c>
      <c r="F330" s="339">
        <f t="shared" si="113"/>
        <v>6.1773746400023415E-2</v>
      </c>
      <c r="G330" s="338">
        <f t="shared" si="114"/>
        <v>1</v>
      </c>
      <c r="H330" s="339">
        <f t="shared" si="115"/>
        <v>0</v>
      </c>
      <c r="I330" s="337">
        <f t="shared" si="116"/>
        <v>54343.313555693436</v>
      </c>
      <c r="J330" s="340">
        <f t="shared" si="117"/>
        <v>1.5707779252670062</v>
      </c>
      <c r="K330" s="348">
        <f t="shared" si="133"/>
        <v>10.236423423220394</v>
      </c>
      <c r="L330" s="349">
        <f t="shared" si="134"/>
        <v>1.472949901682725</v>
      </c>
      <c r="M330" s="337">
        <f t="shared" si="118"/>
        <v>1.026083174241172</v>
      </c>
      <c r="N330" s="340">
        <f t="shared" si="119"/>
        <v>0.22595826908398914</v>
      </c>
      <c r="O330" s="341">
        <f t="shared" si="120"/>
        <v>1.0127730635409649</v>
      </c>
      <c r="P330" s="342">
        <f t="shared" si="121"/>
        <v>0.34850768421006678</v>
      </c>
      <c r="Q330" s="343">
        <f t="shared" si="122"/>
        <v>-1.4087640034985358</v>
      </c>
      <c r="R330" s="344">
        <f t="shared" si="123"/>
        <v>-119.5198435545247</v>
      </c>
      <c r="S330" s="346">
        <f t="shared" si="124"/>
        <v>60.480156445475302</v>
      </c>
      <c r="U330" s="319">
        <f t="shared" si="130"/>
        <v>24127.75</v>
      </c>
      <c r="V330" s="319">
        <f t="shared" si="131"/>
        <v>582148320.0625</v>
      </c>
      <c r="X330" s="345">
        <f t="shared" si="125"/>
        <v>22.983615601523351</v>
      </c>
      <c r="Y330" s="346">
        <f t="shared" si="126"/>
        <v>-18.551588055277843</v>
      </c>
      <c r="AA330" s="345">
        <f t="shared" si="127"/>
        <v>39.216741684140743</v>
      </c>
      <c r="AB330" s="346">
        <f t="shared" si="128"/>
        <v>-100.96825549924685</v>
      </c>
      <c r="AD330">
        <f t="shared" si="132"/>
        <v>0</v>
      </c>
      <c r="AE330">
        <f t="shared" si="135"/>
        <v>0</v>
      </c>
    </row>
    <row r="331" spans="1:31" x14ac:dyDescent="0.25">
      <c r="A331" s="347">
        <v>24267.5</v>
      </c>
      <c r="B331" s="364">
        <f t="shared" si="129"/>
        <v>24.267499999999998</v>
      </c>
      <c r="C331" s="337">
        <f t="shared" si="110"/>
        <v>10.569204002589844</v>
      </c>
      <c r="D331" s="338">
        <f t="shared" si="111"/>
        <v>1.4760400872238599</v>
      </c>
      <c r="E331" s="338">
        <f t="shared" si="112"/>
        <v>1.0019332167658215</v>
      </c>
      <c r="F331" s="339">
        <f t="shared" si="113"/>
        <v>6.2130627806144249E-2</v>
      </c>
      <c r="G331" s="338">
        <f t="shared" si="114"/>
        <v>1</v>
      </c>
      <c r="H331" s="339">
        <f t="shared" si="115"/>
        <v>0</v>
      </c>
      <c r="I331" s="337">
        <f t="shared" si="116"/>
        <v>54658.074694500167</v>
      </c>
      <c r="J331" s="340">
        <f t="shared" si="117"/>
        <v>1.5707780312364519</v>
      </c>
      <c r="K331" s="348">
        <f t="shared" si="133"/>
        <v>10.295149449510401</v>
      </c>
      <c r="L331" s="349">
        <f t="shared" si="134"/>
        <v>1.4735098140791152</v>
      </c>
      <c r="M331" s="337">
        <f t="shared" si="118"/>
        <v>1.0263823061598232</v>
      </c>
      <c r="N331" s="340">
        <f t="shared" si="119"/>
        <v>0.2272225752079291</v>
      </c>
      <c r="O331" s="341">
        <f t="shared" si="120"/>
        <v>1.0129339393567454</v>
      </c>
      <c r="P331" s="342">
        <f t="shared" si="121"/>
        <v>0.35055489318407423</v>
      </c>
      <c r="Q331" s="343">
        <f t="shared" si="122"/>
        <v>-1.462671787965071</v>
      </c>
      <c r="R331" s="344">
        <f t="shared" si="123"/>
        <v>-119.68831353551516</v>
      </c>
      <c r="S331" s="346">
        <f t="shared" si="124"/>
        <v>60.311686464484836</v>
      </c>
      <c r="U331" s="319">
        <f t="shared" si="130"/>
        <v>24267.5</v>
      </c>
      <c r="V331" s="319">
        <f t="shared" si="131"/>
        <v>588911556.25</v>
      </c>
      <c r="X331" s="345">
        <f t="shared" si="125"/>
        <v>22.980607780985167</v>
      </c>
      <c r="Y331" s="346">
        <f t="shared" si="126"/>
        <v>-18.591952914630049</v>
      </c>
      <c r="AA331" s="345">
        <f t="shared" si="127"/>
        <v>39.165841720212391</v>
      </c>
      <c r="AB331" s="346">
        <f t="shared" si="128"/>
        <v>-101.09636062088514</v>
      </c>
      <c r="AD331">
        <f t="shared" si="132"/>
        <v>0</v>
      </c>
      <c r="AE331">
        <f t="shared" si="135"/>
        <v>0</v>
      </c>
    </row>
    <row r="332" spans="1:31" x14ac:dyDescent="0.25">
      <c r="A332" s="347">
        <v>24407.25</v>
      </c>
      <c r="B332" s="364">
        <f t="shared" si="129"/>
        <v>24.407250000000001</v>
      </c>
      <c r="C332" s="337">
        <f t="shared" si="110"/>
        <v>10.629525889865894</v>
      </c>
      <c r="D332" s="338">
        <f t="shared" si="111"/>
        <v>1.4765794242931534</v>
      </c>
      <c r="E332" s="338">
        <f t="shared" si="112"/>
        <v>1.0019555248360366</v>
      </c>
      <c r="F332" s="339">
        <f t="shared" si="113"/>
        <v>6.2487493366120805E-2</v>
      </c>
      <c r="G332" s="338">
        <f t="shared" si="114"/>
        <v>1</v>
      </c>
      <c r="H332" s="339">
        <f t="shared" si="115"/>
        <v>0</v>
      </c>
      <c r="I332" s="337">
        <f t="shared" si="116"/>
        <v>54972.835833307494</v>
      </c>
      <c r="J332" s="340">
        <f t="shared" si="117"/>
        <v>1.5707781359923867</v>
      </c>
      <c r="K332" s="348">
        <f t="shared" si="133"/>
        <v>10.353878666736065</v>
      </c>
      <c r="L332" s="349">
        <f t="shared" si="134"/>
        <v>1.474063374782991</v>
      </c>
      <c r="M332" s="337">
        <f t="shared" si="118"/>
        <v>1.0266830777622176</v>
      </c>
      <c r="N332" s="340">
        <f t="shared" si="119"/>
        <v>0.22848614258189293</v>
      </c>
      <c r="O332" s="341">
        <f t="shared" si="120"/>
        <v>1.0130960295779021</v>
      </c>
      <c r="P332" s="342">
        <f t="shared" si="121"/>
        <v>0.35260254379103173</v>
      </c>
      <c r="Q332" s="343">
        <f t="shared" si="122"/>
        <v>-1.5163133304394585</v>
      </c>
      <c r="R332" s="344">
        <f t="shared" si="123"/>
        <v>-119.85677650846409</v>
      </c>
      <c r="S332" s="346">
        <f t="shared" si="124"/>
        <v>60.143223491535906</v>
      </c>
      <c r="U332" s="319">
        <f t="shared" si="130"/>
        <v>24407.25</v>
      </c>
      <c r="V332" s="319">
        <f t="shared" si="131"/>
        <v>595713852.5625</v>
      </c>
      <c r="X332" s="345">
        <f t="shared" si="125"/>
        <v>22.977594928518567</v>
      </c>
      <c r="Y332" s="346">
        <f t="shared" si="126"/>
        <v>-18.632639302371665</v>
      </c>
      <c r="AA332" s="345">
        <f t="shared" si="127"/>
        <v>39.1152130302046</v>
      </c>
      <c r="AB332" s="346">
        <f t="shared" si="128"/>
        <v>-101.22413720609244</v>
      </c>
      <c r="AD332">
        <f t="shared" si="132"/>
        <v>0</v>
      </c>
      <c r="AE332">
        <f t="shared" si="135"/>
        <v>0</v>
      </c>
    </row>
    <row r="333" spans="1:31" x14ac:dyDescent="0.25">
      <c r="A333" s="347">
        <v>24547</v>
      </c>
      <c r="B333" s="364">
        <f t="shared" si="129"/>
        <v>24.547000000000001</v>
      </c>
      <c r="C333" s="337">
        <f t="shared" ref="C333:C396" si="136">SQRT(1+(A333/pole1)^2)</f>
        <v>10.689850834210111</v>
      </c>
      <c r="D333" s="338">
        <f t="shared" ref="D333:D396" si="137">ATAN(A333/pole1)</f>
        <v>1.4771126743444145</v>
      </c>
      <c r="E333" s="338">
        <f t="shared" ref="E333:E396" si="138">SQRT(1+(A333/Zero1)^2)</f>
        <v>1.0019779605026302</v>
      </c>
      <c r="F333" s="339">
        <f t="shared" ref="F333:F396" si="139">ATAN(A333/Zero1)</f>
        <v>6.2844342990118748E-2</v>
      </c>
      <c r="G333" s="338">
        <f t="shared" ref="G333:G396" si="140">IF(VIN_nom&gt;Vout, 1, SQRT(1+(A333/z_RHP)^2))</f>
        <v>1</v>
      </c>
      <c r="H333" s="339">
        <f t="shared" ref="H333:H396" si="141">IF(VIN_nom&gt;Vout, 0, -ATAN(A333/z_RHP))</f>
        <v>0</v>
      </c>
      <c r="I333" s="337">
        <f t="shared" ref="I333:I396" si="142">SQRT(1+(A333/Pole2)^2)</f>
        <v>55287.596972115425</v>
      </c>
      <c r="J333" s="340">
        <f t="shared" ref="J333:J396" si="143">ATAN(A333/Pole2)</f>
        <v>1.570778239555537</v>
      </c>
      <c r="K333" s="348">
        <f t="shared" si="133"/>
        <v>10.412611020904835</v>
      </c>
      <c r="L333" s="349">
        <f t="shared" si="134"/>
        <v>1.4746106909323993</v>
      </c>
      <c r="M333" s="337">
        <f t="shared" ref="M333:M396" si="144">SQRT(1+(A333/pole4)^2)</f>
        <v>1.0269854876077207</v>
      </c>
      <c r="N333" s="340">
        <f t="shared" ref="N333:N396" si="145">ATAN(A333/pole4)</f>
        <v>0.22974896782190002</v>
      </c>
      <c r="O333" s="341">
        <f t="shared" ref="O333:O396" si="146">SQRT((1-(V333/pterm2))^2+(A333/pterm1)^2)</f>
        <v>1.0132593389946609</v>
      </c>
      <c r="P333" s="342">
        <f t="shared" ref="P333:P396" si="147">IF((ATAN((A333/pterm1)/(1-A333^2/pterm2))&gt;0),ATAN((A333/pterm1)/(1-A333^2/pterm2)),PI()+ATAN((A333/pterm1)/(1-A333^2/pterm2)))</f>
        <v>0.3546506370255425</v>
      </c>
      <c r="Q333" s="343">
        <f t="shared" ref="Q333:Q396" si="148">20*LOG10(((E333*K333*G333)/(C333*I333*O333*M333))*Adc)</f>
        <v>-1.569691941756082</v>
      </c>
      <c r="R333" s="344">
        <f t="shared" ref="R333:R396" si="149">((F333+L333+H333)-(D333+J333+P333+N333))*radconv</f>
        <v>-120.02523219185582</v>
      </c>
      <c r="S333" s="346">
        <f t="shared" ref="S333:S396" si="150">IF(R333&gt;0,R333,R333+180)</f>
        <v>59.974767808144179</v>
      </c>
      <c r="U333" s="319">
        <f t="shared" si="130"/>
        <v>24547</v>
      </c>
      <c r="V333" s="319">
        <f t="shared" si="131"/>
        <v>602555209</v>
      </c>
      <c r="X333" s="345">
        <f t="shared" ref="X333:X396" si="151">20*LOG10((K333/(I333*M333))*AEA)</f>
        <v>22.974576885502461</v>
      </c>
      <c r="Y333" s="346">
        <f t="shared" ref="Y333:Y396" si="152">(L333-(J333+N333))*radconv</f>
        <v>-18.673640887244495</v>
      </c>
      <c r="AA333" s="345">
        <f t="shared" ref="AA333:AA396" si="153">20*LOG10((E333*G333/(C333*O333))*Acs*Am)</f>
        <v>39.064852461904081</v>
      </c>
      <c r="AB333" s="346">
        <f t="shared" ref="AB333:AB396" si="154">(F333+H333-(D333+P333))*radconv</f>
        <v>-101.35159130461133</v>
      </c>
      <c r="AD333">
        <f t="shared" si="132"/>
        <v>0</v>
      </c>
      <c r="AE333">
        <f t="shared" si="135"/>
        <v>0</v>
      </c>
    </row>
    <row r="334" spans="1:31" x14ac:dyDescent="0.25">
      <c r="A334" s="347">
        <v>24690</v>
      </c>
      <c r="B334" s="364">
        <f t="shared" ref="B334:B397" si="155">A334/1000</f>
        <v>24.69</v>
      </c>
      <c r="C334" s="337">
        <f t="shared" si="136"/>
        <v>10.751581795093854</v>
      </c>
      <c r="D334" s="338">
        <f t="shared" si="137"/>
        <v>1.4776521311272628</v>
      </c>
      <c r="E334" s="338">
        <f t="shared" si="138"/>
        <v>1.0020010500018899</v>
      </c>
      <c r="F334" s="339">
        <f t="shared" si="139"/>
        <v>6.320947485269969E-2</v>
      </c>
      <c r="G334" s="338">
        <f t="shared" si="140"/>
        <v>1</v>
      </c>
      <c r="H334" s="339">
        <f t="shared" si="141"/>
        <v>0</v>
      </c>
      <c r="I334" s="337">
        <f t="shared" si="142"/>
        <v>55609.678137407864</v>
      </c>
      <c r="J334" s="340">
        <f t="shared" si="143"/>
        <v>1.5707783443135455</v>
      </c>
      <c r="K334" s="348">
        <f t="shared" si="133"/>
        <v>10.472712435938805</v>
      </c>
      <c r="L334" s="349">
        <f t="shared" si="134"/>
        <v>1.4751643805461141</v>
      </c>
      <c r="M334" s="337">
        <f t="shared" si="144"/>
        <v>1.0272966245651729</v>
      </c>
      <c r="N334" s="340">
        <f t="shared" si="145"/>
        <v>0.23104038935171659</v>
      </c>
      <c r="O334" s="341">
        <f t="shared" si="146"/>
        <v>1.0134277133817866</v>
      </c>
      <c r="P334" s="342">
        <f t="shared" si="147"/>
        <v>0.35674681953328741</v>
      </c>
      <c r="Q334" s="343">
        <f t="shared" si="148"/>
        <v>-1.6240431366542047</v>
      </c>
      <c r="R334" s="344">
        <f t="shared" si="149"/>
        <v>-120.19759761242746</v>
      </c>
      <c r="S334" s="346">
        <f t="shared" si="150"/>
        <v>59.802402387572542</v>
      </c>
      <c r="U334" s="319">
        <f t="shared" ref="U334:U397" si="156">IF(Q334&lt;0,A334,1000000000)</f>
        <v>24690</v>
      </c>
      <c r="V334" s="319">
        <f t="shared" ref="V334:V397" si="157">A334^2</f>
        <v>609596100</v>
      </c>
      <c r="X334" s="345">
        <f t="shared" si="151"/>
        <v>22.97148312240104</v>
      </c>
      <c r="Y334" s="346">
        <f t="shared" si="152"/>
        <v>-18.715915814689286</v>
      </c>
      <c r="AA334" s="345">
        <f t="shared" si="153"/>
        <v>39.013595030107382</v>
      </c>
      <c r="AB334" s="346">
        <f t="shared" si="154"/>
        <v>-101.48168179773819</v>
      </c>
      <c r="AD334">
        <f t="shared" ref="AD334:AD397" si="158">SUM((Q335&lt;0)*(Q334&gt;0))*A334</f>
        <v>0</v>
      </c>
      <c r="AE334">
        <f t="shared" si="135"/>
        <v>0</v>
      </c>
    </row>
    <row r="335" spans="1:31" x14ac:dyDescent="0.25">
      <c r="A335" s="347">
        <v>24833</v>
      </c>
      <c r="B335" s="364">
        <f t="shared" si="155"/>
        <v>24.832999999999998</v>
      </c>
      <c r="C335" s="337">
        <f t="shared" si="136"/>
        <v>10.813315849109838</v>
      </c>
      <c r="D335" s="338">
        <f t="shared" si="137"/>
        <v>1.4781854284630911</v>
      </c>
      <c r="E335" s="338">
        <f t="shared" si="138"/>
        <v>1.0020242730830422</v>
      </c>
      <c r="F335" s="339">
        <f t="shared" si="139"/>
        <v>6.3574589839242843E-2</v>
      </c>
      <c r="G335" s="338">
        <f t="shared" si="140"/>
        <v>1</v>
      </c>
      <c r="H335" s="339">
        <f t="shared" si="141"/>
        <v>0</v>
      </c>
      <c r="I335" s="337">
        <f t="shared" si="142"/>
        <v>55931.759302700913</v>
      </c>
      <c r="J335" s="340">
        <f t="shared" si="143"/>
        <v>1.5707784478650628</v>
      </c>
      <c r="K335" s="348">
        <f t="shared" si="133"/>
        <v>10.532817024974012</v>
      </c>
      <c r="L335" s="349">
        <f t="shared" si="134"/>
        <v>1.4757117511643989</v>
      </c>
      <c r="M335" s="337">
        <f t="shared" si="144"/>
        <v>1.027609473777513</v>
      </c>
      <c r="N335" s="340">
        <f t="shared" si="145"/>
        <v>0.23233102670267719</v>
      </c>
      <c r="O335" s="341">
        <f t="shared" si="146"/>
        <v>1.0135973745533988</v>
      </c>
      <c r="P335" s="342">
        <f t="shared" si="147"/>
        <v>0.35884346751882545</v>
      </c>
      <c r="Q335" s="343">
        <f t="shared" si="148"/>
        <v>-1.6781258638077285</v>
      </c>
      <c r="R335" s="344">
        <f t="shared" si="149"/>
        <v>-120.36995481202271</v>
      </c>
      <c r="S335" s="346">
        <f t="shared" si="150"/>
        <v>59.630045187977288</v>
      </c>
      <c r="U335" s="319">
        <f t="shared" si="156"/>
        <v>24833</v>
      </c>
      <c r="V335" s="319">
        <f t="shared" si="157"/>
        <v>616677889</v>
      </c>
      <c r="X335" s="345">
        <f t="shared" si="151"/>
        <v>22.968383604961296</v>
      </c>
      <c r="Y335" s="346">
        <f t="shared" si="152"/>
        <v>-18.758507794637666</v>
      </c>
      <c r="AA335" s="345">
        <f t="shared" si="153"/>
        <v>38.962611820393597</v>
      </c>
      <c r="AB335" s="346">
        <f t="shared" si="154"/>
        <v>-101.61144701738503</v>
      </c>
      <c r="AD335">
        <f t="shared" si="158"/>
        <v>0</v>
      </c>
      <c r="AE335">
        <f t="shared" si="135"/>
        <v>0</v>
      </c>
    </row>
    <row r="336" spans="1:31" x14ac:dyDescent="0.25">
      <c r="A336" s="347">
        <v>24976</v>
      </c>
      <c r="B336" s="364">
        <f t="shared" si="155"/>
        <v>24.975999999999999</v>
      </c>
      <c r="C336" s="337">
        <f t="shared" si="136"/>
        <v>10.875052943582014</v>
      </c>
      <c r="D336" s="338">
        <f t="shared" si="137"/>
        <v>1.4787126709464953</v>
      </c>
      <c r="E336" s="338">
        <f t="shared" si="138"/>
        <v>1.0020476297367997</v>
      </c>
      <c r="F336" s="339">
        <f t="shared" si="139"/>
        <v>6.3939687853578758E-2</v>
      </c>
      <c r="G336" s="338">
        <f t="shared" si="140"/>
        <v>1</v>
      </c>
      <c r="H336" s="339">
        <f t="shared" si="141"/>
        <v>0</v>
      </c>
      <c r="I336" s="337">
        <f t="shared" si="142"/>
        <v>56253.840467994545</v>
      </c>
      <c r="J336" s="340">
        <f t="shared" si="143"/>
        <v>1.5707785502308125</v>
      </c>
      <c r="K336" s="348">
        <f t="shared" si="133"/>
        <v>10.592924733982313</v>
      </c>
      <c r="L336" s="349">
        <f t="shared" si="134"/>
        <v>1.4762529100245509</v>
      </c>
      <c r="M336" s="337">
        <f t="shared" si="144"/>
        <v>1.0279240336813635</v>
      </c>
      <c r="N336" s="340">
        <f t="shared" si="145"/>
        <v>0.23362087629300335</v>
      </c>
      <c r="O336" s="341">
        <f t="shared" si="146"/>
        <v>1.0137683277174963</v>
      </c>
      <c r="P336" s="342">
        <f t="shared" si="147"/>
        <v>0.36094058196283019</v>
      </c>
      <c r="Q336" s="343">
        <f t="shared" si="148"/>
        <v>-1.7319434918084231</v>
      </c>
      <c r="R336" s="344">
        <f t="shared" si="149"/>
        <v>-120.54230349689099</v>
      </c>
      <c r="S336" s="346">
        <f t="shared" si="150"/>
        <v>59.457696503109005</v>
      </c>
      <c r="U336" s="319">
        <f t="shared" si="156"/>
        <v>24976</v>
      </c>
      <c r="V336" s="319">
        <f t="shared" si="157"/>
        <v>623800576</v>
      </c>
      <c r="X336" s="345">
        <f t="shared" si="151"/>
        <v>22.965278179571094</v>
      </c>
      <c r="Y336" s="346">
        <f t="shared" si="152"/>
        <v>-18.801410478811658</v>
      </c>
      <c r="AA336" s="345">
        <f t="shared" si="153"/>
        <v>38.911899617783106</v>
      </c>
      <c r="AB336" s="346">
        <f t="shared" si="154"/>
        <v>-101.74089301807933</v>
      </c>
      <c r="AD336">
        <f t="shared" si="158"/>
        <v>0</v>
      </c>
      <c r="AE336">
        <f t="shared" si="135"/>
        <v>0</v>
      </c>
    </row>
    <row r="337" spans="1:31" x14ac:dyDescent="0.25">
      <c r="A337" s="347">
        <v>25119</v>
      </c>
      <c r="B337" s="364">
        <f t="shared" si="155"/>
        <v>25.119</v>
      </c>
      <c r="C337" s="337">
        <f t="shared" si="136"/>
        <v>10.936793027021176</v>
      </c>
      <c r="D337" s="338">
        <f t="shared" si="137"/>
        <v>1.4792339608238936</v>
      </c>
      <c r="E337" s="338">
        <f t="shared" si="138"/>
        <v>1.0020711199538226</v>
      </c>
      <c r="F337" s="339">
        <f t="shared" si="139"/>
        <v>6.430476879956501E-2</v>
      </c>
      <c r="G337" s="338">
        <f t="shared" si="140"/>
        <v>1</v>
      </c>
      <c r="H337" s="339">
        <f t="shared" si="141"/>
        <v>0</v>
      </c>
      <c r="I337" s="337">
        <f t="shared" si="142"/>
        <v>56575.921633288766</v>
      </c>
      <c r="J337" s="340">
        <f t="shared" si="143"/>
        <v>1.570778651431046</v>
      </c>
      <c r="K337" s="348">
        <f t="shared" si="133"/>
        <v>10.653035510152156</v>
      </c>
      <c r="L337" s="349">
        <f t="shared" si="134"/>
        <v>1.4767879619582229</v>
      </c>
      <c r="M337" s="337">
        <f t="shared" si="144"/>
        <v>1.0282403027067173</v>
      </c>
      <c r="N337" s="340">
        <f t="shared" si="145"/>
        <v>0.23490993455577253</v>
      </c>
      <c r="O337" s="341">
        <f t="shared" si="146"/>
        <v>1.0139405781074415</v>
      </c>
      <c r="P337" s="342">
        <f t="shared" si="147"/>
        <v>0.36303816381705922</v>
      </c>
      <c r="Q337" s="343">
        <f t="shared" si="148"/>
        <v>-1.7854993317367915</v>
      </c>
      <c r="R337" s="344">
        <f t="shared" si="149"/>
        <v>-120.71464337574031</v>
      </c>
      <c r="S337" s="346">
        <f t="shared" si="150"/>
        <v>59.285356624259691</v>
      </c>
      <c r="U337" s="319">
        <f t="shared" si="156"/>
        <v>25119</v>
      </c>
      <c r="V337" s="319">
        <f t="shared" si="157"/>
        <v>630964161</v>
      </c>
      <c r="X337" s="345">
        <f t="shared" si="151"/>
        <v>22.962166697765795</v>
      </c>
      <c r="Y337" s="346">
        <f t="shared" si="152"/>
        <v>-18.844617657590717</v>
      </c>
      <c r="AA337" s="345">
        <f t="shared" si="153"/>
        <v>38.86145525966004</v>
      </c>
      <c r="AB337" s="346">
        <f t="shared" si="154"/>
        <v>-101.87002571814961</v>
      </c>
      <c r="AD337">
        <f t="shared" si="158"/>
        <v>0</v>
      </c>
      <c r="AE337">
        <f t="shared" si="135"/>
        <v>0</v>
      </c>
    </row>
    <row r="338" spans="1:31" x14ac:dyDescent="0.25">
      <c r="A338" s="347">
        <v>25265.25</v>
      </c>
      <c r="B338" s="364">
        <f t="shared" si="155"/>
        <v>25.265250000000002</v>
      </c>
      <c r="C338" s="337">
        <f t="shared" si="136"/>
        <v>10.999939333358128</v>
      </c>
      <c r="D338" s="338">
        <f t="shared" si="137"/>
        <v>1.4797610452927503</v>
      </c>
      <c r="E338" s="338">
        <f t="shared" si="138"/>
        <v>1.0020952821806774</v>
      </c>
      <c r="F338" s="339">
        <f t="shared" si="139"/>
        <v>6.4678129284975142E-2</v>
      </c>
      <c r="G338" s="338">
        <f t="shared" si="140"/>
        <v>1</v>
      </c>
      <c r="H338" s="339">
        <f t="shared" si="141"/>
        <v>0</v>
      </c>
      <c r="I338" s="337">
        <f t="shared" si="142"/>
        <v>56905.322825067538</v>
      </c>
      <c r="J338" s="340">
        <f t="shared" si="143"/>
        <v>1.5707787537463591</v>
      </c>
      <c r="K338" s="348">
        <f t="shared" si="133"/>
        <v>10.714515559041811</v>
      </c>
      <c r="L338" s="349">
        <f t="shared" si="134"/>
        <v>1.4773289642717833</v>
      </c>
      <c r="M338" s="337">
        <f t="shared" si="144"/>
        <v>1.0285655258497304</v>
      </c>
      <c r="N338" s="340">
        <f t="shared" si="145"/>
        <v>0.23622746738645409</v>
      </c>
      <c r="O338" s="341">
        <f t="shared" si="146"/>
        <v>1.0141180905440847</v>
      </c>
      <c r="P338" s="342">
        <f t="shared" si="147"/>
        <v>0.36518390241299292</v>
      </c>
      <c r="Q338" s="343">
        <f t="shared" si="148"/>
        <v>-1.8400049614282761</v>
      </c>
      <c r="R338" s="344">
        <f t="shared" si="149"/>
        <v>-120.89089066041819</v>
      </c>
      <c r="S338" s="346">
        <f t="shared" si="150"/>
        <v>59.109109339581806</v>
      </c>
      <c r="U338" s="319">
        <f t="shared" si="156"/>
        <v>25265.25</v>
      </c>
      <c r="V338" s="319">
        <f t="shared" si="157"/>
        <v>638332857.5625</v>
      </c>
      <c r="X338" s="345">
        <f t="shared" si="151"/>
        <v>22.958978086505411</v>
      </c>
      <c r="Y338" s="346">
        <f t="shared" si="152"/>
        <v>-18.889115441171342</v>
      </c>
      <c r="AA338" s="345">
        <f t="shared" si="153"/>
        <v>38.810138241228941</v>
      </c>
      <c r="AB338" s="346">
        <f t="shared" si="154"/>
        <v>-102.00177521924689</v>
      </c>
      <c r="AD338">
        <f t="shared" si="158"/>
        <v>0</v>
      </c>
      <c r="AE338">
        <f t="shared" si="135"/>
        <v>0</v>
      </c>
    </row>
    <row r="339" spans="1:31" x14ac:dyDescent="0.25">
      <c r="A339" s="347">
        <v>25411.5</v>
      </c>
      <c r="B339" s="364">
        <f t="shared" si="155"/>
        <v>25.4115</v>
      </c>
      <c r="C339" s="337">
        <f t="shared" si="136"/>
        <v>11.063088660790058</v>
      </c>
      <c r="D339" s="338">
        <f t="shared" si="137"/>
        <v>1.4802821125926999</v>
      </c>
      <c r="E339" s="338">
        <f t="shared" si="138"/>
        <v>1.0021195840909154</v>
      </c>
      <c r="F339" s="339">
        <f t="shared" si="139"/>
        <v>6.50514717140626E-2</v>
      </c>
      <c r="G339" s="338">
        <f t="shared" si="140"/>
        <v>1</v>
      </c>
      <c r="H339" s="339">
        <f t="shared" si="141"/>
        <v>0</v>
      </c>
      <c r="I339" s="337">
        <f t="shared" si="142"/>
        <v>57234.724016846892</v>
      </c>
      <c r="J339" s="340">
        <f t="shared" si="143"/>
        <v>1.5707788548839678</v>
      </c>
      <c r="K339" s="348">
        <f t="shared" si="133"/>
        <v>10.775998708109826</v>
      </c>
      <c r="L339" s="349">
        <f t="shared" si="134"/>
        <v>1.477863793293869</v>
      </c>
      <c r="M339" s="337">
        <f t="shared" si="144"/>
        <v>1.0288925333416397</v>
      </c>
      <c r="N339" s="340">
        <f t="shared" si="145"/>
        <v>0.23754416501254078</v>
      </c>
      <c r="O339" s="341">
        <f t="shared" si="146"/>
        <v>1.0142969709945675</v>
      </c>
      <c r="P339" s="342">
        <f t="shared" si="147"/>
        <v>0.36733013182698182</v>
      </c>
      <c r="Q339" s="343">
        <f t="shared" si="148"/>
        <v>-1.8942435951272816</v>
      </c>
      <c r="R339" s="344">
        <f t="shared" si="149"/>
        <v>-121.06712812543871</v>
      </c>
      <c r="S339" s="346">
        <f t="shared" si="150"/>
        <v>58.932871874561286</v>
      </c>
      <c r="U339" s="319">
        <f t="shared" si="156"/>
        <v>25411.5</v>
      </c>
      <c r="V339" s="319">
        <f t="shared" si="157"/>
        <v>645744332.25</v>
      </c>
      <c r="X339" s="345">
        <f t="shared" si="151"/>
        <v>22.955782842057573</v>
      </c>
      <c r="Y339" s="346">
        <f t="shared" si="152"/>
        <v>-18.933919007123702</v>
      </c>
      <c r="AA339" s="345">
        <f t="shared" si="153"/>
        <v>38.759094851977771</v>
      </c>
      <c r="AB339" s="346">
        <f t="shared" si="154"/>
        <v>-102.13320911831499</v>
      </c>
      <c r="AD339">
        <f t="shared" si="158"/>
        <v>0</v>
      </c>
      <c r="AE339">
        <f t="shared" si="135"/>
        <v>0</v>
      </c>
    </row>
    <row r="340" spans="1:31" x14ac:dyDescent="0.25">
      <c r="A340" s="347">
        <v>25557.75</v>
      </c>
      <c r="B340" s="364">
        <f t="shared" si="155"/>
        <v>25.557749999999999</v>
      </c>
      <c r="C340" s="337">
        <f t="shared" si="136"/>
        <v>11.126240957876375</v>
      </c>
      <c r="D340" s="338">
        <f t="shared" si="137"/>
        <v>1.480797264898307</v>
      </c>
      <c r="E340" s="338">
        <f t="shared" si="138"/>
        <v>1.0021440256743741</v>
      </c>
      <c r="F340" s="339">
        <f t="shared" si="139"/>
        <v>6.5424795984068404E-2</v>
      </c>
      <c r="G340" s="338">
        <f t="shared" si="140"/>
        <v>1</v>
      </c>
      <c r="H340" s="339">
        <f t="shared" si="141"/>
        <v>0</v>
      </c>
      <c r="I340" s="337">
        <f t="shared" si="142"/>
        <v>57564.125208626829</v>
      </c>
      <c r="J340" s="340">
        <f t="shared" si="143"/>
        <v>1.5707789548640902</v>
      </c>
      <c r="K340" s="348">
        <f t="shared" si="133"/>
        <v>10.837484904592467</v>
      </c>
      <c r="L340" s="349">
        <f t="shared" si="134"/>
        <v>1.4783925537879177</v>
      </c>
      <c r="M340" s="337">
        <f t="shared" si="144"/>
        <v>1.0292213234816574</v>
      </c>
      <c r="N340" s="340">
        <f t="shared" si="145"/>
        <v>0.23886002366681064</v>
      </c>
      <c r="O340" s="341">
        <f t="shared" si="146"/>
        <v>1.0144772251389871</v>
      </c>
      <c r="P340" s="342">
        <f t="shared" si="147"/>
        <v>0.36947685298241378</v>
      </c>
      <c r="Q340" s="343">
        <f t="shared" si="148"/>
        <v>-1.94821859659012</v>
      </c>
      <c r="R340" s="344">
        <f t="shared" si="149"/>
        <v>-121.24335546657662</v>
      </c>
      <c r="S340" s="346">
        <f t="shared" si="150"/>
        <v>58.756644533423383</v>
      </c>
      <c r="U340" s="319">
        <f t="shared" si="156"/>
        <v>25557.75</v>
      </c>
      <c r="V340" s="319">
        <f t="shared" si="157"/>
        <v>653198585.0625</v>
      </c>
      <c r="X340" s="345">
        <f t="shared" si="151"/>
        <v>22.952580821224871</v>
      </c>
      <c r="Y340" s="346">
        <f t="shared" si="152"/>
        <v>-18.979022138257474</v>
      </c>
      <c r="AA340" s="345">
        <f t="shared" si="153"/>
        <v>38.708321871347636</v>
      </c>
      <c r="AB340" s="346">
        <f t="shared" si="154"/>
        <v>-102.26433332831913</v>
      </c>
      <c r="AD340">
        <f t="shared" si="158"/>
        <v>0</v>
      </c>
      <c r="AE340">
        <f t="shared" si="135"/>
        <v>0</v>
      </c>
    </row>
    <row r="341" spans="1:31" x14ac:dyDescent="0.25">
      <c r="A341" s="347">
        <v>25704</v>
      </c>
      <c r="B341" s="364">
        <f t="shared" si="155"/>
        <v>25.704000000000001</v>
      </c>
      <c r="C341" s="337">
        <f t="shared" si="136"/>
        <v>11.189396174335414</v>
      </c>
      <c r="D341" s="338">
        <f t="shared" si="137"/>
        <v>1.4813066020900809</v>
      </c>
      <c r="E341" s="338">
        <f t="shared" si="138"/>
        <v>1.0021686069208344</v>
      </c>
      <c r="F341" s="339">
        <f t="shared" si="139"/>
        <v>6.5798101992263852E-2</v>
      </c>
      <c r="G341" s="338">
        <f t="shared" si="140"/>
        <v>1</v>
      </c>
      <c r="H341" s="339">
        <f t="shared" si="141"/>
        <v>0</v>
      </c>
      <c r="I341" s="337">
        <f t="shared" si="142"/>
        <v>57893.52640040734</v>
      </c>
      <c r="J341" s="340">
        <f t="shared" si="143"/>
        <v>1.5707790537064836</v>
      </c>
      <c r="K341" s="348">
        <f t="shared" si="133"/>
        <v>10.898974096914069</v>
      </c>
      <c r="L341" s="349">
        <f t="shared" si="134"/>
        <v>1.4789153481669248</v>
      </c>
      <c r="M341" s="337">
        <f t="shared" si="144"/>
        <v>1.029551894561904</v>
      </c>
      <c r="N341" s="340">
        <f t="shared" si="145"/>
        <v>0.2401750395984622</v>
      </c>
      <c r="O341" s="341">
        <f t="shared" si="146"/>
        <v>1.0146588586847953</v>
      </c>
      <c r="P341" s="342">
        <f t="shared" si="147"/>
        <v>0.37162406677043774</v>
      </c>
      <c r="Q341" s="343">
        <f t="shared" si="148"/>
        <v>-2.0019332722024501</v>
      </c>
      <c r="R341" s="344">
        <f t="shared" si="149"/>
        <v>-121.41957238190304</v>
      </c>
      <c r="S341" s="346">
        <f t="shared" si="150"/>
        <v>58.580427618096962</v>
      </c>
      <c r="U341" s="319">
        <f t="shared" si="156"/>
        <v>25704</v>
      </c>
      <c r="V341" s="319">
        <f t="shared" si="157"/>
        <v>660695616</v>
      </c>
      <c r="X341" s="345">
        <f t="shared" si="151"/>
        <v>22.94937188573175</v>
      </c>
      <c r="Y341" s="346">
        <f t="shared" si="152"/>
        <v>-19.024418752967147</v>
      </c>
      <c r="AA341" s="345">
        <f t="shared" si="153"/>
        <v>38.657816131228429</v>
      </c>
      <c r="AB341" s="346">
        <f t="shared" si="154"/>
        <v>-102.3951536289359</v>
      </c>
      <c r="AD341">
        <f t="shared" si="158"/>
        <v>0</v>
      </c>
      <c r="AE341">
        <f t="shared" si="135"/>
        <v>0</v>
      </c>
    </row>
    <row r="342" spans="1:31" x14ac:dyDescent="0.25">
      <c r="A342" s="347">
        <v>25853.75</v>
      </c>
      <c r="B342" s="364">
        <f t="shared" si="155"/>
        <v>25.853750000000002</v>
      </c>
      <c r="C342" s="337">
        <f t="shared" si="136"/>
        <v>11.254065771357604</v>
      </c>
      <c r="D342" s="338">
        <f t="shared" si="137"/>
        <v>1.4818222049984542</v>
      </c>
      <c r="E342" s="338">
        <f t="shared" si="138"/>
        <v>1.0021939211422459</v>
      </c>
      <c r="F342" s="339">
        <f t="shared" si="139"/>
        <v>6.618032278960384E-2</v>
      </c>
      <c r="G342" s="338">
        <f t="shared" si="140"/>
        <v>1</v>
      </c>
      <c r="H342" s="339">
        <f t="shared" si="141"/>
        <v>0</v>
      </c>
      <c r="I342" s="337">
        <f t="shared" si="142"/>
        <v>58230.81069763274</v>
      </c>
      <c r="J342" s="340">
        <f t="shared" si="143"/>
        <v>1.5707791537556057</v>
      </c>
      <c r="K342" s="348">
        <f t="shared" si="133"/>
        <v>10.961937877047061</v>
      </c>
      <c r="L342" s="349">
        <f t="shared" si="134"/>
        <v>1.4794445764372715</v>
      </c>
      <c r="M342" s="337">
        <f t="shared" si="144"/>
        <v>1.0298922203351297</v>
      </c>
      <c r="N342" s="340">
        <f t="shared" si="145"/>
        <v>0.24152064888110406</v>
      </c>
      <c r="O342" s="341">
        <f t="shared" si="146"/>
        <v>1.0148462743194642</v>
      </c>
      <c r="P342" s="342">
        <f t="shared" si="147"/>
        <v>0.37382317822597627</v>
      </c>
      <c r="Q342" s="343">
        <f t="shared" si="148"/>
        <v>-2.056667076254536</v>
      </c>
      <c r="R342" s="344">
        <f t="shared" si="149"/>
        <v>-121.59999533808677</v>
      </c>
      <c r="S342" s="346">
        <f t="shared" si="150"/>
        <v>58.400004661913229</v>
      </c>
      <c r="U342" s="319">
        <f t="shared" si="156"/>
        <v>25853.75</v>
      </c>
      <c r="V342" s="319">
        <f t="shared" si="157"/>
        <v>668416389.0625</v>
      </c>
      <c r="X342" s="345">
        <f t="shared" si="151"/>
        <v>22.94607885092017</v>
      </c>
      <c r="Y342" s="346">
        <f t="shared" si="152"/>
        <v>-19.071199671892188</v>
      </c>
      <c r="AA342" s="345">
        <f t="shared" si="153"/>
        <v>38.606375361987922</v>
      </c>
      <c r="AB342" s="346">
        <f t="shared" si="154"/>
        <v>-102.52879566619458</v>
      </c>
      <c r="AD342">
        <f t="shared" si="158"/>
        <v>0</v>
      </c>
      <c r="AE342">
        <f t="shared" si="135"/>
        <v>0</v>
      </c>
    </row>
    <row r="343" spans="1:31" x14ac:dyDescent="0.25">
      <c r="A343" s="347">
        <v>26003.5</v>
      </c>
      <c r="B343" s="364">
        <f t="shared" si="155"/>
        <v>26.003499999999999</v>
      </c>
      <c r="C343" s="337">
        <f t="shared" si="136"/>
        <v>11.318738326043853</v>
      </c>
      <c r="D343" s="338">
        <f t="shared" si="137"/>
        <v>1.4823319159784618</v>
      </c>
      <c r="E343" s="338">
        <f t="shared" si="138"/>
        <v>1.0022193817695029</v>
      </c>
      <c r="F343" s="339">
        <f t="shared" si="139"/>
        <v>6.6562524222716357E-2</v>
      </c>
      <c r="G343" s="338">
        <f t="shared" si="140"/>
        <v>1</v>
      </c>
      <c r="H343" s="339">
        <f t="shared" si="141"/>
        <v>0</v>
      </c>
      <c r="I343" s="337">
        <f t="shared" si="142"/>
        <v>58568.094994858729</v>
      </c>
      <c r="J343" s="340">
        <f t="shared" si="143"/>
        <v>1.570779252652394</v>
      </c>
      <c r="K343" s="348">
        <f t="shared" ref="K343:K406" si="159">SQRT(1+(A343/Zero2)^2)</f>
        <v>11.024904692358529</v>
      </c>
      <c r="L343" s="349">
        <f t="shared" ref="L343:L406" si="160">ATAN(A343/Zero2)</f>
        <v>1.479967759663313</v>
      </c>
      <c r="M343" s="337">
        <f t="shared" si="144"/>
        <v>1.0302344096634835</v>
      </c>
      <c r="N343" s="340">
        <f t="shared" si="145"/>
        <v>0.24286536671690487</v>
      </c>
      <c r="O343" s="341">
        <f t="shared" si="146"/>
        <v>1.0150351483666058</v>
      </c>
      <c r="P343" s="342">
        <f t="shared" si="147"/>
        <v>0.37602280796201365</v>
      </c>
      <c r="Q343" s="343">
        <f t="shared" si="148"/>
        <v>-2.1111347826325773</v>
      </c>
      <c r="R343" s="344">
        <f t="shared" si="149"/>
        <v>-121.78040672977575</v>
      </c>
      <c r="S343" s="346">
        <f t="shared" si="150"/>
        <v>58.219593270224252</v>
      </c>
      <c r="U343" s="319">
        <f t="shared" si="156"/>
        <v>26003.5</v>
      </c>
      <c r="V343" s="319">
        <f t="shared" si="157"/>
        <v>676182012.25</v>
      </c>
      <c r="X343" s="345">
        <f t="shared" si="151"/>
        <v>22.942778288232013</v>
      </c>
      <c r="Y343" s="346">
        <f t="shared" si="152"/>
        <v>-19.118275804177692</v>
      </c>
      <c r="AA343" s="345">
        <f t="shared" si="153"/>
        <v>38.555208218298034</v>
      </c>
      <c r="AB343" s="346">
        <f t="shared" si="154"/>
        <v>-102.66213092559806</v>
      </c>
      <c r="AD343">
        <f t="shared" si="158"/>
        <v>0</v>
      </c>
      <c r="AE343">
        <f t="shared" si="135"/>
        <v>0</v>
      </c>
    </row>
    <row r="344" spans="1:31" x14ac:dyDescent="0.25">
      <c r="A344" s="347">
        <v>26153.25</v>
      </c>
      <c r="B344" s="364">
        <f t="shared" si="155"/>
        <v>26.15325</v>
      </c>
      <c r="C344" s="337">
        <f t="shared" si="136"/>
        <v>11.383413787984056</v>
      </c>
      <c r="D344" s="338">
        <f t="shared" si="137"/>
        <v>1.4828358351888686</v>
      </c>
      <c r="E344" s="338">
        <f t="shared" si="138"/>
        <v>1.0022449887914471</v>
      </c>
      <c r="F344" s="339">
        <f t="shared" si="139"/>
        <v>6.6944706181419039E-2</v>
      </c>
      <c r="G344" s="338">
        <f t="shared" si="140"/>
        <v>1</v>
      </c>
      <c r="H344" s="339">
        <f t="shared" si="141"/>
        <v>0</v>
      </c>
      <c r="I344" s="337">
        <f t="shared" si="142"/>
        <v>58905.379292085279</v>
      </c>
      <c r="J344" s="340">
        <f t="shared" si="143"/>
        <v>1.5707793504166427</v>
      </c>
      <c r="K344" s="348">
        <f t="shared" si="159"/>
        <v>11.087874491139139</v>
      </c>
      <c r="L344" s="349">
        <f t="shared" si="160"/>
        <v>1.4804850005484664</v>
      </c>
      <c r="M344" s="337">
        <f t="shared" si="144"/>
        <v>1.0305784606906618</v>
      </c>
      <c r="N344" s="340">
        <f t="shared" si="145"/>
        <v>0.24420918913305878</v>
      </c>
      <c r="O344" s="341">
        <f t="shared" si="146"/>
        <v>1.0152254870418018</v>
      </c>
      <c r="P344" s="342">
        <f t="shared" si="147"/>
        <v>0.37822295682916712</v>
      </c>
      <c r="Q344" s="343">
        <f t="shared" si="148"/>
        <v>-2.1653397622797264</v>
      </c>
      <c r="R344" s="344">
        <f t="shared" si="149"/>
        <v>-121.96080623973106</v>
      </c>
      <c r="S344" s="346">
        <f t="shared" si="150"/>
        <v>58.039193760268944</v>
      </c>
      <c r="U344" s="319">
        <f t="shared" si="156"/>
        <v>26153.25</v>
      </c>
      <c r="V344" s="319">
        <f t="shared" si="157"/>
        <v>683992485.5625</v>
      </c>
      <c r="X344" s="345">
        <f t="shared" si="151"/>
        <v>22.939470064224142</v>
      </c>
      <c r="Y344" s="346">
        <f t="shared" si="152"/>
        <v>-19.165641038860429</v>
      </c>
      <c r="AA344" s="345">
        <f t="shared" si="153"/>
        <v>38.504311462658755</v>
      </c>
      <c r="AB344" s="346">
        <f t="shared" si="154"/>
        <v>-102.79516520087064</v>
      </c>
      <c r="AD344">
        <f t="shared" si="158"/>
        <v>0</v>
      </c>
      <c r="AE344">
        <f t="shared" si="135"/>
        <v>0</v>
      </c>
    </row>
    <row r="345" spans="1:31" x14ac:dyDescent="0.25">
      <c r="A345" s="347">
        <v>26303</v>
      </c>
      <c r="B345" s="364">
        <f t="shared" si="155"/>
        <v>26.303000000000001</v>
      </c>
      <c r="C345" s="337">
        <f t="shared" si="136"/>
        <v>11.448092107905032</v>
      </c>
      <c r="D345" s="338">
        <f t="shared" si="137"/>
        <v>1.4833340605368899</v>
      </c>
      <c r="E345" s="338">
        <f t="shared" si="138"/>
        <v>1.002270742196858</v>
      </c>
      <c r="F345" s="339">
        <f t="shared" si="139"/>
        <v>6.7326868555563524E-2</v>
      </c>
      <c r="G345" s="338">
        <f t="shared" si="140"/>
        <v>1</v>
      </c>
      <c r="H345" s="339">
        <f t="shared" si="141"/>
        <v>0</v>
      </c>
      <c r="I345" s="337">
        <f t="shared" si="142"/>
        <v>59242.663589312382</v>
      </c>
      <c r="J345" s="340">
        <f t="shared" si="143"/>
        <v>1.5707794470676957</v>
      </c>
      <c r="K345" s="348">
        <f t="shared" si="159"/>
        <v>11.150847222845167</v>
      </c>
      <c r="L345" s="349">
        <f t="shared" si="160"/>
        <v>1.4809963994890256</v>
      </c>
      <c r="M345" s="337">
        <f t="shared" si="144"/>
        <v>1.0309243715527474</v>
      </c>
      <c r="N345" s="340">
        <f t="shared" si="145"/>
        <v>0.24555211217498482</v>
      </c>
      <c r="O345" s="341">
        <f t="shared" si="146"/>
        <v>1.0154172965902453</v>
      </c>
      <c r="P345" s="342">
        <f t="shared" si="147"/>
        <v>0.38042362564195414</v>
      </c>
      <c r="Q345" s="343">
        <f t="shared" si="148"/>
        <v>-2.2192853286381435</v>
      </c>
      <c r="R345" s="344">
        <f t="shared" si="149"/>
        <v>-122.14119355284599</v>
      </c>
      <c r="S345" s="346">
        <f t="shared" si="150"/>
        <v>57.858806447154009</v>
      </c>
      <c r="U345" s="319">
        <f t="shared" si="156"/>
        <v>26303</v>
      </c>
      <c r="V345" s="319">
        <f t="shared" si="157"/>
        <v>691847809</v>
      </c>
      <c r="X345" s="345">
        <f t="shared" si="151"/>
        <v>22.936154050182196</v>
      </c>
      <c r="Y345" s="346">
        <f t="shared" si="152"/>
        <v>-19.213289398184031</v>
      </c>
      <c r="AA345" s="345">
        <f t="shared" si="153"/>
        <v>38.453681910342283</v>
      </c>
      <c r="AB345" s="346">
        <f t="shared" si="154"/>
        <v>-102.92790415466196</v>
      </c>
      <c r="AD345">
        <f t="shared" si="158"/>
        <v>0</v>
      </c>
      <c r="AE345">
        <f t="shared" si="135"/>
        <v>0</v>
      </c>
    </row>
    <row r="346" spans="1:31" x14ac:dyDescent="0.25">
      <c r="A346" s="347">
        <v>26456</v>
      </c>
      <c r="B346" s="364">
        <f t="shared" si="155"/>
        <v>26.456</v>
      </c>
      <c r="C346" s="337">
        <f t="shared" si="136"/>
        <v>11.514177032521458</v>
      </c>
      <c r="D346" s="338">
        <f t="shared" si="137"/>
        <v>1.4838373177862534</v>
      </c>
      <c r="E346" s="338">
        <f t="shared" si="138"/>
        <v>1.0022972056958639</v>
      </c>
      <c r="F346" s="339">
        <f t="shared" si="139"/>
        <v>6.7717304596549427E-2</v>
      </c>
      <c r="G346" s="338">
        <f t="shared" si="140"/>
        <v>1</v>
      </c>
      <c r="H346" s="339">
        <f t="shared" si="141"/>
        <v>0</v>
      </c>
      <c r="I346" s="337">
        <f t="shared" si="142"/>
        <v>59587.267913024109</v>
      </c>
      <c r="J346" s="340">
        <f t="shared" si="143"/>
        <v>1.5707795446863175</v>
      </c>
      <c r="K346" s="348">
        <f t="shared" si="159"/>
        <v>11.215189619251376</v>
      </c>
      <c r="L346" s="349">
        <f t="shared" si="160"/>
        <v>1.4815129658302191</v>
      </c>
      <c r="M346" s="337">
        <f t="shared" si="144"/>
        <v>1.0312797085338348</v>
      </c>
      <c r="N346" s="340">
        <f t="shared" si="145"/>
        <v>0.24692324749903388</v>
      </c>
      <c r="O346" s="341">
        <f t="shared" si="146"/>
        <v>1.0156147945805694</v>
      </c>
      <c r="P346" s="342">
        <f t="shared" si="147"/>
        <v>0.38267259301752415</v>
      </c>
      <c r="Q346" s="343">
        <f t="shared" si="148"/>
        <v>-2.2741371355776971</v>
      </c>
      <c r="R346" s="344">
        <f t="shared" si="149"/>
        <v>-122.32548286017442</v>
      </c>
      <c r="S346" s="346">
        <f t="shared" si="150"/>
        <v>57.674517139825582</v>
      </c>
      <c r="U346" s="319">
        <f t="shared" si="156"/>
        <v>26456</v>
      </c>
      <c r="V346" s="319">
        <f t="shared" si="157"/>
        <v>699919936</v>
      </c>
      <c r="X346" s="345">
        <f t="shared" si="151"/>
        <v>22.93275789464245</v>
      </c>
      <c r="Y346" s="346">
        <f t="shared" si="152"/>
        <v>-19.262258187395435</v>
      </c>
      <c r="AA346" s="345">
        <f t="shared" si="153"/>
        <v>38.402226258942484</v>
      </c>
      <c r="AB346" s="346">
        <f t="shared" si="154"/>
        <v>-103.06322467277896</v>
      </c>
      <c r="AD346">
        <f t="shared" si="158"/>
        <v>0</v>
      </c>
      <c r="AE346">
        <f t="shared" ref="AE346:AE409" si="161">IF(AD346&gt;0,S346,0)</f>
        <v>0</v>
      </c>
    </row>
    <row r="347" spans="1:31" x14ac:dyDescent="0.25">
      <c r="A347" s="347">
        <v>26609</v>
      </c>
      <c r="B347" s="364">
        <f t="shared" si="155"/>
        <v>26.609000000000002</v>
      </c>
      <c r="C347" s="337">
        <f t="shared" si="136"/>
        <v>11.580264840025084</v>
      </c>
      <c r="D347" s="338">
        <f t="shared" si="137"/>
        <v>1.48433483104858</v>
      </c>
      <c r="E347" s="338">
        <f t="shared" si="138"/>
        <v>1.002323821977277</v>
      </c>
      <c r="F347" s="339">
        <f t="shared" si="139"/>
        <v>6.8107719961322796E-2</v>
      </c>
      <c r="G347" s="338">
        <f t="shared" si="140"/>
        <v>1</v>
      </c>
      <c r="H347" s="339">
        <f t="shared" si="141"/>
        <v>0</v>
      </c>
      <c r="I347" s="337">
        <f t="shared" si="142"/>
        <v>59931.87223673641</v>
      </c>
      <c r="J347" s="340">
        <f t="shared" si="143"/>
        <v>1.570779641182338</v>
      </c>
      <c r="K347" s="348">
        <f t="shared" si="159"/>
        <v>11.279534974184656</v>
      </c>
      <c r="L347" s="349">
        <f t="shared" si="160"/>
        <v>1.4820236386867229</v>
      </c>
      <c r="M347" s="337">
        <f t="shared" si="144"/>
        <v>1.0316369829954906</v>
      </c>
      <c r="N347" s="340">
        <f t="shared" si="145"/>
        <v>0.2482934356998707</v>
      </c>
      <c r="O347" s="341">
        <f t="shared" si="146"/>
        <v>1.0158138412551185</v>
      </c>
      <c r="P347" s="342">
        <f t="shared" si="147"/>
        <v>0.38492210475523414</v>
      </c>
      <c r="Q347" s="343">
        <f t="shared" si="148"/>
        <v>-2.3287249617543471</v>
      </c>
      <c r="R347" s="344">
        <f t="shared" si="149"/>
        <v>-122.50975877691715</v>
      </c>
      <c r="S347" s="346">
        <f t="shared" si="150"/>
        <v>57.490241223082847</v>
      </c>
      <c r="U347" s="319">
        <f t="shared" si="156"/>
        <v>26609</v>
      </c>
      <c r="V347" s="319">
        <f t="shared" si="157"/>
        <v>708038881</v>
      </c>
      <c r="X347" s="345">
        <f t="shared" si="151"/>
        <v>22.929353350061554</v>
      </c>
      <c r="Y347" s="346">
        <f t="shared" si="152"/>
        <v>-19.311510317923439</v>
      </c>
      <c r="AA347" s="345">
        <f t="shared" si="153"/>
        <v>38.351042977346729</v>
      </c>
      <c r="AB347" s="346">
        <f t="shared" si="154"/>
        <v>-103.19824845899369</v>
      </c>
      <c r="AD347">
        <f t="shared" si="158"/>
        <v>0</v>
      </c>
      <c r="AE347">
        <f t="shared" si="161"/>
        <v>0</v>
      </c>
    </row>
    <row r="348" spans="1:31" x14ac:dyDescent="0.25">
      <c r="A348" s="347">
        <v>26762</v>
      </c>
      <c r="B348" s="364">
        <f t="shared" si="155"/>
        <v>26.762</v>
      </c>
      <c r="C348" s="337">
        <f t="shared" si="136"/>
        <v>11.646355481338663</v>
      </c>
      <c r="D348" s="338">
        <f t="shared" si="137"/>
        <v>1.4848266978632501</v>
      </c>
      <c r="E348" s="338">
        <f t="shared" si="138"/>
        <v>1.0023505910289261</v>
      </c>
      <c r="F348" s="339">
        <f t="shared" si="139"/>
        <v>6.8498114532518029E-2</v>
      </c>
      <c r="G348" s="338">
        <f t="shared" si="140"/>
        <v>1</v>
      </c>
      <c r="H348" s="339">
        <f t="shared" si="141"/>
        <v>0</v>
      </c>
      <c r="I348" s="337">
        <f t="shared" si="142"/>
        <v>60276.47656044925</v>
      </c>
      <c r="J348" s="340">
        <f t="shared" si="143"/>
        <v>1.5707797365750114</v>
      </c>
      <c r="K348" s="348">
        <f t="shared" si="159"/>
        <v>11.343883237300487</v>
      </c>
      <c r="L348" s="349">
        <f t="shared" si="160"/>
        <v>1.4825285180823999</v>
      </c>
      <c r="M348" s="337">
        <f t="shared" si="144"/>
        <v>1.031996192925462</v>
      </c>
      <c r="N348" s="340">
        <f t="shared" si="145"/>
        <v>0.24966267261902655</v>
      </c>
      <c r="O348" s="341">
        <f t="shared" si="146"/>
        <v>1.0160144433695868</v>
      </c>
      <c r="P348" s="342">
        <f t="shared" si="147"/>
        <v>0.38717216160596002</v>
      </c>
      <c r="Q348" s="343">
        <f t="shared" si="148"/>
        <v>-2.3830521634617945</v>
      </c>
      <c r="R348" s="344">
        <f t="shared" si="149"/>
        <v>-122.6940209733109</v>
      </c>
      <c r="S348" s="346">
        <f t="shared" si="150"/>
        <v>57.305979026689101</v>
      </c>
      <c r="U348" s="319">
        <f t="shared" si="156"/>
        <v>26762</v>
      </c>
      <c r="V348" s="319">
        <f t="shared" si="157"/>
        <v>716204644</v>
      </c>
      <c r="X348" s="345">
        <f t="shared" si="151"/>
        <v>22.925940293463903</v>
      </c>
      <c r="Y348" s="346">
        <f t="shared" si="152"/>
        <v>-19.361039821663329</v>
      </c>
      <c r="AA348" s="345">
        <f t="shared" si="153"/>
        <v>38.300128832236929</v>
      </c>
      <c r="AB348" s="346">
        <f t="shared" si="154"/>
        <v>-103.33298115164756</v>
      </c>
      <c r="AD348">
        <f t="shared" si="158"/>
        <v>0</v>
      </c>
      <c r="AE348">
        <f t="shared" si="161"/>
        <v>0</v>
      </c>
    </row>
    <row r="349" spans="1:31" x14ac:dyDescent="0.25">
      <c r="A349" s="347">
        <v>26915</v>
      </c>
      <c r="B349" s="364">
        <f t="shared" si="155"/>
        <v>26.914999999999999</v>
      </c>
      <c r="C349" s="337">
        <f t="shared" si="136"/>
        <v>11.712448908490586</v>
      </c>
      <c r="D349" s="338">
        <f t="shared" si="137"/>
        <v>1.4853130135790533</v>
      </c>
      <c r="E349" s="338">
        <f t="shared" si="138"/>
        <v>1.0023775128385726</v>
      </c>
      <c r="F349" s="339">
        <f t="shared" si="139"/>
        <v>6.8888488192807351E-2</v>
      </c>
      <c r="G349" s="338">
        <f t="shared" si="140"/>
        <v>1</v>
      </c>
      <c r="H349" s="339">
        <f t="shared" si="141"/>
        <v>0</v>
      </c>
      <c r="I349" s="337">
        <f t="shared" si="142"/>
        <v>60621.080884162642</v>
      </c>
      <c r="J349" s="340">
        <f t="shared" si="143"/>
        <v>1.5707798308831533</v>
      </c>
      <c r="K349" s="348">
        <f t="shared" si="159"/>
        <v>11.408234359387961</v>
      </c>
      <c r="L349" s="349">
        <f t="shared" si="160"/>
        <v>1.4830277017962383</v>
      </c>
      <c r="M349" s="337">
        <f t="shared" si="144"/>
        <v>1.0323573363034038</v>
      </c>
      <c r="N349" s="340">
        <f t="shared" si="145"/>
        <v>0.25103095411807247</v>
      </c>
      <c r="O349" s="341">
        <f t="shared" si="146"/>
        <v>1.016216607711409</v>
      </c>
      <c r="P349" s="342">
        <f t="shared" si="147"/>
        <v>0.38942276428051931</v>
      </c>
      <c r="Q349" s="343">
        <f t="shared" si="148"/>
        <v>-2.4371220398589748</v>
      </c>
      <c r="R349" s="344">
        <f t="shared" si="149"/>
        <v>-122.87826912152836</v>
      </c>
      <c r="S349" s="346">
        <f t="shared" si="150"/>
        <v>57.121730878471638</v>
      </c>
      <c r="U349" s="319">
        <f t="shared" si="156"/>
        <v>26915</v>
      </c>
      <c r="V349" s="319">
        <f t="shared" si="157"/>
        <v>724417225</v>
      </c>
      <c r="X349" s="345">
        <f t="shared" si="151"/>
        <v>22.922518606378492</v>
      </c>
      <c r="Y349" s="346">
        <f t="shared" si="152"/>
        <v>-19.410840860255298</v>
      </c>
      <c r="AA349" s="345">
        <f t="shared" si="153"/>
        <v>38.249480642925157</v>
      </c>
      <c r="AB349" s="346">
        <f t="shared" si="154"/>
        <v>-103.46742826127306</v>
      </c>
      <c r="AD349">
        <f t="shared" si="158"/>
        <v>0</v>
      </c>
      <c r="AE349">
        <f t="shared" si="161"/>
        <v>0</v>
      </c>
    </row>
    <row r="350" spans="1:31" x14ac:dyDescent="0.25">
      <c r="A350" s="347">
        <v>27071.75</v>
      </c>
      <c r="B350" s="364">
        <f t="shared" si="155"/>
        <v>27.071750000000002</v>
      </c>
      <c r="C350" s="337">
        <f t="shared" si="136"/>
        <v>11.78016511265244</v>
      </c>
      <c r="D350" s="338">
        <f t="shared" si="137"/>
        <v>1.4858055893978184</v>
      </c>
      <c r="E350" s="338">
        <f t="shared" si="138"/>
        <v>1.0024052529036085</v>
      </c>
      <c r="F350" s="339">
        <f t="shared" si="139"/>
        <v>6.9288408026365864E-2</v>
      </c>
      <c r="G350" s="338">
        <f t="shared" si="140"/>
        <v>1</v>
      </c>
      <c r="H350" s="339">
        <f t="shared" si="141"/>
        <v>0</v>
      </c>
      <c r="I350" s="337">
        <f t="shared" si="142"/>
        <v>60974.131392281313</v>
      </c>
      <c r="J350" s="340">
        <f t="shared" si="143"/>
        <v>1.5707799263972655</v>
      </c>
      <c r="K350" s="348">
        <f t="shared" si="159"/>
        <v>11.47416562950675</v>
      </c>
      <c r="L350" s="349">
        <f t="shared" si="160"/>
        <v>1.4835333135485012</v>
      </c>
      <c r="M350" s="337">
        <f t="shared" si="144"/>
        <v>1.0327293342252777</v>
      </c>
      <c r="N350" s="340">
        <f t="shared" si="145"/>
        <v>0.25243177678978768</v>
      </c>
      <c r="O350" s="341">
        <f t="shared" si="146"/>
        <v>1.016425354322797</v>
      </c>
      <c r="P350" s="342">
        <f t="shared" si="147"/>
        <v>0.39172909554102908</v>
      </c>
      <c r="Q350" s="343">
        <f t="shared" si="148"/>
        <v>-2.4922536858984357</v>
      </c>
      <c r="R350" s="344">
        <f t="shared" si="149"/>
        <v>-123.06701824604346</v>
      </c>
      <c r="S350" s="346">
        <f t="shared" si="150"/>
        <v>56.93298175395654</v>
      </c>
      <c r="U350" s="319">
        <f t="shared" si="156"/>
        <v>27071.75</v>
      </c>
      <c r="V350" s="319">
        <f t="shared" si="157"/>
        <v>732879648.0625</v>
      </c>
      <c r="X350" s="345">
        <f t="shared" si="151"/>
        <v>22.91900398475212</v>
      </c>
      <c r="Y350" s="346">
        <f t="shared" si="152"/>
        <v>-19.462138140328076</v>
      </c>
      <c r="AA350" s="345">
        <f t="shared" si="153"/>
        <v>38.197863618512073</v>
      </c>
      <c r="AB350" s="346">
        <f t="shared" si="154"/>
        <v>-103.60488010571538</v>
      </c>
      <c r="AD350">
        <f t="shared" si="158"/>
        <v>0</v>
      </c>
      <c r="AE350">
        <f t="shared" si="161"/>
        <v>0</v>
      </c>
    </row>
    <row r="351" spans="1:31" x14ac:dyDescent="0.25">
      <c r="A351" s="347">
        <v>27228.5</v>
      </c>
      <c r="B351" s="364">
        <f t="shared" si="155"/>
        <v>27.2285</v>
      </c>
      <c r="C351" s="337">
        <f t="shared" si="136"/>
        <v>11.84788414237412</v>
      </c>
      <c r="D351" s="338">
        <f t="shared" si="137"/>
        <v>1.4862925344958806</v>
      </c>
      <c r="E351" s="338">
        <f t="shared" si="138"/>
        <v>1.0024331532803161</v>
      </c>
      <c r="F351" s="339">
        <f t="shared" si="139"/>
        <v>6.9688305662217412E-2</v>
      </c>
      <c r="G351" s="338">
        <f t="shared" si="140"/>
        <v>1</v>
      </c>
      <c r="H351" s="339">
        <f t="shared" si="141"/>
        <v>0</v>
      </c>
      <c r="I351" s="337">
        <f t="shared" si="142"/>
        <v>61327.181900400545</v>
      </c>
      <c r="J351" s="340">
        <f t="shared" si="143"/>
        <v>1.5707800208116596</v>
      </c>
      <c r="K351" s="348">
        <f t="shared" si="159"/>
        <v>11.54009979940086</v>
      </c>
      <c r="L351" s="349">
        <f t="shared" si="160"/>
        <v>1.4840331478185123</v>
      </c>
      <c r="M351" s="337">
        <f t="shared" si="144"/>
        <v>1.0331033572144817</v>
      </c>
      <c r="N351" s="340">
        <f t="shared" si="145"/>
        <v>0.25383158790377119</v>
      </c>
      <c r="O351" s="341">
        <f t="shared" si="146"/>
        <v>1.0166357552044107</v>
      </c>
      <c r="P351" s="342">
        <f t="shared" si="147"/>
        <v>0.39403600109012732</v>
      </c>
      <c r="Q351" s="343">
        <f t="shared" si="148"/>
        <v>-2.5471220703833826</v>
      </c>
      <c r="R351" s="344">
        <f t="shared" si="149"/>
        <v>-123.25575193452518</v>
      </c>
      <c r="S351" s="346">
        <f t="shared" si="150"/>
        <v>56.744248065474821</v>
      </c>
      <c r="U351" s="319">
        <f t="shared" si="156"/>
        <v>27228.5</v>
      </c>
      <c r="V351" s="319">
        <f t="shared" si="157"/>
        <v>741391212.25</v>
      </c>
      <c r="X351" s="345">
        <f t="shared" si="151"/>
        <v>22.91548006650363</v>
      </c>
      <c r="Y351" s="346">
        <f t="shared" si="152"/>
        <v>-19.51370842475243</v>
      </c>
      <c r="AA351" s="345">
        <f t="shared" si="153"/>
        <v>38.146519152275609</v>
      </c>
      <c r="AB351" s="346">
        <f t="shared" si="154"/>
        <v>-103.74204350977274</v>
      </c>
      <c r="AD351">
        <f t="shared" si="158"/>
        <v>0</v>
      </c>
      <c r="AE351">
        <f t="shared" si="161"/>
        <v>0</v>
      </c>
    </row>
    <row r="352" spans="1:31" x14ac:dyDescent="0.25">
      <c r="A352" s="347">
        <v>27385.25</v>
      </c>
      <c r="B352" s="364">
        <f t="shared" si="155"/>
        <v>27.385249999999999</v>
      </c>
      <c r="C352" s="337">
        <f t="shared" si="136"/>
        <v>11.915605949480778</v>
      </c>
      <c r="D352" s="338">
        <f t="shared" si="137"/>
        <v>1.486773944646163</v>
      </c>
      <c r="E352" s="338">
        <f t="shared" si="138"/>
        <v>1.0024612139553097</v>
      </c>
      <c r="F352" s="339">
        <f t="shared" si="139"/>
        <v>7.0088180974319014E-2</v>
      </c>
      <c r="G352" s="338">
        <f t="shared" si="140"/>
        <v>1</v>
      </c>
      <c r="H352" s="339">
        <f t="shared" si="141"/>
        <v>0</v>
      </c>
      <c r="I352" s="337">
        <f t="shared" si="142"/>
        <v>61680.232408520314</v>
      </c>
      <c r="J352" s="340">
        <f t="shared" si="143"/>
        <v>1.5707801141452196</v>
      </c>
      <c r="K352" s="348">
        <f t="shared" si="159"/>
        <v>11.606036819649217</v>
      </c>
      <c r="L352" s="349">
        <f t="shared" si="160"/>
        <v>1.4845273028246644</v>
      </c>
      <c r="M352" s="337">
        <f t="shared" si="144"/>
        <v>1.03347940307236</v>
      </c>
      <c r="N352" s="340">
        <f t="shared" si="145"/>
        <v>0.2552303830755015</v>
      </c>
      <c r="O352" s="341">
        <f t="shared" si="146"/>
        <v>1.0168478177578464</v>
      </c>
      <c r="P352" s="342">
        <f t="shared" si="147"/>
        <v>0.3963434815602016</v>
      </c>
      <c r="Q352" s="343">
        <f t="shared" si="148"/>
        <v>-2.6017305628755425</v>
      </c>
      <c r="R352" s="344">
        <f t="shared" si="149"/>
        <v>-123.4444698401807</v>
      </c>
      <c r="S352" s="346">
        <f t="shared" si="150"/>
        <v>56.555530159819298</v>
      </c>
      <c r="U352" s="319">
        <f t="shared" si="156"/>
        <v>27385.25</v>
      </c>
      <c r="V352" s="319">
        <f t="shared" si="157"/>
        <v>749951917.5625</v>
      </c>
      <c r="X352" s="345">
        <f t="shared" si="151"/>
        <v>22.911946737992885</v>
      </c>
      <c r="Y352" s="346">
        <f t="shared" si="152"/>
        <v>-19.565545835896394</v>
      </c>
      <c r="AA352" s="345">
        <f t="shared" si="153"/>
        <v>38.0954439882942</v>
      </c>
      <c r="AB352" s="346">
        <f t="shared" si="154"/>
        <v>-103.87892400428431</v>
      </c>
      <c r="AD352">
        <f t="shared" si="158"/>
        <v>0</v>
      </c>
      <c r="AE352">
        <f t="shared" si="161"/>
        <v>0</v>
      </c>
    </row>
    <row r="353" spans="1:31" x14ac:dyDescent="0.25">
      <c r="A353" s="347">
        <v>27542</v>
      </c>
      <c r="B353" s="364">
        <f t="shared" si="155"/>
        <v>27.542000000000002</v>
      </c>
      <c r="C353" s="337">
        <f t="shared" si="136"/>
        <v>11.98333048688462</v>
      </c>
      <c r="D353" s="338">
        <f t="shared" si="137"/>
        <v>1.4872499134669177</v>
      </c>
      <c r="E353" s="338">
        <f t="shared" si="138"/>
        <v>1.002489434915129</v>
      </c>
      <c r="F353" s="339">
        <f t="shared" si="139"/>
        <v>7.0488033836670308E-2</v>
      </c>
      <c r="G353" s="338">
        <f t="shared" si="140"/>
        <v>1</v>
      </c>
      <c r="H353" s="339">
        <f t="shared" si="141"/>
        <v>0</v>
      </c>
      <c r="I353" s="337">
        <f t="shared" si="142"/>
        <v>62033.282916640615</v>
      </c>
      <c r="J353" s="340">
        <f t="shared" si="143"/>
        <v>1.5707802064163994</v>
      </c>
      <c r="K353" s="348">
        <f t="shared" si="159"/>
        <v>11.671976641945383</v>
      </c>
      <c r="L353" s="349">
        <f t="shared" si="160"/>
        <v>1.4850158745770838</v>
      </c>
      <c r="M353" s="337">
        <f t="shared" si="144"/>
        <v>1.0338574695915734</v>
      </c>
      <c r="N353" s="340">
        <f t="shared" si="145"/>
        <v>0.25662815794272142</v>
      </c>
      <c r="O353" s="341">
        <f t="shared" si="146"/>
        <v>1.0170615494190582</v>
      </c>
      <c r="P353" s="342">
        <f t="shared" si="147"/>
        <v>0.39865153753871835</v>
      </c>
      <c r="Q353" s="343">
        <f t="shared" si="148"/>
        <v>-2.6560824755374384</v>
      </c>
      <c r="R353" s="344">
        <f t="shared" si="149"/>
        <v>-123.63317161796279</v>
      </c>
      <c r="S353" s="346">
        <f t="shared" si="150"/>
        <v>56.366828382037212</v>
      </c>
      <c r="U353" s="319">
        <f t="shared" si="156"/>
        <v>27542</v>
      </c>
      <c r="V353" s="319">
        <f t="shared" si="157"/>
        <v>758561764</v>
      </c>
      <c r="X353" s="345">
        <f t="shared" si="151"/>
        <v>22.908403889918745</v>
      </c>
      <c r="Y353" s="346">
        <f t="shared" si="152"/>
        <v>-19.617644623903306</v>
      </c>
      <c r="AA353" s="345">
        <f t="shared" si="153"/>
        <v>38.044634923706447</v>
      </c>
      <c r="AB353" s="346">
        <f t="shared" si="154"/>
        <v>-104.01552699405946</v>
      </c>
      <c r="AD353">
        <f t="shared" si="158"/>
        <v>0</v>
      </c>
      <c r="AE353">
        <f t="shared" si="161"/>
        <v>0</v>
      </c>
    </row>
    <row r="354" spans="1:31" x14ac:dyDescent="0.25">
      <c r="A354" s="347">
        <v>27702.5</v>
      </c>
      <c r="B354" s="364">
        <f t="shared" si="155"/>
        <v>27.702500000000001</v>
      </c>
      <c r="C354" s="337">
        <f t="shared" si="136"/>
        <v>12.052678009518166</v>
      </c>
      <c r="D354" s="338">
        <f t="shared" si="137"/>
        <v>1.4877317265295882</v>
      </c>
      <c r="E354" s="338">
        <f t="shared" si="138"/>
        <v>1.0025184970859309</v>
      </c>
      <c r="F354" s="339">
        <f t="shared" si="139"/>
        <v>7.0897429163630885E-2</v>
      </c>
      <c r="G354" s="338">
        <f t="shared" si="140"/>
        <v>1</v>
      </c>
      <c r="H354" s="339">
        <f t="shared" si="141"/>
        <v>0</v>
      </c>
      <c r="I354" s="337">
        <f t="shared" si="142"/>
        <v>62394.779609166246</v>
      </c>
      <c r="J354" s="340">
        <f t="shared" si="143"/>
        <v>1.5707802998130513</v>
      </c>
      <c r="K354" s="348">
        <f t="shared" si="159"/>
        <v>11.739496826038907</v>
      </c>
      <c r="L354" s="349">
        <f t="shared" si="160"/>
        <v>1.4855104474625405</v>
      </c>
      <c r="M354" s="337">
        <f t="shared" si="144"/>
        <v>1.0342466722012236</v>
      </c>
      <c r="N354" s="340">
        <f t="shared" si="145"/>
        <v>0.25805831065713081</v>
      </c>
      <c r="O354" s="341">
        <f t="shared" si="146"/>
        <v>1.0172821315618343</v>
      </c>
      <c r="P354" s="342">
        <f t="shared" si="147"/>
        <v>0.40101540705895344</v>
      </c>
      <c r="Q354" s="343">
        <f t="shared" si="148"/>
        <v>-2.7114722129322075</v>
      </c>
      <c r="R354" s="344">
        <f t="shared" si="149"/>
        <v>-123.82637072246122</v>
      </c>
      <c r="S354" s="346">
        <f t="shared" si="150"/>
        <v>56.17362927753878</v>
      </c>
      <c r="U354" s="319">
        <f t="shared" si="156"/>
        <v>27702.5</v>
      </c>
      <c r="V354" s="319">
        <f t="shared" si="157"/>
        <v>767428506.25</v>
      </c>
      <c r="X354" s="345">
        <f t="shared" si="151"/>
        <v>22.904766311065231</v>
      </c>
      <c r="Y354" s="346">
        <f t="shared" si="152"/>
        <v>-19.671254750795107</v>
      </c>
      <c r="AA354" s="345">
        <f t="shared" si="153"/>
        <v>37.992882765165191</v>
      </c>
      <c r="AB354" s="346">
        <f t="shared" si="154"/>
        <v>-104.15511597166612</v>
      </c>
      <c r="AD354">
        <f t="shared" si="158"/>
        <v>0</v>
      </c>
      <c r="AE354">
        <f t="shared" si="161"/>
        <v>0</v>
      </c>
    </row>
    <row r="355" spans="1:31" x14ac:dyDescent="0.25">
      <c r="A355" s="347">
        <v>27863</v>
      </c>
      <c r="B355" s="364">
        <f t="shared" si="155"/>
        <v>27.863</v>
      </c>
      <c r="C355" s="337">
        <f t="shared" si="136"/>
        <v>12.12202829809314</v>
      </c>
      <c r="D355" s="338">
        <f t="shared" si="137"/>
        <v>1.4882080267836229</v>
      </c>
      <c r="E355" s="338">
        <f t="shared" si="138"/>
        <v>1.0025477272736201</v>
      </c>
      <c r="F355" s="339">
        <f t="shared" si="139"/>
        <v>7.1306800686616975E-2</v>
      </c>
      <c r="G355" s="338">
        <f t="shared" si="140"/>
        <v>1</v>
      </c>
      <c r="H355" s="339">
        <f t="shared" si="141"/>
        <v>0</v>
      </c>
      <c r="I355" s="337">
        <f t="shared" si="142"/>
        <v>62756.276301692422</v>
      </c>
      <c r="J355" s="340">
        <f t="shared" si="143"/>
        <v>1.5707803921337125</v>
      </c>
      <c r="K355" s="348">
        <f t="shared" si="159"/>
        <v>11.807019848798118</v>
      </c>
      <c r="L355" s="349">
        <f t="shared" si="160"/>
        <v>1.4859993636526851</v>
      </c>
      <c r="M355" s="337">
        <f t="shared" si="144"/>
        <v>1.0346379885996171</v>
      </c>
      <c r="N355" s="340">
        <f t="shared" si="145"/>
        <v>0.25948738448003361</v>
      </c>
      <c r="O355" s="341">
        <f t="shared" si="146"/>
        <v>1.0175044795174792</v>
      </c>
      <c r="P355" s="342">
        <f t="shared" si="147"/>
        <v>0.40337988105470357</v>
      </c>
      <c r="Q355" s="343">
        <f t="shared" si="148"/>
        <v>-2.7665997964443125</v>
      </c>
      <c r="R355" s="344">
        <f t="shared" si="149"/>
        <v>-124.01955219124245</v>
      </c>
      <c r="S355" s="346">
        <f t="shared" si="150"/>
        <v>55.980447808757546</v>
      </c>
      <c r="U355" s="319">
        <f t="shared" si="156"/>
        <v>27863</v>
      </c>
      <c r="V355" s="319">
        <f t="shared" si="157"/>
        <v>776346769</v>
      </c>
      <c r="X355" s="345">
        <f t="shared" si="151"/>
        <v>22.901118533118762</v>
      </c>
      <c r="Y355" s="346">
        <f t="shared" si="152"/>
        <v>-19.725127104874961</v>
      </c>
      <c r="AA355" s="345">
        <f t="shared" si="153"/>
        <v>37.94140295959955</v>
      </c>
      <c r="AB355" s="346">
        <f t="shared" si="154"/>
        <v>-104.29442508636748</v>
      </c>
      <c r="AD355">
        <f t="shared" si="158"/>
        <v>0</v>
      </c>
      <c r="AE355">
        <f t="shared" si="161"/>
        <v>0</v>
      </c>
    </row>
    <row r="356" spans="1:31" x14ac:dyDescent="0.25">
      <c r="A356" s="347">
        <v>28023.5</v>
      </c>
      <c r="B356" s="364">
        <f t="shared" si="155"/>
        <v>28.023499999999999</v>
      </c>
      <c r="C356" s="337">
        <f t="shared" si="136"/>
        <v>12.19138130540763</v>
      </c>
      <c r="D356" s="338">
        <f t="shared" si="137"/>
        <v>1.4886789080930503</v>
      </c>
      <c r="E356" s="338">
        <f t="shared" si="138"/>
        <v>1.0025771254635005</v>
      </c>
      <c r="F356" s="339">
        <f t="shared" si="139"/>
        <v>7.1716148270507568E-2</v>
      </c>
      <c r="G356" s="338">
        <f t="shared" si="140"/>
        <v>1</v>
      </c>
      <c r="H356" s="339">
        <f t="shared" si="141"/>
        <v>0</v>
      </c>
      <c r="I356" s="337">
        <f t="shared" si="142"/>
        <v>63117.772994219114</v>
      </c>
      <c r="J356" s="340">
        <f t="shared" si="143"/>
        <v>1.570780483396871</v>
      </c>
      <c r="K356" s="348">
        <f t="shared" si="159"/>
        <v>11.874545661797935</v>
      </c>
      <c r="L356" s="349">
        <f t="shared" si="160"/>
        <v>1.4864827194138825</v>
      </c>
      <c r="M356" s="337">
        <f t="shared" si="144"/>
        <v>1.0350314163892613</v>
      </c>
      <c r="N356" s="340">
        <f t="shared" si="145"/>
        <v>0.26091537480139088</v>
      </c>
      <c r="O356" s="341">
        <f t="shared" si="146"/>
        <v>1.017728601379428</v>
      </c>
      <c r="P356" s="342">
        <f t="shared" si="147"/>
        <v>0.40574496000893057</v>
      </c>
      <c r="Q356" s="343">
        <f t="shared" si="148"/>
        <v>-2.8214686030472795</v>
      </c>
      <c r="R356" s="344">
        <f t="shared" si="149"/>
        <v>-124.21271565899973</v>
      </c>
      <c r="S356" s="346">
        <f t="shared" si="150"/>
        <v>55.787284341000273</v>
      </c>
      <c r="U356" s="319">
        <f t="shared" si="156"/>
        <v>28023.5</v>
      </c>
      <c r="V356" s="319">
        <f t="shared" si="157"/>
        <v>785316552.25</v>
      </c>
      <c r="X356" s="345">
        <f t="shared" si="151"/>
        <v>22.897460451969287</v>
      </c>
      <c r="Y356" s="346">
        <f t="shared" si="152"/>
        <v>-19.779255907409979</v>
      </c>
      <c r="AA356" s="345">
        <f t="shared" si="153"/>
        <v>37.890192234146056</v>
      </c>
      <c r="AB356" s="346">
        <f t="shared" si="154"/>
        <v>-104.43345975158974</v>
      </c>
      <c r="AD356">
        <f t="shared" si="158"/>
        <v>0</v>
      </c>
      <c r="AE356">
        <f t="shared" si="161"/>
        <v>0</v>
      </c>
    </row>
    <row r="357" spans="1:31" x14ac:dyDescent="0.25">
      <c r="A357" s="347">
        <v>28184</v>
      </c>
      <c r="B357" s="364">
        <f t="shared" si="155"/>
        <v>28.184000000000001</v>
      </c>
      <c r="C357" s="337">
        <f t="shared" si="136"/>
        <v>12.260736985325886</v>
      </c>
      <c r="D357" s="338">
        <f t="shared" si="137"/>
        <v>1.4891444622077832</v>
      </c>
      <c r="E357" s="338">
        <f t="shared" si="138"/>
        <v>1.0026066916407945</v>
      </c>
      <c r="F357" s="339">
        <f t="shared" si="139"/>
        <v>7.2125471780229516E-2</v>
      </c>
      <c r="G357" s="338">
        <f t="shared" si="140"/>
        <v>1</v>
      </c>
      <c r="H357" s="339">
        <f t="shared" si="141"/>
        <v>0</v>
      </c>
      <c r="I357" s="337">
        <f t="shared" si="142"/>
        <v>63479.269686746338</v>
      </c>
      <c r="J357" s="340">
        <f t="shared" si="143"/>
        <v>1.5707805736205931</v>
      </c>
      <c r="K357" s="348">
        <f t="shared" si="159"/>
        <v>11.94207421770656</v>
      </c>
      <c r="L357" s="349">
        <f t="shared" si="160"/>
        <v>1.4869606088456053</v>
      </c>
      <c r="M357" s="337">
        <f t="shared" si="144"/>
        <v>1.0354269531633806</v>
      </c>
      <c r="N357" s="340">
        <f t="shared" si="145"/>
        <v>0.26234227703582669</v>
      </c>
      <c r="O357" s="341">
        <f t="shared" si="146"/>
        <v>1.0179545052781716</v>
      </c>
      <c r="P357" s="342">
        <f t="shared" si="147"/>
        <v>0.40811064435435779</v>
      </c>
      <c r="Q357" s="343">
        <f t="shared" si="148"/>
        <v>-2.8760819521853138</v>
      </c>
      <c r="R357" s="344">
        <f t="shared" si="149"/>
        <v>-124.40586076195797</v>
      </c>
      <c r="S357" s="346">
        <f t="shared" si="150"/>
        <v>55.594139238042033</v>
      </c>
      <c r="U357" s="319">
        <f t="shared" si="156"/>
        <v>28184</v>
      </c>
      <c r="V357" s="319">
        <f t="shared" si="157"/>
        <v>794337856</v>
      </c>
      <c r="X357" s="345">
        <f t="shared" si="151"/>
        <v>22.893791967676698</v>
      </c>
      <c r="Y357" s="346">
        <f t="shared" si="152"/>
        <v>-19.833635505209948</v>
      </c>
      <c r="AA357" s="345">
        <f t="shared" si="153"/>
        <v>37.839247369300615</v>
      </c>
      <c r="AB357" s="346">
        <f t="shared" si="154"/>
        <v>-104.57222525674804</v>
      </c>
      <c r="AD357">
        <f t="shared" si="158"/>
        <v>0</v>
      </c>
      <c r="AE357">
        <f t="shared" si="161"/>
        <v>0</v>
      </c>
    </row>
    <row r="358" spans="1:31" x14ac:dyDescent="0.25">
      <c r="A358" s="347">
        <v>28348</v>
      </c>
      <c r="B358" s="364">
        <f t="shared" si="155"/>
        <v>28.347999999999999</v>
      </c>
      <c r="C358" s="337">
        <f t="shared" si="136"/>
        <v>12.331607808143799</v>
      </c>
      <c r="D358" s="338">
        <f t="shared" si="137"/>
        <v>1.4896147591897559</v>
      </c>
      <c r="E358" s="338">
        <f t="shared" si="138"/>
        <v>1.0026370760701959</v>
      </c>
      <c r="F358" s="339">
        <f t="shared" si="139"/>
        <v>7.254369633994294E-2</v>
      </c>
      <c r="G358" s="338">
        <f t="shared" si="140"/>
        <v>1</v>
      </c>
      <c r="H358" s="339">
        <f t="shared" si="141"/>
        <v>0</v>
      </c>
      <c r="I358" s="337">
        <f t="shared" si="142"/>
        <v>63848.649484718604</v>
      </c>
      <c r="J358" s="340">
        <f t="shared" si="143"/>
        <v>1.5707806647564964</v>
      </c>
      <c r="K358" s="348">
        <f t="shared" si="159"/>
        <v>12.011078144093707</v>
      </c>
      <c r="L358" s="349">
        <f t="shared" si="160"/>
        <v>1.4874433688109263</v>
      </c>
      <c r="M358" s="337">
        <f t="shared" si="144"/>
        <v>1.0358332913076351</v>
      </c>
      <c r="N358" s="340">
        <f t="shared" si="145"/>
        <v>0.26379916683606597</v>
      </c>
      <c r="O358" s="341">
        <f t="shared" si="146"/>
        <v>1.0181871846795865</v>
      </c>
      <c r="P358" s="342">
        <f t="shared" si="147"/>
        <v>0.41052854256703808</v>
      </c>
      <c r="Q358" s="343">
        <f t="shared" si="148"/>
        <v>-2.9316257672706629</v>
      </c>
      <c r="R358" s="344">
        <f t="shared" si="149"/>
        <v>-124.60319840502798</v>
      </c>
      <c r="S358" s="346">
        <f t="shared" si="150"/>
        <v>55.396801594972018</v>
      </c>
      <c r="U358" s="319">
        <f t="shared" si="156"/>
        <v>28348</v>
      </c>
      <c r="V358" s="319">
        <f t="shared" si="157"/>
        <v>803609104</v>
      </c>
      <c r="X358" s="345">
        <f t="shared" si="151"/>
        <v>22.890032639612606</v>
      </c>
      <c r="Y358" s="346">
        <f t="shared" si="152"/>
        <v>-19.88945425521494</v>
      </c>
      <c r="AA358" s="345">
        <f t="shared" si="153"/>
        <v>37.787462882279357</v>
      </c>
      <c r="AB358" s="346">
        <f t="shared" si="154"/>
        <v>-104.71374414981305</v>
      </c>
      <c r="AD358">
        <f t="shared" si="158"/>
        <v>0</v>
      </c>
      <c r="AE358">
        <f t="shared" si="161"/>
        <v>0</v>
      </c>
    </row>
    <row r="359" spans="1:31" x14ac:dyDescent="0.25">
      <c r="A359" s="347">
        <v>28512</v>
      </c>
      <c r="B359" s="364">
        <f t="shared" si="155"/>
        <v>28.512</v>
      </c>
      <c r="C359" s="337">
        <f t="shared" si="136"/>
        <v>12.402481327285983</v>
      </c>
      <c r="D359" s="338">
        <f t="shared" si="137"/>
        <v>1.4900796812842925</v>
      </c>
      <c r="E359" s="338">
        <f t="shared" si="138"/>
        <v>1.0026676358619884</v>
      </c>
      <c r="F359" s="339">
        <f t="shared" si="139"/>
        <v>7.2961895479097594E-2</v>
      </c>
      <c r="G359" s="338">
        <f t="shared" si="140"/>
        <v>1</v>
      </c>
      <c r="H359" s="339">
        <f t="shared" si="141"/>
        <v>0</v>
      </c>
      <c r="I359" s="337">
        <f t="shared" si="142"/>
        <v>64218.029282691394</v>
      </c>
      <c r="J359" s="340">
        <f t="shared" si="143"/>
        <v>1.5707807548439787</v>
      </c>
      <c r="K359" s="348">
        <f t="shared" si="159"/>
        <v>12.080084837768537</v>
      </c>
      <c r="L359" s="349">
        <f t="shared" si="160"/>
        <v>1.4879206134170311</v>
      </c>
      <c r="M359" s="337">
        <f t="shared" si="144"/>
        <v>1.0362418263099709</v>
      </c>
      <c r="N359" s="340">
        <f t="shared" si="145"/>
        <v>0.26525491097591536</v>
      </c>
      <c r="O359" s="341">
        <f t="shared" si="146"/>
        <v>1.0184217419670347</v>
      </c>
      <c r="P359" s="342">
        <f t="shared" si="147"/>
        <v>0.41294707361427901</v>
      </c>
      <c r="Q359" s="343">
        <f t="shared" si="148"/>
        <v>-2.9869096909977455</v>
      </c>
      <c r="R359" s="344">
        <f t="shared" si="149"/>
        <v>-124.80051611020308</v>
      </c>
      <c r="S359" s="346">
        <f t="shared" si="150"/>
        <v>55.199483889796923</v>
      </c>
      <c r="U359" s="319">
        <f t="shared" si="156"/>
        <v>28512</v>
      </c>
      <c r="V359" s="319">
        <f t="shared" si="157"/>
        <v>812934144</v>
      </c>
      <c r="X359" s="345">
        <f t="shared" si="151"/>
        <v>22.886262251503386</v>
      </c>
      <c r="Y359" s="346">
        <f t="shared" si="152"/>
        <v>-19.945523310450625</v>
      </c>
      <c r="AA359" s="345">
        <f t="shared" si="153"/>
        <v>37.735949346661492</v>
      </c>
      <c r="AB359" s="346">
        <f t="shared" si="154"/>
        <v>-104.85499279975247</v>
      </c>
      <c r="AD359">
        <f t="shared" si="158"/>
        <v>0</v>
      </c>
      <c r="AE359">
        <f t="shared" si="161"/>
        <v>0</v>
      </c>
    </row>
    <row r="360" spans="1:31" x14ac:dyDescent="0.25">
      <c r="A360" s="347">
        <v>28676</v>
      </c>
      <c r="B360" s="364">
        <f t="shared" si="155"/>
        <v>28.675999999999998</v>
      </c>
      <c r="C360" s="337">
        <f t="shared" si="136"/>
        <v>12.473357496790959</v>
      </c>
      <c r="D360" s="338">
        <f t="shared" si="137"/>
        <v>1.4905393199123018</v>
      </c>
      <c r="E360" s="338">
        <f t="shared" si="138"/>
        <v>1.0026983710001385</v>
      </c>
      <c r="F360" s="339">
        <f t="shared" si="139"/>
        <v>7.3380069053746347E-2</v>
      </c>
      <c r="G360" s="338">
        <f t="shared" si="140"/>
        <v>1</v>
      </c>
      <c r="H360" s="339">
        <f t="shared" si="141"/>
        <v>0</v>
      </c>
      <c r="I360" s="337">
        <f t="shared" si="142"/>
        <v>64587.409080664707</v>
      </c>
      <c r="J360" s="340">
        <f t="shared" si="143"/>
        <v>1.570780843901028</v>
      </c>
      <c r="K360" s="348">
        <f t="shared" si="159"/>
        <v>12.149094251576582</v>
      </c>
      <c r="L360" s="349">
        <f t="shared" si="160"/>
        <v>1.4883924364298546</v>
      </c>
      <c r="M360" s="337">
        <f t="shared" si="144"/>
        <v>1.036652555573105</v>
      </c>
      <c r="N360" s="340">
        <f t="shared" si="145"/>
        <v>0.26670950464351784</v>
      </c>
      <c r="O360" s="341">
        <f t="shared" si="146"/>
        <v>1.0186581859332873</v>
      </c>
      <c r="P360" s="342">
        <f t="shared" si="147"/>
        <v>0.41536623779380549</v>
      </c>
      <c r="Q360" s="343">
        <f t="shared" si="148"/>
        <v>-3.0419370869893041</v>
      </c>
      <c r="R360" s="344">
        <f t="shared" si="149"/>
        <v>-124.99781349376069</v>
      </c>
      <c r="S360" s="346">
        <f t="shared" si="150"/>
        <v>55.002186506239312</v>
      </c>
      <c r="U360" s="319">
        <f t="shared" si="156"/>
        <v>28676</v>
      </c>
      <c r="V360" s="319">
        <f t="shared" si="157"/>
        <v>822312976</v>
      </c>
      <c r="X360" s="345">
        <f t="shared" si="151"/>
        <v>22.882480709345646</v>
      </c>
      <c r="Y360" s="346">
        <f t="shared" si="152"/>
        <v>-20.001837023856172</v>
      </c>
      <c r="AA360" s="345">
        <f t="shared" si="153"/>
        <v>37.68470349282768</v>
      </c>
      <c r="AB360" s="346">
        <f t="shared" si="154"/>
        <v>-104.99597646990451</v>
      </c>
      <c r="AD360">
        <f t="shared" si="158"/>
        <v>0</v>
      </c>
      <c r="AE360">
        <f t="shared" si="161"/>
        <v>0</v>
      </c>
    </row>
    <row r="361" spans="1:31" x14ac:dyDescent="0.25">
      <c r="A361" s="347">
        <v>28840</v>
      </c>
      <c r="B361" s="364">
        <f t="shared" si="155"/>
        <v>28.84</v>
      </c>
      <c r="C361" s="337">
        <f t="shared" si="136"/>
        <v>12.544236271734295</v>
      </c>
      <c r="D361" s="338">
        <f t="shared" si="137"/>
        <v>1.4909937644375155</v>
      </c>
      <c r="E361" s="338">
        <f t="shared" si="138"/>
        <v>1.002729281468522</v>
      </c>
      <c r="F361" s="339">
        <f t="shared" si="139"/>
        <v>7.3798216919995413E-2</v>
      </c>
      <c r="G361" s="338">
        <f t="shared" si="140"/>
        <v>1</v>
      </c>
      <c r="H361" s="339">
        <f t="shared" si="141"/>
        <v>0</v>
      </c>
      <c r="I361" s="337">
        <f t="shared" si="142"/>
        <v>64956.788878638508</v>
      </c>
      <c r="J361" s="340">
        <f t="shared" si="143"/>
        <v>1.5707809319452235</v>
      </c>
      <c r="K361" s="348">
        <f t="shared" si="159"/>
        <v>12.218106339426864</v>
      </c>
      <c r="L361" s="349">
        <f t="shared" si="160"/>
        <v>1.4888589295066237</v>
      </c>
      <c r="M361" s="337">
        <f t="shared" si="144"/>
        <v>1.0370654764899292</v>
      </c>
      <c r="N361" s="340">
        <f t="shared" si="145"/>
        <v>0.2681629430540925</v>
      </c>
      <c r="O361" s="341">
        <f t="shared" si="146"/>
        <v>1.0188965254106963</v>
      </c>
      <c r="P361" s="342">
        <f t="shared" si="147"/>
        <v>0.41778603534764913</v>
      </c>
      <c r="Q361" s="343">
        <f t="shared" si="148"/>
        <v>-3.0967112616800003</v>
      </c>
      <c r="R361" s="344">
        <f t="shared" si="149"/>
        <v>-125.1950901732645</v>
      </c>
      <c r="S361" s="346">
        <f t="shared" si="150"/>
        <v>54.804909826735496</v>
      </c>
      <c r="U361" s="319">
        <f t="shared" si="156"/>
        <v>28840</v>
      </c>
      <c r="V361" s="319">
        <f t="shared" si="157"/>
        <v>831745600</v>
      </c>
      <c r="X361" s="345">
        <f t="shared" si="151"/>
        <v>22.878687923111038</v>
      </c>
      <c r="Y361" s="346">
        <f t="shared" si="152"/>
        <v>-20.058389870718798</v>
      </c>
      <c r="AA361" s="345">
        <f t="shared" si="153"/>
        <v>37.633722104371586</v>
      </c>
      <c r="AB361" s="346">
        <f t="shared" si="154"/>
        <v>-105.13670030254573</v>
      </c>
      <c r="AD361">
        <f t="shared" si="158"/>
        <v>0</v>
      </c>
      <c r="AE361">
        <f t="shared" si="161"/>
        <v>0</v>
      </c>
    </row>
    <row r="362" spans="1:31" x14ac:dyDescent="0.25">
      <c r="A362" s="347">
        <v>29008</v>
      </c>
      <c r="B362" s="364">
        <f t="shared" si="155"/>
        <v>29.007999999999999</v>
      </c>
      <c r="C362" s="337">
        <f t="shared" si="136"/>
        <v>12.616846452920129</v>
      </c>
      <c r="D362" s="338">
        <f t="shared" si="137"/>
        <v>1.4914539986098596</v>
      </c>
      <c r="E362" s="338">
        <f t="shared" si="138"/>
        <v>1.0027611276307242</v>
      </c>
      <c r="F362" s="339">
        <f t="shared" si="139"/>
        <v>7.4226536707734339E-2</v>
      </c>
      <c r="G362" s="338">
        <f t="shared" si="140"/>
        <v>1</v>
      </c>
      <c r="H362" s="339">
        <f t="shared" si="141"/>
        <v>0</v>
      </c>
      <c r="I362" s="337">
        <f t="shared" si="142"/>
        <v>65335.177939978057</v>
      </c>
      <c r="J362" s="340">
        <f t="shared" si="143"/>
        <v>1.5707810211045845</v>
      </c>
      <c r="K362" s="348">
        <f t="shared" si="159"/>
        <v>12.288804374507997</v>
      </c>
      <c r="L362" s="349">
        <f t="shared" si="160"/>
        <v>1.4893313675991662</v>
      </c>
      <c r="M362" s="337">
        <f t="shared" si="144"/>
        <v>1.0374907384011631</v>
      </c>
      <c r="N362" s="340">
        <f t="shared" si="145"/>
        <v>0.26965062834277764</v>
      </c>
      <c r="O362" s="341">
        <f t="shared" si="146"/>
        <v>1.0191426527429963</v>
      </c>
      <c r="P362" s="342">
        <f t="shared" si="147"/>
        <v>0.42026550928315043</v>
      </c>
      <c r="Q362" s="343">
        <f t="shared" si="148"/>
        <v>-3.1525622285243045</v>
      </c>
      <c r="R362" s="344">
        <f t="shared" si="149"/>
        <v>-125.39715661291251</v>
      </c>
      <c r="S362" s="346">
        <f t="shared" si="150"/>
        <v>54.602843387087489</v>
      </c>
      <c r="U362" s="319">
        <f t="shared" si="156"/>
        <v>29008</v>
      </c>
      <c r="V362" s="319">
        <f t="shared" si="157"/>
        <v>841464064</v>
      </c>
      <c r="X362" s="345">
        <f t="shared" si="151"/>
        <v>22.874790881039836</v>
      </c>
      <c r="Y362" s="346">
        <f t="shared" si="152"/>
        <v>-20.116564358741826</v>
      </c>
      <c r="AA362" s="345">
        <f t="shared" si="153"/>
        <v>37.581768179598484</v>
      </c>
      <c r="AB362" s="346">
        <f t="shared" si="154"/>
        <v>-105.28059225417068</v>
      </c>
      <c r="AD362">
        <f t="shared" si="158"/>
        <v>0</v>
      </c>
      <c r="AE362">
        <f t="shared" si="161"/>
        <v>0</v>
      </c>
    </row>
    <row r="363" spans="1:31" x14ac:dyDescent="0.25">
      <c r="A363" s="347">
        <v>29176</v>
      </c>
      <c r="B363" s="364">
        <f t="shared" si="155"/>
        <v>29.175999999999998</v>
      </c>
      <c r="C363" s="337">
        <f t="shared" si="136"/>
        <v>12.689459275965289</v>
      </c>
      <c r="D363" s="338">
        <f t="shared" si="137"/>
        <v>1.4919089656867079</v>
      </c>
      <c r="E363" s="338">
        <f t="shared" si="138"/>
        <v>1.0027931577456135</v>
      </c>
      <c r="F363" s="339">
        <f t="shared" si="139"/>
        <v>7.4654829212204621E-2</v>
      </c>
      <c r="G363" s="338">
        <f t="shared" si="140"/>
        <v>1</v>
      </c>
      <c r="H363" s="339">
        <f t="shared" si="141"/>
        <v>0</v>
      </c>
      <c r="I363" s="337">
        <f t="shared" si="142"/>
        <v>65713.567001318108</v>
      </c>
      <c r="J363" s="340">
        <f t="shared" si="143"/>
        <v>1.5707811092371582</v>
      </c>
      <c r="K363" s="348">
        <f t="shared" si="159"/>
        <v>12.359505121043524</v>
      </c>
      <c r="L363" s="349">
        <f t="shared" si="160"/>
        <v>1.4897984007685419</v>
      </c>
      <c r="M363" s="337">
        <f t="shared" si="144"/>
        <v>1.037918294610126</v>
      </c>
      <c r="N363" s="340">
        <f t="shared" si="145"/>
        <v>0.27113709125595153</v>
      </c>
      <c r="O363" s="341">
        <f t="shared" si="146"/>
        <v>1.0193907880674002</v>
      </c>
      <c r="P363" s="342">
        <f t="shared" si="147"/>
        <v>0.4227456482000812</v>
      </c>
      <c r="Q363" s="343">
        <f t="shared" si="148"/>
        <v>-3.2081543167943005</v>
      </c>
      <c r="R363" s="344">
        <f t="shared" si="149"/>
        <v>-125.59920051756147</v>
      </c>
      <c r="S363" s="346">
        <f t="shared" si="150"/>
        <v>54.400799482438529</v>
      </c>
      <c r="U363" s="319">
        <f t="shared" si="156"/>
        <v>29176</v>
      </c>
      <c r="V363" s="319">
        <f t="shared" si="157"/>
        <v>851238976</v>
      </c>
      <c r="X363" s="345">
        <f t="shared" si="151"/>
        <v>22.870881860687827</v>
      </c>
      <c r="Y363" s="346">
        <f t="shared" si="152"/>
        <v>-20.174978430262826</v>
      </c>
      <c r="AA363" s="345">
        <f t="shared" si="153"/>
        <v>37.530085111680499</v>
      </c>
      <c r="AB363" s="346">
        <f t="shared" si="154"/>
        <v>-105.42422208729866</v>
      </c>
      <c r="AD363">
        <f t="shared" si="158"/>
        <v>0</v>
      </c>
      <c r="AE363">
        <f t="shared" si="161"/>
        <v>0</v>
      </c>
    </row>
    <row r="364" spans="1:31" x14ac:dyDescent="0.25">
      <c r="A364" s="347">
        <v>29344</v>
      </c>
      <c r="B364" s="364">
        <f t="shared" si="155"/>
        <v>29.344000000000001</v>
      </c>
      <c r="C364" s="337">
        <f t="shared" si="136"/>
        <v>12.762074695775331</v>
      </c>
      <c r="D364" s="338">
        <f t="shared" si="137"/>
        <v>1.4923587553864306</v>
      </c>
      <c r="E364" s="338">
        <f t="shared" si="138"/>
        <v>1.0028253717955633</v>
      </c>
      <c r="F364" s="339">
        <f t="shared" si="139"/>
        <v>7.5083094278900891E-2</v>
      </c>
      <c r="G364" s="338">
        <f t="shared" si="140"/>
        <v>1</v>
      </c>
      <c r="H364" s="339">
        <f t="shared" si="141"/>
        <v>0</v>
      </c>
      <c r="I364" s="337">
        <f t="shared" si="142"/>
        <v>66091.956062658675</v>
      </c>
      <c r="J364" s="340">
        <f t="shared" si="143"/>
        <v>1.5707811963605804</v>
      </c>
      <c r="K364" s="348">
        <f t="shared" si="159"/>
        <v>12.430208532766677</v>
      </c>
      <c r="L364" s="349">
        <f t="shared" si="160"/>
        <v>1.4902601210393656</v>
      </c>
      <c r="M364" s="337">
        <f t="shared" si="144"/>
        <v>1.0383481422826781</v>
      </c>
      <c r="N364" s="340">
        <f t="shared" si="145"/>
        <v>0.27262232673878944</v>
      </c>
      <c r="O364" s="341">
        <f t="shared" si="146"/>
        <v>1.0196409410062313</v>
      </c>
      <c r="P364" s="342">
        <f t="shared" si="147"/>
        <v>0.42522645217532185</v>
      </c>
      <c r="Q364" s="343">
        <f t="shared" si="148"/>
        <v>-3.263490902533924</v>
      </c>
      <c r="R364" s="344">
        <f t="shared" si="149"/>
        <v>-125.80122147972115</v>
      </c>
      <c r="S364" s="346">
        <f t="shared" si="150"/>
        <v>54.19877852027885</v>
      </c>
      <c r="U364" s="319">
        <f t="shared" si="156"/>
        <v>29344</v>
      </c>
      <c r="V364" s="319">
        <f t="shared" si="157"/>
        <v>861070336</v>
      </c>
      <c r="X364" s="345">
        <f t="shared" si="151"/>
        <v>22.866960777413809</v>
      </c>
      <c r="Y364" s="346">
        <f t="shared" si="152"/>
        <v>-20.233626524050081</v>
      </c>
      <c r="AA364" s="345">
        <f t="shared" si="153"/>
        <v>37.47866960921489</v>
      </c>
      <c r="AB364" s="346">
        <f t="shared" si="154"/>
        <v>-105.56759495567105</v>
      </c>
      <c r="AD364">
        <f t="shared" si="158"/>
        <v>0</v>
      </c>
      <c r="AE364">
        <f t="shared" si="161"/>
        <v>0</v>
      </c>
    </row>
    <row r="365" spans="1:31" x14ac:dyDescent="0.25">
      <c r="A365" s="347">
        <v>29512</v>
      </c>
      <c r="B365" s="364">
        <f t="shared" si="155"/>
        <v>29.512</v>
      </c>
      <c r="C365" s="337">
        <f t="shared" si="136"/>
        <v>12.834692668274759</v>
      </c>
      <c r="D365" s="338">
        <f t="shared" si="137"/>
        <v>1.4928034554053997</v>
      </c>
      <c r="E365" s="338">
        <f t="shared" si="138"/>
        <v>1.0028577697628485</v>
      </c>
      <c r="F365" s="339">
        <f t="shared" si="139"/>
        <v>7.5511331753377778E-2</v>
      </c>
      <c r="G365" s="338">
        <f t="shared" si="140"/>
        <v>1</v>
      </c>
      <c r="H365" s="339">
        <f t="shared" si="141"/>
        <v>0</v>
      </c>
      <c r="I365" s="337">
        <f t="shared" si="142"/>
        <v>66470.345123999723</v>
      </c>
      <c r="J365" s="340">
        <f t="shared" si="143"/>
        <v>1.570781282492085</v>
      </c>
      <c r="K365" s="348">
        <f t="shared" si="159"/>
        <v>12.50091456445568</v>
      </c>
      <c r="L365" s="349">
        <f t="shared" si="160"/>
        <v>1.4907166183634413</v>
      </c>
      <c r="M365" s="337">
        <f t="shared" si="144"/>
        <v>1.038780278574194</v>
      </c>
      <c r="N365" s="340">
        <f t="shared" si="145"/>
        <v>0.27410632976647231</v>
      </c>
      <c r="O365" s="341">
        <f t="shared" si="146"/>
        <v>1.019893121224454</v>
      </c>
      <c r="P365" s="342">
        <f t="shared" si="147"/>
        <v>0.42770792122341872</v>
      </c>
      <c r="Q365" s="343">
        <f t="shared" si="148"/>
        <v>-3.3185753043585602</v>
      </c>
      <c r="R365" s="344">
        <f t="shared" si="149"/>
        <v>-126.00321909293369</v>
      </c>
      <c r="S365" s="346">
        <f t="shared" si="150"/>
        <v>53.996780907066309</v>
      </c>
      <c r="U365" s="319">
        <f t="shared" si="156"/>
        <v>29512</v>
      </c>
      <c r="V365" s="319">
        <f t="shared" si="157"/>
        <v>870958144</v>
      </c>
      <c r="X365" s="345">
        <f t="shared" si="151"/>
        <v>22.863027550404773</v>
      </c>
      <c r="Y365" s="346">
        <f t="shared" si="152"/>
        <v>-20.29250319933136</v>
      </c>
      <c r="AA365" s="345">
        <f t="shared" si="153"/>
        <v>37.427518434399296</v>
      </c>
      <c r="AB365" s="346">
        <f t="shared" si="154"/>
        <v>-105.71071589360234</v>
      </c>
      <c r="AD365">
        <f t="shared" si="158"/>
        <v>0</v>
      </c>
      <c r="AE365">
        <f t="shared" si="161"/>
        <v>0</v>
      </c>
    </row>
    <row r="366" spans="1:31" x14ac:dyDescent="0.25">
      <c r="A366" s="347">
        <v>29684</v>
      </c>
      <c r="B366" s="364">
        <f t="shared" si="155"/>
        <v>29.684000000000001</v>
      </c>
      <c r="C366" s="337">
        <f t="shared" si="136"/>
        <v>12.909042239715477</v>
      </c>
      <c r="D366" s="338">
        <f t="shared" si="137"/>
        <v>1.4932535601323162</v>
      </c>
      <c r="E366" s="338">
        <f t="shared" si="138"/>
        <v>1.0028911296296366</v>
      </c>
      <c r="F366" s="339">
        <f t="shared" si="139"/>
        <v>7.5949736611511248E-2</v>
      </c>
      <c r="G366" s="338">
        <f t="shared" si="140"/>
        <v>1</v>
      </c>
      <c r="H366" s="339">
        <f t="shared" si="141"/>
        <v>0</v>
      </c>
      <c r="I366" s="337">
        <f t="shared" si="142"/>
        <v>66857.743448706547</v>
      </c>
      <c r="J366" s="340">
        <f t="shared" si="143"/>
        <v>1.5707813696643018</v>
      </c>
      <c r="K366" s="348">
        <f t="shared" si="159"/>
        <v>12.57330674121364</v>
      </c>
      <c r="L366" s="349">
        <f t="shared" si="160"/>
        <v>1.4911786655236607</v>
      </c>
      <c r="M366" s="337">
        <f t="shared" si="144"/>
        <v>1.039225071847748</v>
      </c>
      <c r="N366" s="340">
        <f t="shared" si="145"/>
        <v>0.27562438416337887</v>
      </c>
      <c r="O366" s="341">
        <f t="shared" si="146"/>
        <v>1.0201534161273209</v>
      </c>
      <c r="P366" s="342">
        <f t="shared" si="147"/>
        <v>0.43024916183132017</v>
      </c>
      <c r="Q366" s="343">
        <f t="shared" si="148"/>
        <v>-3.3747133840126331</v>
      </c>
      <c r="R366" s="344">
        <f t="shared" si="149"/>
        <v>-126.21000156022966</v>
      </c>
      <c r="S366" s="346">
        <f t="shared" si="150"/>
        <v>53.789998439770343</v>
      </c>
      <c r="U366" s="319">
        <f t="shared" si="156"/>
        <v>29684</v>
      </c>
      <c r="V366" s="319">
        <f t="shared" si="157"/>
        <v>881139856</v>
      </c>
      <c r="X366" s="345">
        <f t="shared" si="151"/>
        <v>22.858988013753571</v>
      </c>
      <c r="Y366" s="346">
        <f t="shared" si="152"/>
        <v>-20.35301295179805</v>
      </c>
      <c r="AA366" s="345">
        <f t="shared" si="153"/>
        <v>37.375419891396426</v>
      </c>
      <c r="AB366" s="346">
        <f t="shared" si="154"/>
        <v>-105.85698860843162</v>
      </c>
      <c r="AD366">
        <f t="shared" si="158"/>
        <v>0</v>
      </c>
      <c r="AE366">
        <f t="shared" si="161"/>
        <v>0</v>
      </c>
    </row>
    <row r="367" spans="1:31" x14ac:dyDescent="0.25">
      <c r="A367" s="347">
        <v>29856</v>
      </c>
      <c r="B367" s="364">
        <f t="shared" si="155"/>
        <v>29.856000000000002</v>
      </c>
      <c r="C367" s="337">
        <f t="shared" si="136"/>
        <v>12.983394396500742</v>
      </c>
      <c r="D367" s="338">
        <f t="shared" si="137"/>
        <v>1.4936985097084936</v>
      </c>
      <c r="E367" s="338">
        <f t="shared" si="138"/>
        <v>1.0029246822380715</v>
      </c>
      <c r="F367" s="339">
        <f t="shared" si="139"/>
        <v>7.6388112220433263E-2</v>
      </c>
      <c r="G367" s="338">
        <f t="shared" si="140"/>
        <v>1</v>
      </c>
      <c r="H367" s="339">
        <f t="shared" si="141"/>
        <v>0</v>
      </c>
      <c r="I367" s="337">
        <f t="shared" si="142"/>
        <v>67245.141773413881</v>
      </c>
      <c r="J367" s="340">
        <f t="shared" si="143"/>
        <v>1.5707814558321227</v>
      </c>
      <c r="K367" s="348">
        <f t="shared" si="159"/>
        <v>12.64570157148337</v>
      </c>
      <c r="L367" s="349">
        <f t="shared" si="160"/>
        <v>1.4916354224728361</v>
      </c>
      <c r="M367" s="337">
        <f t="shared" si="144"/>
        <v>1.039672257951828</v>
      </c>
      <c r="N367" s="340">
        <f t="shared" si="145"/>
        <v>0.27714113615537406</v>
      </c>
      <c r="O367" s="341">
        <f t="shared" si="146"/>
        <v>1.0204158566343926</v>
      </c>
      <c r="P367" s="342">
        <f t="shared" si="147"/>
        <v>0.43279109938884863</v>
      </c>
      <c r="Q367" s="343">
        <f t="shared" si="148"/>
        <v>-3.430593989067332</v>
      </c>
      <c r="R367" s="344">
        <f t="shared" si="149"/>
        <v>-126.41675869418731</v>
      </c>
      <c r="S367" s="346">
        <f t="shared" si="150"/>
        <v>53.583241305812692</v>
      </c>
      <c r="U367" s="319">
        <f t="shared" si="156"/>
        <v>29856</v>
      </c>
      <c r="V367" s="319">
        <f t="shared" si="157"/>
        <v>891380736</v>
      </c>
      <c r="X367" s="345">
        <f t="shared" si="151"/>
        <v>22.854935588535604</v>
      </c>
      <c r="Y367" s="346">
        <f t="shared" si="152"/>
        <v>-20.413751131178298</v>
      </c>
      <c r="AA367" s="345">
        <f t="shared" si="153"/>
        <v>37.323591711559693</v>
      </c>
      <c r="AB367" s="346">
        <f t="shared" si="154"/>
        <v>-106.00300756300902</v>
      </c>
      <c r="AD367">
        <f t="shared" si="158"/>
        <v>0</v>
      </c>
      <c r="AE367">
        <f t="shared" si="161"/>
        <v>0</v>
      </c>
    </row>
    <row r="368" spans="1:31" x14ac:dyDescent="0.25">
      <c r="A368" s="347">
        <v>30028</v>
      </c>
      <c r="B368" s="364">
        <f t="shared" si="155"/>
        <v>30.027999999999999</v>
      </c>
      <c r="C368" s="337">
        <f t="shared" si="136"/>
        <v>13.057749094466908</v>
      </c>
      <c r="D368" s="338">
        <f t="shared" si="137"/>
        <v>1.4941383920211013</v>
      </c>
      <c r="E368" s="338">
        <f t="shared" si="138"/>
        <v>1.0029584275688095</v>
      </c>
      <c r="F368" s="339">
        <f t="shared" si="139"/>
        <v>7.6826458414599744E-2</v>
      </c>
      <c r="G368" s="338">
        <f t="shared" si="140"/>
        <v>1</v>
      </c>
      <c r="H368" s="339">
        <f t="shared" si="141"/>
        <v>0</v>
      </c>
      <c r="I368" s="337">
        <f t="shared" si="142"/>
        <v>67632.54009812171</v>
      </c>
      <c r="J368" s="340">
        <f t="shared" si="143"/>
        <v>1.5707815410128074</v>
      </c>
      <c r="K368" s="348">
        <f t="shared" si="159"/>
        <v>12.718099009951363</v>
      </c>
      <c r="L368" s="349">
        <f t="shared" si="160"/>
        <v>1.4920869793618923</v>
      </c>
      <c r="M368" s="337">
        <f t="shared" si="144"/>
        <v>1.0401218338001401</v>
      </c>
      <c r="N368" s="340">
        <f t="shared" si="145"/>
        <v>0.27865658044814101</v>
      </c>
      <c r="O368" s="341">
        <f t="shared" si="146"/>
        <v>1.0206804532548539</v>
      </c>
      <c r="P368" s="342">
        <f t="shared" si="147"/>
        <v>0.43533373370692846</v>
      </c>
      <c r="Q368" s="343">
        <f t="shared" si="148"/>
        <v>-3.4862205022067627</v>
      </c>
      <c r="R368" s="344">
        <f t="shared" si="149"/>
        <v>-126.62349006140163</v>
      </c>
      <c r="S368" s="346">
        <f t="shared" si="150"/>
        <v>53.376509938598375</v>
      </c>
      <c r="U368" s="319">
        <f t="shared" si="156"/>
        <v>30028</v>
      </c>
      <c r="V368" s="319">
        <f t="shared" si="157"/>
        <v>901680784</v>
      </c>
      <c r="X368" s="345">
        <f t="shared" si="151"/>
        <v>22.850870199691702</v>
      </c>
      <c r="Y368" s="346">
        <f t="shared" si="152"/>
        <v>-20.474712269851448</v>
      </c>
      <c r="AA368" s="345">
        <f t="shared" si="153"/>
        <v>37.272030587264162</v>
      </c>
      <c r="AB368" s="346">
        <f t="shared" si="154"/>
        <v>-106.14877779155022</v>
      </c>
      <c r="AD368">
        <f t="shared" si="158"/>
        <v>0</v>
      </c>
      <c r="AE368">
        <f t="shared" si="161"/>
        <v>0</v>
      </c>
    </row>
    <row r="369" spans="1:31" x14ac:dyDescent="0.25">
      <c r="A369" s="347">
        <v>30200</v>
      </c>
      <c r="B369" s="364">
        <f t="shared" si="155"/>
        <v>30.2</v>
      </c>
      <c r="C369" s="337">
        <f t="shared" si="136"/>
        <v>13.132106290449061</v>
      </c>
      <c r="D369" s="338">
        <f t="shared" si="137"/>
        <v>1.4945732929747007</v>
      </c>
      <c r="E369" s="338">
        <f t="shared" si="138"/>
        <v>1.002992365602398</v>
      </c>
      <c r="F369" s="339">
        <f t="shared" si="139"/>
        <v>7.7264775028534044E-2</v>
      </c>
      <c r="G369" s="338">
        <f t="shared" si="140"/>
        <v>1</v>
      </c>
      <c r="H369" s="339">
        <f t="shared" si="141"/>
        <v>0</v>
      </c>
      <c r="I369" s="337">
        <f t="shared" si="142"/>
        <v>68019.938422830004</v>
      </c>
      <c r="J369" s="340">
        <f t="shared" si="143"/>
        <v>1.5707816252232218</v>
      </c>
      <c r="K369" s="348">
        <f t="shared" si="159"/>
        <v>12.79049901232845</v>
      </c>
      <c r="L369" s="349">
        <f t="shared" si="160"/>
        <v>1.4925334243091675</v>
      </c>
      <c r="M369" s="337">
        <f t="shared" si="144"/>
        <v>1.040573796295245</v>
      </c>
      <c r="N369" s="340">
        <f t="shared" si="145"/>
        <v>0.28017071178051373</v>
      </c>
      <c r="O369" s="341">
        <f t="shared" si="146"/>
        <v>1.0209472165436397</v>
      </c>
      <c r="P369" s="342">
        <f t="shared" si="147"/>
        <v>0.43787706452691577</v>
      </c>
      <c r="Q369" s="343">
        <f t="shared" si="148"/>
        <v>-3.5415962485778096</v>
      </c>
      <c r="R369" s="344">
        <f t="shared" si="149"/>
        <v>-126.83019522921821</v>
      </c>
      <c r="S369" s="346">
        <f t="shared" si="150"/>
        <v>53.169804770781795</v>
      </c>
      <c r="U369" s="319">
        <f t="shared" si="156"/>
        <v>30200</v>
      </c>
      <c r="V369" s="319">
        <f t="shared" si="157"/>
        <v>912040000</v>
      </c>
      <c r="X369" s="345">
        <f t="shared" si="151"/>
        <v>22.846791775840952</v>
      </c>
      <c r="Y369" s="346">
        <f t="shared" si="152"/>
        <v>-20.53589101853235</v>
      </c>
      <c r="AA369" s="345">
        <f t="shared" si="153"/>
        <v>37.220733264743863</v>
      </c>
      <c r="AB369" s="346">
        <f t="shared" si="154"/>
        <v>-106.29430421068588</v>
      </c>
      <c r="AD369">
        <f t="shared" si="158"/>
        <v>0</v>
      </c>
      <c r="AE369">
        <f t="shared" si="161"/>
        <v>0</v>
      </c>
    </row>
    <row r="370" spans="1:31" x14ac:dyDescent="0.25">
      <c r="A370" s="347">
        <v>30375.75</v>
      </c>
      <c r="B370" s="364">
        <f t="shared" si="155"/>
        <v>30.37575</v>
      </c>
      <c r="C370" s="337">
        <f t="shared" si="136"/>
        <v>13.208087182635367</v>
      </c>
      <c r="D370" s="338">
        <f t="shared" si="137"/>
        <v>1.4950126176932117</v>
      </c>
      <c r="E370" s="338">
        <f t="shared" si="138"/>
        <v>1.003027242594398</v>
      </c>
      <c r="F370" s="339">
        <f t="shared" si="139"/>
        <v>7.7712617237254797E-2</v>
      </c>
      <c r="G370" s="338">
        <f t="shared" si="140"/>
        <v>1</v>
      </c>
      <c r="H370" s="339">
        <f t="shared" si="141"/>
        <v>0</v>
      </c>
      <c r="I370" s="337">
        <f t="shared" si="142"/>
        <v>68415.782931943788</v>
      </c>
      <c r="J370" s="340">
        <f t="shared" si="143"/>
        <v>1.5707817102845363</v>
      </c>
      <c r="K370" s="348">
        <f t="shared" si="159"/>
        <v>12.864480106457485</v>
      </c>
      <c r="L370" s="349">
        <f t="shared" si="160"/>
        <v>1.4929844120754103</v>
      </c>
      <c r="M370" s="337">
        <f t="shared" si="144"/>
        <v>1.0410380746552403</v>
      </c>
      <c r="N370" s="340">
        <f t="shared" si="145"/>
        <v>0.2817164930470909</v>
      </c>
      <c r="O370" s="341">
        <f t="shared" si="146"/>
        <v>1.0212220449628182</v>
      </c>
      <c r="P370" s="342">
        <f t="shared" si="147"/>
        <v>0.44047656497682769</v>
      </c>
      <c r="Q370" s="343">
        <f t="shared" si="148"/>
        <v>-3.597923688509757</v>
      </c>
      <c r="R370" s="344">
        <f t="shared" si="149"/>
        <v>-127.04137953850262</v>
      </c>
      <c r="S370" s="346">
        <f t="shared" si="150"/>
        <v>52.958620461497375</v>
      </c>
      <c r="U370" s="319">
        <f t="shared" si="156"/>
        <v>30375.75</v>
      </c>
      <c r="V370" s="319">
        <f t="shared" si="157"/>
        <v>922686188.0625</v>
      </c>
      <c r="X370" s="345">
        <f t="shared" si="151"/>
        <v>22.842610897923223</v>
      </c>
      <c r="Y370" s="346">
        <f t="shared" si="152"/>
        <v>-20.598622939265866</v>
      </c>
      <c r="AA370" s="345">
        <f t="shared" si="153"/>
        <v>37.168586702729648</v>
      </c>
      <c r="AB370" s="346">
        <f t="shared" si="154"/>
        <v>-106.44275659923674</v>
      </c>
      <c r="AD370">
        <f t="shared" si="158"/>
        <v>0</v>
      </c>
      <c r="AE370">
        <f t="shared" si="161"/>
        <v>0</v>
      </c>
    </row>
    <row r="371" spans="1:31" x14ac:dyDescent="0.25">
      <c r="A371" s="347">
        <v>30551.5</v>
      </c>
      <c r="B371" s="364">
        <f t="shared" si="155"/>
        <v>30.551500000000001</v>
      </c>
      <c r="C371" s="337">
        <f t="shared" si="136"/>
        <v>13.284070594902406</v>
      </c>
      <c r="D371" s="338">
        <f t="shared" si="137"/>
        <v>1.4954469167173001</v>
      </c>
      <c r="E371" s="338">
        <f t="shared" si="138"/>
        <v>1.0030623207421807</v>
      </c>
      <c r="F371" s="339">
        <f t="shared" si="139"/>
        <v>7.8160428212755304E-2</v>
      </c>
      <c r="G371" s="338">
        <f t="shared" si="140"/>
        <v>1</v>
      </c>
      <c r="H371" s="339">
        <f t="shared" si="141"/>
        <v>0</v>
      </c>
      <c r="I371" s="337">
        <f t="shared" si="142"/>
        <v>68811.627441058052</v>
      </c>
      <c r="J371" s="340">
        <f t="shared" si="143"/>
        <v>1.5707817943672064</v>
      </c>
      <c r="K371" s="348">
        <f t="shared" si="159"/>
        <v>12.938463787170431</v>
      </c>
      <c r="L371" s="349">
        <f t="shared" si="160"/>
        <v>1.4934302423276831</v>
      </c>
      <c r="M371" s="337">
        <f t="shared" si="144"/>
        <v>1.0415048382917642</v>
      </c>
      <c r="N371" s="340">
        <f t="shared" si="145"/>
        <v>0.2832608924781081</v>
      </c>
      <c r="O371" s="341">
        <f t="shared" si="146"/>
        <v>1.0214991579825861</v>
      </c>
      <c r="P371" s="342">
        <f t="shared" si="147"/>
        <v>0.44307679186118526</v>
      </c>
      <c r="Q371" s="343">
        <f t="shared" si="148"/>
        <v>-3.6539961488425812</v>
      </c>
      <c r="R371" s="344">
        <f t="shared" si="149"/>
        <v>-127.25253558223248</v>
      </c>
      <c r="S371" s="346">
        <f t="shared" si="150"/>
        <v>52.747464417767517</v>
      </c>
      <c r="U371" s="319">
        <f t="shared" si="156"/>
        <v>30551.5</v>
      </c>
      <c r="V371" s="319">
        <f t="shared" si="157"/>
        <v>933394152.25</v>
      </c>
      <c r="X371" s="345">
        <f t="shared" si="151"/>
        <v>22.838416270968303</v>
      </c>
      <c r="Y371" s="346">
        <f t="shared" si="152"/>
        <v>-20.661571134365133</v>
      </c>
      <c r="AA371" s="345">
        <f t="shared" si="153"/>
        <v>37.11670886935174</v>
      </c>
      <c r="AB371" s="346">
        <f t="shared" si="154"/>
        <v>-106.59096444786735</v>
      </c>
      <c r="AD371">
        <f t="shared" si="158"/>
        <v>0</v>
      </c>
      <c r="AE371">
        <f t="shared" si="161"/>
        <v>0</v>
      </c>
    </row>
    <row r="372" spans="1:31" x14ac:dyDescent="0.25">
      <c r="A372" s="347">
        <v>30727.25</v>
      </c>
      <c r="B372" s="364">
        <f t="shared" si="155"/>
        <v>30.727250000000002</v>
      </c>
      <c r="C372" s="337">
        <f t="shared" si="136"/>
        <v>13.360056484252382</v>
      </c>
      <c r="D372" s="338">
        <f t="shared" si="137"/>
        <v>1.4958762756332729</v>
      </c>
      <c r="E372" s="338">
        <f t="shared" si="138"/>
        <v>1.0030976000246428</v>
      </c>
      <c r="F372" s="339">
        <f t="shared" si="139"/>
        <v>7.8608207778718395E-2</v>
      </c>
      <c r="G372" s="338">
        <f t="shared" si="140"/>
        <v>1</v>
      </c>
      <c r="H372" s="339">
        <f t="shared" si="141"/>
        <v>0</v>
      </c>
      <c r="I372" s="337">
        <f t="shared" si="142"/>
        <v>69207.47195017281</v>
      </c>
      <c r="J372" s="340">
        <f t="shared" si="143"/>
        <v>1.5707818774880247</v>
      </c>
      <c r="K372" s="348">
        <f t="shared" si="159"/>
        <v>13.012450010348386</v>
      </c>
      <c r="L372" s="349">
        <f t="shared" si="160"/>
        <v>1.493871002861046</v>
      </c>
      <c r="M372" s="337">
        <f t="shared" si="144"/>
        <v>1.0419740838648963</v>
      </c>
      <c r="N372" s="340">
        <f t="shared" si="145"/>
        <v>0.284803904568249</v>
      </c>
      <c r="O372" s="341">
        <f t="shared" si="146"/>
        <v>1.0217785670095769</v>
      </c>
      <c r="P372" s="342">
        <f t="shared" si="147"/>
        <v>0.44567774467725291</v>
      </c>
      <c r="Q372" s="343">
        <f t="shared" si="148"/>
        <v>-3.7098169992063839</v>
      </c>
      <c r="R372" s="344">
        <f t="shared" si="149"/>
        <v>-127.46366290068389</v>
      </c>
      <c r="S372" s="346">
        <f t="shared" si="150"/>
        <v>52.536337099316114</v>
      </c>
      <c r="U372" s="319">
        <f t="shared" si="156"/>
        <v>30727.25</v>
      </c>
      <c r="V372" s="319">
        <f t="shared" si="157"/>
        <v>944163892.5625</v>
      </c>
      <c r="X372" s="345">
        <f t="shared" si="151"/>
        <v>22.834207829955542</v>
      </c>
      <c r="Y372" s="346">
        <f t="shared" si="152"/>
        <v>-20.72473025907447</v>
      </c>
      <c r="AA372" s="345">
        <f t="shared" si="153"/>
        <v>37.065096460000703</v>
      </c>
      <c r="AB372" s="346">
        <f t="shared" si="154"/>
        <v>-106.73893264160942</v>
      </c>
      <c r="AD372">
        <f t="shared" si="158"/>
        <v>0</v>
      </c>
      <c r="AE372">
        <f t="shared" si="161"/>
        <v>0</v>
      </c>
    </row>
    <row r="373" spans="1:31" x14ac:dyDescent="0.25">
      <c r="A373" s="347">
        <v>30903</v>
      </c>
      <c r="B373" s="364">
        <f t="shared" si="155"/>
        <v>30.902999999999999</v>
      </c>
      <c r="C373" s="337">
        <f t="shared" si="136"/>
        <v>13.436044808658789</v>
      </c>
      <c r="D373" s="338">
        <f t="shared" si="137"/>
        <v>1.4963007780986646</v>
      </c>
      <c r="E373" s="338">
        <f t="shared" si="138"/>
        <v>1.0031330804205632</v>
      </c>
      <c r="F373" s="339">
        <f t="shared" si="139"/>
        <v>7.9055955758902091E-2</v>
      </c>
      <c r="G373" s="338">
        <f t="shared" si="140"/>
        <v>1</v>
      </c>
      <c r="H373" s="339">
        <f t="shared" si="141"/>
        <v>0</v>
      </c>
      <c r="I373" s="337">
        <f t="shared" si="142"/>
        <v>69603.31645928802</v>
      </c>
      <c r="J373" s="340">
        <f t="shared" si="143"/>
        <v>1.5707819596634021</v>
      </c>
      <c r="K373" s="348">
        <f t="shared" si="159"/>
        <v>13.086438732868684</v>
      </c>
      <c r="L373" s="349">
        <f t="shared" si="160"/>
        <v>1.4943067794930227</v>
      </c>
      <c r="M373" s="337">
        <f t="shared" si="144"/>
        <v>1.0424458080229873</v>
      </c>
      <c r="N373" s="340">
        <f t="shared" si="145"/>
        <v>0.28634552384850837</v>
      </c>
      <c r="O373" s="341">
        <f t="shared" si="146"/>
        <v>1.0220602834990378</v>
      </c>
      <c r="P373" s="342">
        <f t="shared" si="147"/>
        <v>0.44827942284531014</v>
      </c>
      <c r="Q373" s="343">
        <f t="shared" si="148"/>
        <v>-3.765389552031031</v>
      </c>
      <c r="R373" s="344">
        <f t="shared" si="149"/>
        <v>-127.67476103457044</v>
      </c>
      <c r="S373" s="346">
        <f t="shared" si="150"/>
        <v>52.325238965429563</v>
      </c>
      <c r="U373" s="319">
        <f t="shared" si="156"/>
        <v>30903</v>
      </c>
      <c r="V373" s="319">
        <f t="shared" si="157"/>
        <v>954995409</v>
      </c>
      <c r="X373" s="345">
        <f t="shared" si="151"/>
        <v>22.829985513371227</v>
      </c>
      <c r="Y373" s="346">
        <f t="shared" si="152"/>
        <v>-20.788095084001355</v>
      </c>
      <c r="AA373" s="345">
        <f t="shared" si="153"/>
        <v>37.013746223760371</v>
      </c>
      <c r="AB373" s="346">
        <f t="shared" si="154"/>
        <v>-106.88666595056907</v>
      </c>
      <c r="AD373">
        <f t="shared" si="158"/>
        <v>0</v>
      </c>
      <c r="AE373">
        <f t="shared" si="161"/>
        <v>0</v>
      </c>
    </row>
    <row r="374" spans="1:31" x14ac:dyDescent="0.25">
      <c r="A374" s="347">
        <v>31083</v>
      </c>
      <c r="B374" s="364">
        <f t="shared" si="155"/>
        <v>31.082999999999998</v>
      </c>
      <c r="C374" s="337">
        <f t="shared" si="136"/>
        <v>13.513873169736334</v>
      </c>
      <c r="D374" s="338">
        <f t="shared" si="137"/>
        <v>1.4967305973310183</v>
      </c>
      <c r="E374" s="338">
        <f t="shared" si="138"/>
        <v>1.0031696272511175</v>
      </c>
      <c r="F374" s="339">
        <f t="shared" si="139"/>
        <v>7.9514498290326904E-2</v>
      </c>
      <c r="G374" s="338">
        <f t="shared" si="140"/>
        <v>1</v>
      </c>
      <c r="H374" s="339">
        <f t="shared" si="141"/>
        <v>0</v>
      </c>
      <c r="I374" s="337">
        <f t="shared" si="142"/>
        <v>70008.733310729411</v>
      </c>
      <c r="J374" s="340">
        <f t="shared" si="143"/>
        <v>1.5707820428626964</v>
      </c>
      <c r="K374" s="348">
        <f t="shared" si="159"/>
        <v>13.162219203050372</v>
      </c>
      <c r="L374" s="349">
        <f t="shared" si="160"/>
        <v>1.4947480156207738</v>
      </c>
      <c r="M374" s="337">
        <f t="shared" si="144"/>
        <v>1.0429315051521373</v>
      </c>
      <c r="N374" s="340">
        <f t="shared" si="145"/>
        <v>0.28792297326948085</v>
      </c>
      <c r="O374" s="341">
        <f t="shared" si="146"/>
        <v>1.022351216334868</v>
      </c>
      <c r="P374" s="342">
        <f t="shared" si="147"/>
        <v>0.45094476618253226</v>
      </c>
      <c r="Q374" s="343">
        <f t="shared" si="148"/>
        <v>-3.8220519904004084</v>
      </c>
      <c r="R374" s="344">
        <f t="shared" si="149"/>
        <v>-127.89093322847981</v>
      </c>
      <c r="S374" s="346">
        <f t="shared" si="150"/>
        <v>52.10906677152019</v>
      </c>
      <c r="U374" s="319">
        <f t="shared" si="156"/>
        <v>31083</v>
      </c>
      <c r="V374" s="319">
        <f t="shared" si="157"/>
        <v>966152889</v>
      </c>
      <c r="X374" s="345">
        <f t="shared" si="151"/>
        <v>22.825646648752279</v>
      </c>
      <c r="Y374" s="346">
        <f t="shared" si="152"/>
        <v>-20.853200077372417</v>
      </c>
      <c r="AA374" s="345">
        <f t="shared" si="153"/>
        <v>36.961422650009936</v>
      </c>
      <c r="AB374" s="346">
        <f t="shared" si="154"/>
        <v>-107.03773315110736</v>
      </c>
      <c r="AD374">
        <f t="shared" si="158"/>
        <v>0</v>
      </c>
      <c r="AE374">
        <f t="shared" si="161"/>
        <v>0</v>
      </c>
    </row>
    <row r="375" spans="1:31" x14ac:dyDescent="0.25">
      <c r="A375" s="347">
        <v>31263</v>
      </c>
      <c r="B375" s="364">
        <f t="shared" si="155"/>
        <v>31.263000000000002</v>
      </c>
      <c r="C375" s="337">
        <f t="shared" si="136"/>
        <v>13.591703998836271</v>
      </c>
      <c r="D375" s="338">
        <f t="shared" si="137"/>
        <v>1.4971554940519869</v>
      </c>
      <c r="E375" s="338">
        <f t="shared" si="138"/>
        <v>1.0032063849939805</v>
      </c>
      <c r="F375" s="339">
        <f t="shared" si="139"/>
        <v>7.9973007315917305E-2</v>
      </c>
      <c r="G375" s="338">
        <f t="shared" si="140"/>
        <v>1</v>
      </c>
      <c r="H375" s="339">
        <f t="shared" si="141"/>
        <v>0</v>
      </c>
      <c r="I375" s="337">
        <f t="shared" si="142"/>
        <v>70414.150162171267</v>
      </c>
      <c r="J375" s="340">
        <f t="shared" si="143"/>
        <v>1.5707821251039336</v>
      </c>
      <c r="K375" s="348">
        <f t="shared" si="159"/>
        <v>13.238002206436903</v>
      </c>
      <c r="L375" s="349">
        <f t="shared" si="160"/>
        <v>1.4951841999829028</v>
      </c>
      <c r="M375" s="337">
        <f t="shared" si="144"/>
        <v>1.0434197950366315</v>
      </c>
      <c r="N375" s="340">
        <f t="shared" si="145"/>
        <v>0.28949895020878247</v>
      </c>
      <c r="O375" s="341">
        <f t="shared" si="146"/>
        <v>1.0226445940583704</v>
      </c>
      <c r="P375" s="342">
        <f t="shared" si="147"/>
        <v>0.45361086889734203</v>
      </c>
      <c r="Q375" s="343">
        <f t="shared" si="148"/>
        <v>-3.8784608321687264</v>
      </c>
      <c r="R375" s="344">
        <f t="shared" si="149"/>
        <v>-128.10707383510731</v>
      </c>
      <c r="S375" s="346">
        <f t="shared" si="150"/>
        <v>51.892926164892685</v>
      </c>
      <c r="U375" s="319">
        <f t="shared" si="156"/>
        <v>31263</v>
      </c>
      <c r="V375" s="319">
        <f t="shared" si="157"/>
        <v>977375169</v>
      </c>
      <c r="X375" s="345">
        <f t="shared" si="151"/>
        <v>22.821293109539699</v>
      </c>
      <c r="Y375" s="346">
        <f t="shared" si="152"/>
        <v>-20.918510093715174</v>
      </c>
      <c r="AA375" s="345">
        <f t="shared" si="153"/>
        <v>36.9093673474542</v>
      </c>
      <c r="AB375" s="346">
        <f t="shared" si="154"/>
        <v>-107.18856374139214</v>
      </c>
      <c r="AD375">
        <f t="shared" si="158"/>
        <v>0</v>
      </c>
      <c r="AE375">
        <f t="shared" si="161"/>
        <v>0</v>
      </c>
    </row>
    <row r="376" spans="1:31" x14ac:dyDescent="0.25">
      <c r="A376" s="347">
        <v>31443</v>
      </c>
      <c r="B376" s="364">
        <f t="shared" si="155"/>
        <v>31.443000000000001</v>
      </c>
      <c r="C376" s="337">
        <f t="shared" si="136"/>
        <v>13.669537253801744</v>
      </c>
      <c r="D376" s="338">
        <f t="shared" si="137"/>
        <v>1.4975755521919867</v>
      </c>
      <c r="E376" s="338">
        <f t="shared" si="138"/>
        <v>1.0032433536259697</v>
      </c>
      <c r="F376" s="339">
        <f t="shared" si="139"/>
        <v>8.0431482646581606E-2</v>
      </c>
      <c r="G376" s="338">
        <f t="shared" si="140"/>
        <v>1</v>
      </c>
      <c r="H376" s="339">
        <f t="shared" si="141"/>
        <v>0</v>
      </c>
      <c r="I376" s="337">
        <f t="shared" si="142"/>
        <v>70819.567013613618</v>
      </c>
      <c r="J376" s="340">
        <f t="shared" si="143"/>
        <v>1.5707822064035668</v>
      </c>
      <c r="K376" s="348">
        <f t="shared" si="159"/>
        <v>13.313787699770749</v>
      </c>
      <c r="L376" s="349">
        <f t="shared" si="160"/>
        <v>1.4956154186798378</v>
      </c>
      <c r="M376" s="337">
        <f t="shared" si="144"/>
        <v>1.0439106740381814</v>
      </c>
      <c r="N376" s="340">
        <f t="shared" si="145"/>
        <v>0.29107344890966935</v>
      </c>
      <c r="O376" s="341">
        <f t="shared" si="146"/>
        <v>1.0229404291325097</v>
      </c>
      <c r="P376" s="342">
        <f t="shared" si="147"/>
        <v>0.45627773011398687</v>
      </c>
      <c r="Q376" s="343">
        <f t="shared" si="148"/>
        <v>-3.9346194577331524</v>
      </c>
      <c r="R376" s="344">
        <f t="shared" si="149"/>
        <v>-128.32318236188328</v>
      </c>
      <c r="S376" s="346">
        <f t="shared" si="150"/>
        <v>51.676817638116717</v>
      </c>
      <c r="U376" s="319">
        <f t="shared" si="156"/>
        <v>31443</v>
      </c>
      <c r="V376" s="319">
        <f t="shared" si="157"/>
        <v>988662249</v>
      </c>
      <c r="X376" s="345">
        <f t="shared" si="151"/>
        <v>22.816924840348854</v>
      </c>
      <c r="Y376" s="346">
        <f t="shared" si="152"/>
        <v>-20.984019870944024</v>
      </c>
      <c r="AA376" s="345">
        <f t="shared" si="153"/>
        <v>36.85757699108062</v>
      </c>
      <c r="AB376" s="346">
        <f t="shared" si="154"/>
        <v>-107.33916249093927</v>
      </c>
      <c r="AD376">
        <f t="shared" si="158"/>
        <v>0</v>
      </c>
      <c r="AE376">
        <f t="shared" si="161"/>
        <v>0</v>
      </c>
    </row>
    <row r="377" spans="1:31" x14ac:dyDescent="0.25">
      <c r="A377" s="347">
        <v>31623</v>
      </c>
      <c r="B377" s="364">
        <f t="shared" si="155"/>
        <v>31.623000000000001</v>
      </c>
      <c r="C377" s="337">
        <f t="shared" si="136"/>
        <v>13.747372893429315</v>
      </c>
      <c r="D377" s="338">
        <f t="shared" si="137"/>
        <v>1.4979908537875468</v>
      </c>
      <c r="E377" s="338">
        <f t="shared" si="138"/>
        <v>1.0032805331237724</v>
      </c>
      <c r="F377" s="339">
        <f t="shared" si="139"/>
        <v>8.0889924093312554E-2</v>
      </c>
      <c r="G377" s="338">
        <f t="shared" si="140"/>
        <v>1</v>
      </c>
      <c r="H377" s="339">
        <f t="shared" si="141"/>
        <v>0</v>
      </c>
      <c r="I377" s="337">
        <f t="shared" si="142"/>
        <v>71224.983865056405</v>
      </c>
      <c r="J377" s="340">
        <f t="shared" si="143"/>
        <v>1.5707822867776755</v>
      </c>
      <c r="K377" s="348">
        <f t="shared" si="159"/>
        <v>13.389575640772325</v>
      </c>
      <c r="L377" s="349">
        <f t="shared" si="160"/>
        <v>1.4960417558701005</v>
      </c>
      <c r="M377" s="337">
        <f t="shared" si="144"/>
        <v>1.0444041385060643</v>
      </c>
      <c r="N377" s="340">
        <f t="shared" si="145"/>
        <v>0.292646463655509</v>
      </c>
      <c r="O377" s="341">
        <f t="shared" si="146"/>
        <v>1.0232387340722811</v>
      </c>
      <c r="P377" s="342">
        <f t="shared" si="147"/>
        <v>0.45894534887078536</v>
      </c>
      <c r="Q377" s="343">
        <f t="shared" si="148"/>
        <v>-3.9905311900897495</v>
      </c>
      <c r="R377" s="344">
        <f t="shared" si="149"/>
        <v>-128.53925831633794</v>
      </c>
      <c r="S377" s="346">
        <f t="shared" si="150"/>
        <v>51.460741683662064</v>
      </c>
      <c r="U377" s="319">
        <f t="shared" si="156"/>
        <v>31623</v>
      </c>
      <c r="V377" s="319">
        <f t="shared" si="157"/>
        <v>1000014129</v>
      </c>
      <c r="X377" s="345">
        <f t="shared" si="151"/>
        <v>22.812541789170137</v>
      </c>
      <c r="Y377" s="346">
        <f t="shared" si="152"/>
        <v>-21.049724260513255</v>
      </c>
      <c r="AA377" s="345">
        <f t="shared" si="153"/>
        <v>36.806048309902735</v>
      </c>
      <c r="AB377" s="346">
        <f t="shared" si="154"/>
        <v>-107.48953405582468</v>
      </c>
      <c r="AD377">
        <f t="shared" si="158"/>
        <v>0</v>
      </c>
      <c r="AE377">
        <f t="shared" si="161"/>
        <v>0</v>
      </c>
    </row>
    <row r="378" spans="1:31" x14ac:dyDescent="0.25">
      <c r="A378" s="347">
        <v>31807</v>
      </c>
      <c r="B378" s="364">
        <f t="shared" si="155"/>
        <v>31.806999999999999</v>
      </c>
      <c r="C378" s="337">
        <f t="shared" si="136"/>
        <v>13.82694063674472</v>
      </c>
      <c r="D378" s="338">
        <f t="shared" si="137"/>
        <v>1.4984105515293129</v>
      </c>
      <c r="E378" s="338">
        <f t="shared" si="138"/>
        <v>1.0033187567549682</v>
      </c>
      <c r="F378" s="339">
        <f t="shared" si="139"/>
        <v>8.1358517909272149E-2</v>
      </c>
      <c r="G378" s="338">
        <f t="shared" si="140"/>
        <v>1</v>
      </c>
      <c r="H378" s="339">
        <f t="shared" si="141"/>
        <v>0</v>
      </c>
      <c r="I378" s="337">
        <f t="shared" si="142"/>
        <v>71639.409979865071</v>
      </c>
      <c r="J378" s="340">
        <f t="shared" si="143"/>
        <v>1.5707823679976325</v>
      </c>
      <c r="K378" s="348">
        <f t="shared" si="159"/>
        <v>13.46705024507366</v>
      </c>
      <c r="L378" s="349">
        <f t="shared" si="160"/>
        <v>1.4964726074441141</v>
      </c>
      <c r="M378" s="337">
        <f t="shared" si="144"/>
        <v>1.044911237323785</v>
      </c>
      <c r="N378" s="340">
        <f t="shared" si="145"/>
        <v>0.29425289458763249</v>
      </c>
      <c r="O378" s="341">
        <f t="shared" si="146"/>
        <v>1.0235462339001897</v>
      </c>
      <c r="P378" s="342">
        <f t="shared" si="147"/>
        <v>0.46167302993132031</v>
      </c>
      <c r="Q378" s="343">
        <f t="shared" si="148"/>
        <v>-4.0474336227388648</v>
      </c>
      <c r="R378" s="344">
        <f t="shared" si="149"/>
        <v>-128.76010177979379</v>
      </c>
      <c r="S378" s="346">
        <f t="shared" si="150"/>
        <v>51.239898220206214</v>
      </c>
      <c r="U378" s="319">
        <f t="shared" si="156"/>
        <v>31807</v>
      </c>
      <c r="V378" s="319">
        <f t="shared" si="157"/>
        <v>1011685249</v>
      </c>
      <c r="X378" s="345">
        <f t="shared" si="151"/>
        <v>22.808046007746231</v>
      </c>
      <c r="Y378" s="346">
        <f t="shared" si="152"/>
        <v>-21.117084649853354</v>
      </c>
      <c r="AA378" s="345">
        <f t="shared" si="153"/>
        <v>36.75364165867753</v>
      </c>
      <c r="AB378" s="346">
        <f t="shared" si="154"/>
        <v>-107.64301712994043</v>
      </c>
      <c r="AD378">
        <f t="shared" si="158"/>
        <v>0</v>
      </c>
      <c r="AE378">
        <f t="shared" si="161"/>
        <v>0</v>
      </c>
    </row>
    <row r="379" spans="1:31" x14ac:dyDescent="0.25">
      <c r="A379" s="347">
        <v>31991</v>
      </c>
      <c r="B379" s="364">
        <f t="shared" si="155"/>
        <v>31.991</v>
      </c>
      <c r="C379" s="337">
        <f t="shared" si="136"/>
        <v>13.906510787752129</v>
      </c>
      <c r="D379" s="338">
        <f t="shared" si="137"/>
        <v>1.4988254464977777</v>
      </c>
      <c r="E379" s="338">
        <f t="shared" si="138"/>
        <v>1.0033572006782472</v>
      </c>
      <c r="F379" s="339">
        <f t="shared" si="139"/>
        <v>8.1827075919494244E-2</v>
      </c>
      <c r="G379" s="338">
        <f t="shared" si="140"/>
        <v>1</v>
      </c>
      <c r="H379" s="339">
        <f t="shared" si="141"/>
        <v>0</v>
      </c>
      <c r="I379" s="337">
        <f t="shared" si="142"/>
        <v>72053.836094674218</v>
      </c>
      <c r="J379" s="340">
        <f t="shared" si="143"/>
        <v>1.5707824482832971</v>
      </c>
      <c r="K379" s="348">
        <f t="shared" si="159"/>
        <v>13.544527320705559</v>
      </c>
      <c r="L379" s="349">
        <f t="shared" si="160"/>
        <v>1.4968985300030595</v>
      </c>
      <c r="M379" s="337">
        <f t="shared" si="144"/>
        <v>1.0454210300406579</v>
      </c>
      <c r="N379" s="340">
        <f t="shared" si="145"/>
        <v>0.29585776292691351</v>
      </c>
      <c r="O379" s="341">
        <f t="shared" si="146"/>
        <v>1.0238563411953421</v>
      </c>
      <c r="P379" s="342">
        <f t="shared" si="147"/>
        <v>0.46440150026643695</v>
      </c>
      <c r="Q379" s="343">
        <f t="shared" si="148"/>
        <v>-4.1040849110778375</v>
      </c>
      <c r="R379" s="344">
        <f t="shared" si="149"/>
        <v>-128.98091016648411</v>
      </c>
      <c r="S379" s="346">
        <f t="shared" si="150"/>
        <v>51.019089833515892</v>
      </c>
      <c r="U379" s="319">
        <f t="shared" si="156"/>
        <v>31991</v>
      </c>
      <c r="V379" s="319">
        <f t="shared" si="157"/>
        <v>1023424081</v>
      </c>
      <c r="X379" s="345">
        <f t="shared" si="151"/>
        <v>22.80353468047473</v>
      </c>
      <c r="Y379" s="346">
        <f t="shared" si="152"/>
        <v>-21.184637867448274</v>
      </c>
      <c r="AA379" s="345">
        <f t="shared" si="153"/>
        <v>36.701501697610055</v>
      </c>
      <c r="AB379" s="346">
        <f t="shared" si="154"/>
        <v>-107.79627229903585</v>
      </c>
      <c r="AD379">
        <f t="shared" si="158"/>
        <v>0</v>
      </c>
      <c r="AE379">
        <f t="shared" si="161"/>
        <v>0</v>
      </c>
    </row>
    <row r="380" spans="1:31" x14ac:dyDescent="0.25">
      <c r="A380" s="347">
        <v>32175</v>
      </c>
      <c r="B380" s="364">
        <f t="shared" si="155"/>
        <v>32.174999999999997</v>
      </c>
      <c r="C380" s="337">
        <f t="shared" si="136"/>
        <v>13.986083305357745</v>
      </c>
      <c r="D380" s="338">
        <f t="shared" si="137"/>
        <v>1.4992356205236625</v>
      </c>
      <c r="E380" s="338">
        <f t="shared" si="138"/>
        <v>1.0033958648682895</v>
      </c>
      <c r="F380" s="339">
        <f t="shared" si="139"/>
        <v>8.229559792236564E-2</v>
      </c>
      <c r="G380" s="338">
        <f t="shared" si="140"/>
        <v>1</v>
      </c>
      <c r="H380" s="339">
        <f t="shared" si="141"/>
        <v>0</v>
      </c>
      <c r="I380" s="337">
        <f t="shared" si="142"/>
        <v>72468.262209483815</v>
      </c>
      <c r="J380" s="340">
        <f t="shared" si="143"/>
        <v>1.5707825276506984</v>
      </c>
      <c r="K380" s="348">
        <f t="shared" si="159"/>
        <v>13.622006825499907</v>
      </c>
      <c r="L380" s="349">
        <f t="shared" si="160"/>
        <v>1.4973196074971016</v>
      </c>
      <c r="M380" s="337">
        <f t="shared" si="144"/>
        <v>1.0459335127176277</v>
      </c>
      <c r="N380" s="340">
        <f t="shared" si="145"/>
        <v>0.29746106269725581</v>
      </c>
      <c r="O380" s="341">
        <f t="shared" si="146"/>
        <v>1.0241690694918457</v>
      </c>
      <c r="P380" s="342">
        <f t="shared" si="147"/>
        <v>0.46713075856856456</v>
      </c>
      <c r="Q380" s="343">
        <f t="shared" si="148"/>
        <v>-4.1604884269668521</v>
      </c>
      <c r="R380" s="344">
        <f t="shared" si="149"/>
        <v>-129.20168295012036</v>
      </c>
      <c r="S380" s="346">
        <f t="shared" si="150"/>
        <v>50.798317049879643</v>
      </c>
      <c r="U380" s="319">
        <f t="shared" si="156"/>
        <v>32175</v>
      </c>
      <c r="V380" s="319">
        <f t="shared" si="157"/>
        <v>1035230625</v>
      </c>
      <c r="X380" s="345">
        <f t="shared" si="151"/>
        <v>22.799007762029749</v>
      </c>
      <c r="Y380" s="346">
        <f t="shared" si="152"/>
        <v>-21.252378761821159</v>
      </c>
      <c r="AA380" s="345">
        <f t="shared" si="153"/>
        <v>36.649625100166027</v>
      </c>
      <c r="AB380" s="346">
        <f t="shared" si="154"/>
        <v>-107.94930418829922</v>
      </c>
      <c r="AD380">
        <f t="shared" si="158"/>
        <v>0</v>
      </c>
      <c r="AE380">
        <f t="shared" si="161"/>
        <v>0</v>
      </c>
    </row>
    <row r="381" spans="1:31" x14ac:dyDescent="0.25">
      <c r="A381" s="347">
        <v>32359</v>
      </c>
      <c r="B381" s="364">
        <f t="shared" si="155"/>
        <v>32.359000000000002</v>
      </c>
      <c r="C381" s="337">
        <f t="shared" si="136"/>
        <v>14.065658149396473</v>
      </c>
      <c r="D381" s="338">
        <f t="shared" si="137"/>
        <v>1.4996411535923351</v>
      </c>
      <c r="E381" s="338">
        <f t="shared" si="138"/>
        <v>1.0034347492996327</v>
      </c>
      <c r="F381" s="339">
        <f t="shared" si="139"/>
        <v>8.2764083716367343E-2</v>
      </c>
      <c r="G381" s="338">
        <f t="shared" si="140"/>
        <v>1</v>
      </c>
      <c r="H381" s="339">
        <f t="shared" si="141"/>
        <v>0</v>
      </c>
      <c r="I381" s="337">
        <f t="shared" si="142"/>
        <v>72882.688324293864</v>
      </c>
      <c r="J381" s="340">
        <f t="shared" si="143"/>
        <v>1.5707826061155004</v>
      </c>
      <c r="K381" s="348">
        <f t="shared" si="159"/>
        <v>13.699488718241229</v>
      </c>
      <c r="L381" s="349">
        <f t="shared" si="160"/>
        <v>1.497735921984138</v>
      </c>
      <c r="M381" s="337">
        <f t="shared" si="144"/>
        <v>1.0464486814025902</v>
      </c>
      <c r="N381" s="340">
        <f t="shared" si="145"/>
        <v>0.29906278796649582</v>
      </c>
      <c r="O381" s="341">
        <f t="shared" si="146"/>
        <v>1.0244844323789366</v>
      </c>
      <c r="P381" s="342">
        <f t="shared" si="147"/>
        <v>0.46986080343502568</v>
      </c>
      <c r="Q381" s="343">
        <f t="shared" si="148"/>
        <v>-4.2166474850992399</v>
      </c>
      <c r="R381" s="344">
        <f t="shared" si="149"/>
        <v>-129.42241960414353</v>
      </c>
      <c r="S381" s="346">
        <f t="shared" si="150"/>
        <v>50.577580395856472</v>
      </c>
      <c r="U381" s="319">
        <f t="shared" si="156"/>
        <v>32359</v>
      </c>
      <c r="V381" s="319">
        <f t="shared" si="157"/>
        <v>1047104881</v>
      </c>
      <c r="X381" s="345">
        <f t="shared" si="151"/>
        <v>22.794465210308459</v>
      </c>
      <c r="Y381" s="346">
        <f t="shared" si="152"/>
        <v>-21.320302292410336</v>
      </c>
      <c r="AA381" s="345">
        <f t="shared" si="153"/>
        <v>36.598008593754926</v>
      </c>
      <c r="AB381" s="346">
        <f t="shared" si="154"/>
        <v>-108.1021173117332</v>
      </c>
      <c r="AD381">
        <f t="shared" si="158"/>
        <v>0</v>
      </c>
      <c r="AE381">
        <f t="shared" si="161"/>
        <v>0</v>
      </c>
    </row>
    <row r="382" spans="1:31" x14ac:dyDescent="0.25">
      <c r="A382" s="347">
        <v>32547.5</v>
      </c>
      <c r="B382" s="364">
        <f t="shared" si="155"/>
        <v>32.547499999999999</v>
      </c>
      <c r="C382" s="337">
        <f t="shared" si="136"/>
        <v>14.147181488771063</v>
      </c>
      <c r="D382" s="338">
        <f t="shared" si="137"/>
        <v>1.5000518737249497</v>
      </c>
      <c r="E382" s="338">
        <f t="shared" si="138"/>
        <v>1.0034748130688202</v>
      </c>
      <c r="F382" s="339">
        <f t="shared" si="139"/>
        <v>8.3243989284785824E-2</v>
      </c>
      <c r="G382" s="338">
        <f t="shared" si="140"/>
        <v>1</v>
      </c>
      <c r="H382" s="339">
        <f t="shared" si="141"/>
        <v>0</v>
      </c>
      <c r="I382" s="337">
        <f t="shared" si="142"/>
        <v>73307.249860390482</v>
      </c>
      <c r="J382" s="340">
        <f t="shared" si="143"/>
        <v>1.5707826855793015</v>
      </c>
      <c r="K382" s="348">
        <f t="shared" si="159"/>
        <v>13.778867982724783</v>
      </c>
      <c r="L382" s="349">
        <f t="shared" si="160"/>
        <v>1.4981575627661583</v>
      </c>
      <c r="M382" s="337">
        <f t="shared" si="144"/>
        <v>1.0469792305233263</v>
      </c>
      <c r="N382" s="340">
        <f t="shared" si="145"/>
        <v>0.30070204697693181</v>
      </c>
      <c r="O382" s="341">
        <f t="shared" si="146"/>
        <v>1.0248102542374307</v>
      </c>
      <c r="P382" s="342">
        <f t="shared" si="147"/>
        <v>0.47265842979084194</v>
      </c>
      <c r="Q382" s="343">
        <f t="shared" si="148"/>
        <v>-4.2739299062572931</v>
      </c>
      <c r="R382" s="344">
        <f t="shared" si="149"/>
        <v>-129.64851669225627</v>
      </c>
      <c r="S382" s="346">
        <f t="shared" si="150"/>
        <v>50.351483307743734</v>
      </c>
      <c r="U382" s="319">
        <f t="shared" si="156"/>
        <v>32547.5</v>
      </c>
      <c r="V382" s="319">
        <f t="shared" si="157"/>
        <v>1059339756.25</v>
      </c>
      <c r="X382" s="345">
        <f t="shared" si="151"/>
        <v>22.789795311379702</v>
      </c>
      <c r="Y382" s="346">
        <f t="shared" si="152"/>
        <v>-21.390071230976893</v>
      </c>
      <c r="AA382" s="345">
        <f t="shared" si="153"/>
        <v>36.545396071525637</v>
      </c>
      <c r="AB382" s="346">
        <f t="shared" si="154"/>
        <v>-108.25844546127934</v>
      </c>
      <c r="AD382">
        <f t="shared" si="158"/>
        <v>0</v>
      </c>
      <c r="AE382">
        <f t="shared" si="161"/>
        <v>0</v>
      </c>
    </row>
    <row r="383" spans="1:31" x14ac:dyDescent="0.25">
      <c r="A383" s="347">
        <v>32736</v>
      </c>
      <c r="B383" s="364">
        <f t="shared" si="155"/>
        <v>32.735999999999997</v>
      </c>
      <c r="C383" s="337">
        <f t="shared" si="136"/>
        <v>14.228707187301081</v>
      </c>
      <c r="D383" s="338">
        <f t="shared" si="137"/>
        <v>1.5004578873494263</v>
      </c>
      <c r="E383" s="338">
        <f t="shared" si="138"/>
        <v>1.0035151079291598</v>
      </c>
      <c r="F383" s="339">
        <f t="shared" si="139"/>
        <v>8.3723856423731313E-2</v>
      </c>
      <c r="G383" s="338">
        <f t="shared" si="140"/>
        <v>1</v>
      </c>
      <c r="H383" s="339">
        <f t="shared" si="141"/>
        <v>0</v>
      </c>
      <c r="I383" s="337">
        <f t="shared" si="142"/>
        <v>73731.811396487567</v>
      </c>
      <c r="J383" s="340">
        <f t="shared" si="143"/>
        <v>1.5707827641279677</v>
      </c>
      <c r="K383" s="348">
        <f t="shared" si="159"/>
        <v>13.85824966876574</v>
      </c>
      <c r="L383" s="349">
        <f t="shared" si="160"/>
        <v>1.4985743732054704</v>
      </c>
      <c r="M383" s="337">
        <f t="shared" si="144"/>
        <v>1.0475125902010425</v>
      </c>
      <c r="N383" s="340">
        <f t="shared" si="145"/>
        <v>0.30233964106833933</v>
      </c>
      <c r="O383" s="341">
        <f t="shared" si="146"/>
        <v>1.0251388701765665</v>
      </c>
      <c r="P383" s="342">
        <f t="shared" si="147"/>
        <v>0.47545687836712808</v>
      </c>
      <c r="Q383" s="343">
        <f t="shared" si="148"/>
        <v>-4.330962630597389</v>
      </c>
      <c r="R383" s="344">
        <f t="shared" si="149"/>
        <v>-129.87457474190958</v>
      </c>
      <c r="S383" s="346">
        <f t="shared" si="150"/>
        <v>50.125425258090416</v>
      </c>
      <c r="U383" s="319">
        <f t="shared" si="156"/>
        <v>32736</v>
      </c>
      <c r="V383" s="319">
        <f t="shared" si="157"/>
        <v>1071645696</v>
      </c>
      <c r="X383" s="345">
        <f t="shared" si="151"/>
        <v>22.785108925614036</v>
      </c>
      <c r="Y383" s="346">
        <f t="shared" si="152"/>
        <v>-21.460021482527534</v>
      </c>
      <c r="AA383" s="345">
        <f t="shared" si="153"/>
        <v>36.493049732951206</v>
      </c>
      <c r="AB383" s="346">
        <f t="shared" si="154"/>
        <v>-108.41455325938202</v>
      </c>
      <c r="AD383">
        <f t="shared" si="158"/>
        <v>0</v>
      </c>
      <c r="AE383">
        <f t="shared" si="161"/>
        <v>0</v>
      </c>
    </row>
    <row r="384" spans="1:31" x14ac:dyDescent="0.25">
      <c r="A384" s="347">
        <v>32924.5</v>
      </c>
      <c r="B384" s="364">
        <f t="shared" si="155"/>
        <v>32.924500000000002</v>
      </c>
      <c r="C384" s="337">
        <f t="shared" si="136"/>
        <v>14.310235204666055</v>
      </c>
      <c r="D384" s="338">
        <f t="shared" si="137"/>
        <v>1.5008592747722505</v>
      </c>
      <c r="E384" s="338">
        <f t="shared" si="138"/>
        <v>1.0035556338528151</v>
      </c>
      <c r="F384" s="339">
        <f t="shared" si="139"/>
        <v>8.420368491684585E-2</v>
      </c>
      <c r="G384" s="338">
        <f t="shared" si="140"/>
        <v>1</v>
      </c>
      <c r="H384" s="339">
        <f t="shared" si="141"/>
        <v>0</v>
      </c>
      <c r="I384" s="337">
        <f t="shared" si="142"/>
        <v>74156.372932585087</v>
      </c>
      <c r="J384" s="340">
        <f t="shared" si="143"/>
        <v>1.5707828417772174</v>
      </c>
      <c r="K384" s="348">
        <f t="shared" si="159"/>
        <v>13.93763373498822</v>
      </c>
      <c r="L384" s="349">
        <f t="shared" si="160"/>
        <v>1.4989864356920115</v>
      </c>
      <c r="M384" s="337">
        <f t="shared" si="144"/>
        <v>1.0480487561447995</v>
      </c>
      <c r="N384" s="340">
        <f t="shared" si="145"/>
        <v>0.30397556400619485</v>
      </c>
      <c r="O384" s="341">
        <f t="shared" si="146"/>
        <v>1.0254702949843264</v>
      </c>
      <c r="P384" s="342">
        <f t="shared" si="147"/>
        <v>0.47825614734321459</v>
      </c>
      <c r="Q384" s="343">
        <f t="shared" si="148"/>
        <v>-4.3877490437370525</v>
      </c>
      <c r="R384" s="344">
        <f t="shared" si="149"/>
        <v>-130.10059318549889</v>
      </c>
      <c r="S384" s="346">
        <f t="shared" si="150"/>
        <v>49.899406814501106</v>
      </c>
      <c r="U384" s="319">
        <f t="shared" si="156"/>
        <v>32924.5</v>
      </c>
      <c r="V384" s="319">
        <f t="shared" si="157"/>
        <v>1084022700.25</v>
      </c>
      <c r="X384" s="345">
        <f t="shared" si="151"/>
        <v>22.78040601758622</v>
      </c>
      <c r="Y384" s="346">
        <f t="shared" si="152"/>
        <v>-21.530147970155234</v>
      </c>
      <c r="AA384" s="345">
        <f t="shared" si="153"/>
        <v>36.440966227839354</v>
      </c>
      <c r="AB384" s="346">
        <f t="shared" si="154"/>
        <v>-108.57044521534368</v>
      </c>
      <c r="AD384">
        <f t="shared" si="158"/>
        <v>0</v>
      </c>
      <c r="AE384">
        <f t="shared" si="161"/>
        <v>0</v>
      </c>
    </row>
    <row r="385" spans="1:31" x14ac:dyDescent="0.25">
      <c r="A385" s="347">
        <v>33113</v>
      </c>
      <c r="B385" s="364">
        <f t="shared" si="155"/>
        <v>33.113</v>
      </c>
      <c r="C385" s="337">
        <f t="shared" si="136"/>
        <v>14.391765501458035</v>
      </c>
      <c r="D385" s="338">
        <f t="shared" si="137"/>
        <v>1.5012561144861825</v>
      </c>
      <c r="E385" s="338">
        <f t="shared" si="138"/>
        <v>1.0035963908117946</v>
      </c>
      <c r="F385" s="339">
        <f t="shared" si="139"/>
        <v>8.4683474547877571E-2</v>
      </c>
      <c r="G385" s="338">
        <f t="shared" si="140"/>
        <v>1</v>
      </c>
      <c r="H385" s="339">
        <f t="shared" si="141"/>
        <v>0</v>
      </c>
      <c r="I385" s="337">
        <f t="shared" si="142"/>
        <v>74580.934468683045</v>
      </c>
      <c r="J385" s="340">
        <f t="shared" si="143"/>
        <v>1.5707829185424103</v>
      </c>
      <c r="K385" s="348">
        <f t="shared" si="159"/>
        <v>14.01702014095242</v>
      </c>
      <c r="L385" s="349">
        <f t="shared" si="160"/>
        <v>1.4993938307557666</v>
      </c>
      <c r="M385" s="337">
        <f t="shared" si="144"/>
        <v>1.0485877240498811</v>
      </c>
      <c r="N385" s="340">
        <f t="shared" si="145"/>
        <v>0.3056098096044717</v>
      </c>
      <c r="O385" s="341">
        <f t="shared" si="146"/>
        <v>1.0258045435074652</v>
      </c>
      <c r="P385" s="342">
        <f t="shared" si="147"/>
        <v>0.48105623479233184</v>
      </c>
      <c r="Q385" s="343">
        <f t="shared" si="148"/>
        <v>-4.4442924738571961</v>
      </c>
      <c r="R385" s="344">
        <f t="shared" si="149"/>
        <v>-130.32657145474138</v>
      </c>
      <c r="S385" s="346">
        <f t="shared" si="150"/>
        <v>49.673428545258616</v>
      </c>
      <c r="U385" s="319">
        <f t="shared" si="156"/>
        <v>33113</v>
      </c>
      <c r="V385" s="319">
        <f t="shared" si="157"/>
        <v>1096470769</v>
      </c>
      <c r="X385" s="345">
        <f t="shared" si="151"/>
        <v>22.775686554975522</v>
      </c>
      <c r="Y385" s="346">
        <f t="shared" si="152"/>
        <v>-21.600445726278597</v>
      </c>
      <c r="AA385" s="345">
        <f t="shared" si="153"/>
        <v>36.389142260329905</v>
      </c>
      <c r="AB385" s="346">
        <f t="shared" si="154"/>
        <v>-108.72612572846279</v>
      </c>
      <c r="AD385">
        <f t="shared" si="158"/>
        <v>0</v>
      </c>
      <c r="AE385">
        <f t="shared" si="161"/>
        <v>0</v>
      </c>
    </row>
    <row r="386" spans="1:31" x14ac:dyDescent="0.25">
      <c r="A386" s="347">
        <v>33305.75</v>
      </c>
      <c r="B386" s="364">
        <f t="shared" si="155"/>
        <v>33.305750000000003</v>
      </c>
      <c r="C386" s="337">
        <f t="shared" si="136"/>
        <v>14.475136331458502</v>
      </c>
      <c r="D386" s="338">
        <f t="shared" si="137"/>
        <v>1.501657278778546</v>
      </c>
      <c r="E386" s="338">
        <f t="shared" si="138"/>
        <v>1.0036383055725027</v>
      </c>
      <c r="F386" s="339">
        <f t="shared" si="139"/>
        <v>8.5174041305558432E-2</v>
      </c>
      <c r="G386" s="338">
        <f t="shared" si="140"/>
        <v>1</v>
      </c>
      <c r="H386" s="339">
        <f t="shared" si="141"/>
        <v>0</v>
      </c>
      <c r="I386" s="337">
        <f t="shared" si="142"/>
        <v>75015.068347107284</v>
      </c>
      <c r="J386" s="340">
        <f t="shared" si="143"/>
        <v>1.5707829961398421</v>
      </c>
      <c r="K386" s="348">
        <f t="shared" si="159"/>
        <v>14.09819880438287</v>
      </c>
      <c r="L386" s="349">
        <f t="shared" si="160"/>
        <v>1.4998056666656683</v>
      </c>
      <c r="M386" s="337">
        <f t="shared" si="144"/>
        <v>1.0491417366868971</v>
      </c>
      <c r="N386" s="340">
        <f t="shared" si="145"/>
        <v>0.30727916070195493</v>
      </c>
      <c r="O386" s="341">
        <f t="shared" si="146"/>
        <v>1.0261492635970497</v>
      </c>
      <c r="P386" s="342">
        <f t="shared" si="147"/>
        <v>0.48392029842920614</v>
      </c>
      <c r="Q386" s="343">
        <f t="shared" si="148"/>
        <v>-4.5018629021179581</v>
      </c>
      <c r="R386" s="344">
        <f t="shared" si="149"/>
        <v>-130.55760258864177</v>
      </c>
      <c r="S386" s="346">
        <f t="shared" si="150"/>
        <v>49.442397411358229</v>
      </c>
      <c r="U386" s="319">
        <f t="shared" si="156"/>
        <v>33305.75</v>
      </c>
      <c r="V386" s="319">
        <f t="shared" si="157"/>
        <v>1109272983.0625</v>
      </c>
      <c r="X386" s="345">
        <f t="shared" si="151"/>
        <v>22.770843536194402</v>
      </c>
      <c r="Y386" s="346">
        <f t="shared" si="152"/>
        <v>-21.672500485288303</v>
      </c>
      <c r="AA386" s="345">
        <f t="shared" si="153"/>
        <v>36.336414850850261</v>
      </c>
      <c r="AB386" s="346">
        <f t="shared" si="154"/>
        <v>-108.88510210335349</v>
      </c>
      <c r="AD386">
        <f t="shared" si="158"/>
        <v>0</v>
      </c>
      <c r="AE386">
        <f t="shared" si="161"/>
        <v>0</v>
      </c>
    </row>
    <row r="387" spans="1:31" x14ac:dyDescent="0.25">
      <c r="A387" s="347">
        <v>33498.5</v>
      </c>
      <c r="B387" s="364">
        <f t="shared" si="155"/>
        <v>33.4985</v>
      </c>
      <c r="C387" s="337">
        <f t="shared" si="136"/>
        <v>14.558509464302293</v>
      </c>
      <c r="D387" s="338">
        <f t="shared" si="137"/>
        <v>1.5020538483884973</v>
      </c>
      <c r="E387" s="338">
        <f t="shared" si="138"/>
        <v>1.0036804618443267</v>
      </c>
      <c r="F387" s="339">
        <f t="shared" si="139"/>
        <v>8.566456697201684E-2</v>
      </c>
      <c r="G387" s="338">
        <f t="shared" si="140"/>
        <v>1</v>
      </c>
      <c r="H387" s="339">
        <f t="shared" si="141"/>
        <v>0</v>
      </c>
      <c r="I387" s="337">
        <f t="shared" si="142"/>
        <v>75449.202225531961</v>
      </c>
      <c r="J387" s="340">
        <f t="shared" si="143"/>
        <v>1.5707830728442844</v>
      </c>
      <c r="K387" s="348">
        <f t="shared" si="159"/>
        <v>14.179379831612327</v>
      </c>
      <c r="L387" s="349">
        <f t="shared" si="160"/>
        <v>1.5002127868859247</v>
      </c>
      <c r="M387" s="337">
        <f t="shared" si="144"/>
        <v>1.0496986699110211</v>
      </c>
      <c r="N387" s="340">
        <f t="shared" si="145"/>
        <v>0.30894674504440101</v>
      </c>
      <c r="O387" s="341">
        <f t="shared" si="146"/>
        <v>1.026496967750246</v>
      </c>
      <c r="P387" s="342">
        <f t="shared" si="147"/>
        <v>0.48678521344686071</v>
      </c>
      <c r="Q387" s="343">
        <f t="shared" si="148"/>
        <v>-4.5591861271631622</v>
      </c>
      <c r="R387" s="344">
        <f t="shared" si="149"/>
        <v>-130.78859051185339</v>
      </c>
      <c r="S387" s="346">
        <f t="shared" si="150"/>
        <v>49.211409488146614</v>
      </c>
      <c r="U387" s="319">
        <f t="shared" si="156"/>
        <v>33498.5</v>
      </c>
      <c r="V387" s="319">
        <f t="shared" si="157"/>
        <v>1122149502.25</v>
      </c>
      <c r="X387" s="345">
        <f t="shared" si="151"/>
        <v>22.765983149070259</v>
      </c>
      <c r="Y387" s="346">
        <f t="shared" si="152"/>
        <v>-21.744724154640771</v>
      </c>
      <c r="AA387" s="345">
        <f t="shared" si="153"/>
        <v>36.283952012929205</v>
      </c>
      <c r="AB387" s="346">
        <f t="shared" si="154"/>
        <v>-109.04386635721259</v>
      </c>
      <c r="AD387">
        <f t="shared" si="158"/>
        <v>0</v>
      </c>
      <c r="AE387">
        <f t="shared" si="161"/>
        <v>0</v>
      </c>
    </row>
    <row r="388" spans="1:31" x14ac:dyDescent="0.25">
      <c r="A388" s="347">
        <v>33691.25</v>
      </c>
      <c r="B388" s="364">
        <f t="shared" si="155"/>
        <v>33.691249999999997</v>
      </c>
      <c r="C388" s="337">
        <f t="shared" si="136"/>
        <v>14.641884860651183</v>
      </c>
      <c r="D388" s="338">
        <f t="shared" si="137"/>
        <v>1.5024459016808283</v>
      </c>
      <c r="E388" s="338">
        <f t="shared" si="138"/>
        <v>1.0037228595968359</v>
      </c>
      <c r="F388" s="339">
        <f t="shared" si="139"/>
        <v>8.6155051316389092E-2</v>
      </c>
      <c r="G388" s="338">
        <f t="shared" si="140"/>
        <v>1</v>
      </c>
      <c r="H388" s="339">
        <f t="shared" si="141"/>
        <v>0</v>
      </c>
      <c r="I388" s="337">
        <f t="shared" si="142"/>
        <v>75883.336103957088</v>
      </c>
      <c r="J388" s="340">
        <f t="shared" si="143"/>
        <v>1.5707831486710637</v>
      </c>
      <c r="K388" s="348">
        <f t="shared" si="159"/>
        <v>14.260563182271632</v>
      </c>
      <c r="L388" s="349">
        <f t="shared" si="160"/>
        <v>1.5006152718176562</v>
      </c>
      <c r="M388" s="337">
        <f t="shared" si="144"/>
        <v>1.0502585190760487</v>
      </c>
      <c r="N388" s="340">
        <f t="shared" si="145"/>
        <v>0.31061255617528472</v>
      </c>
      <c r="O388" s="341">
        <f t="shared" si="146"/>
        <v>1.0268476720281781</v>
      </c>
      <c r="P388" s="342">
        <f t="shared" si="147"/>
        <v>0.48965097743900182</v>
      </c>
      <c r="Q388" s="343">
        <f t="shared" si="148"/>
        <v>-4.6162655294560704</v>
      </c>
      <c r="R388" s="344">
        <f t="shared" si="149"/>
        <v>-131.01953461400669</v>
      </c>
      <c r="S388" s="346">
        <f t="shared" si="150"/>
        <v>48.980465385993313</v>
      </c>
      <c r="U388" s="319">
        <f t="shared" si="156"/>
        <v>33691.25</v>
      </c>
      <c r="V388" s="319">
        <f t="shared" si="157"/>
        <v>1135100326.5625</v>
      </c>
      <c r="X388" s="345">
        <f t="shared" si="151"/>
        <v>22.761105368464342</v>
      </c>
      <c r="Y388" s="346">
        <f t="shared" si="152"/>
        <v>-21.817111758637637</v>
      </c>
      <c r="AA388" s="345">
        <f t="shared" si="153"/>
        <v>36.231750391242215</v>
      </c>
      <c r="AB388" s="346">
        <f t="shared" si="154"/>
        <v>-109.20242285536902</v>
      </c>
      <c r="AD388">
        <f t="shared" si="158"/>
        <v>0</v>
      </c>
      <c r="AE388">
        <f t="shared" si="161"/>
        <v>0</v>
      </c>
    </row>
    <row r="389" spans="1:31" x14ac:dyDescent="0.25">
      <c r="A389" s="347">
        <v>33884</v>
      </c>
      <c r="B389" s="364">
        <f t="shared" si="155"/>
        <v>33.884</v>
      </c>
      <c r="C389" s="337">
        <f t="shared" si="136"/>
        <v>14.725262482056825</v>
      </c>
      <c r="D389" s="338">
        <f t="shared" si="137"/>
        <v>1.5028335152510837</v>
      </c>
      <c r="E389" s="338">
        <f t="shared" si="138"/>
        <v>1.0037654987994311</v>
      </c>
      <c r="F389" s="339">
        <f t="shared" si="139"/>
        <v>8.664549410792996E-2</v>
      </c>
      <c r="G389" s="338">
        <f t="shared" si="140"/>
        <v>1</v>
      </c>
      <c r="H389" s="339">
        <f t="shared" si="141"/>
        <v>0</v>
      </c>
      <c r="I389" s="337">
        <f t="shared" si="142"/>
        <v>76317.469982382638</v>
      </c>
      <c r="J389" s="340">
        <f t="shared" si="143"/>
        <v>1.570783223635158</v>
      </c>
      <c r="K389" s="348">
        <f t="shared" si="159"/>
        <v>14.34174881690455</v>
      </c>
      <c r="L389" s="349">
        <f t="shared" si="160"/>
        <v>1.5010132000475331</v>
      </c>
      <c r="M389" s="337">
        <f t="shared" si="144"/>
        <v>1.0508212795213763</v>
      </c>
      <c r="N389" s="340">
        <f t="shared" si="145"/>
        <v>0.31227658769116817</v>
      </c>
      <c r="O389" s="341">
        <f t="shared" si="146"/>
        <v>1.0272013925539785</v>
      </c>
      <c r="P389" s="342">
        <f t="shared" si="147"/>
        <v>0.49251758788195876</v>
      </c>
      <c r="Q389" s="343">
        <f t="shared" si="148"/>
        <v>-4.6731044321777349</v>
      </c>
      <c r="R389" s="344">
        <f t="shared" si="149"/>
        <v>-131.25043428361181</v>
      </c>
      <c r="S389" s="346">
        <f t="shared" si="150"/>
        <v>48.74956571638819</v>
      </c>
      <c r="U389" s="319">
        <f t="shared" si="156"/>
        <v>33884</v>
      </c>
      <c r="V389" s="319">
        <f t="shared" si="157"/>
        <v>1148125456</v>
      </c>
      <c r="X389" s="345">
        <f t="shared" si="151"/>
        <v>22.756210172205297</v>
      </c>
      <c r="Y389" s="346">
        <f t="shared" si="152"/>
        <v>-21.889658428562576</v>
      </c>
      <c r="AA389" s="345">
        <f t="shared" si="153"/>
        <v>36.179806684779599</v>
      </c>
      <c r="AB389" s="346">
        <f t="shared" si="154"/>
        <v>-109.36077585504925</v>
      </c>
      <c r="AD389">
        <f t="shared" si="158"/>
        <v>0</v>
      </c>
      <c r="AE389">
        <f t="shared" si="161"/>
        <v>0</v>
      </c>
    </row>
    <row r="390" spans="1:31" x14ac:dyDescent="0.25">
      <c r="A390" s="347">
        <v>34081.5</v>
      </c>
      <c r="B390" s="364">
        <f t="shared" si="155"/>
        <v>34.081499999999998</v>
      </c>
      <c r="C390" s="337">
        <f t="shared" si="136"/>
        <v>14.810697073580538</v>
      </c>
      <c r="D390" s="338">
        <f t="shared" si="137"/>
        <v>1.5032261540158534</v>
      </c>
      <c r="E390" s="338">
        <f t="shared" si="138"/>
        <v>1.0038094391899766</v>
      </c>
      <c r="F390" s="339">
        <f t="shared" si="139"/>
        <v>8.7147979695668634E-2</v>
      </c>
      <c r="G390" s="338">
        <f t="shared" si="140"/>
        <v>1</v>
      </c>
      <c r="H390" s="339">
        <f t="shared" si="141"/>
        <v>0</v>
      </c>
      <c r="I390" s="337">
        <f t="shared" si="142"/>
        <v>76762.302361055175</v>
      </c>
      <c r="J390" s="340">
        <f t="shared" si="143"/>
        <v>1.5707832995670872</v>
      </c>
      <c r="K390" s="348">
        <f t="shared" si="159"/>
        <v>14.424937463905383</v>
      </c>
      <c r="L390" s="349">
        <f t="shared" si="160"/>
        <v>1.5014162883559776</v>
      </c>
      <c r="M390" s="337">
        <f t="shared" si="144"/>
        <v>1.051400923143383</v>
      </c>
      <c r="N390" s="340">
        <f t="shared" si="145"/>
        <v>0.31397977388920728</v>
      </c>
      <c r="O390" s="341">
        <f t="shared" si="146"/>
        <v>1.0275669755133359</v>
      </c>
      <c r="P390" s="342">
        <f t="shared" si="147"/>
        <v>0.4954557163582099</v>
      </c>
      <c r="Q390" s="343">
        <f t="shared" si="148"/>
        <v>-4.7310979879709132</v>
      </c>
      <c r="R390" s="344">
        <f t="shared" si="149"/>
        <v>-131.48697735849618</v>
      </c>
      <c r="S390" s="346">
        <f t="shared" si="150"/>
        <v>48.513022641503824</v>
      </c>
      <c r="U390" s="319">
        <f t="shared" si="156"/>
        <v>34081.5</v>
      </c>
      <c r="V390" s="319">
        <f t="shared" si="157"/>
        <v>1161548642.25</v>
      </c>
      <c r="X390" s="345">
        <f t="shared" si="151"/>
        <v>22.751176257178333</v>
      </c>
      <c r="Y390" s="346">
        <f t="shared" si="152"/>
        <v>-21.964152901254401</v>
      </c>
      <c r="AA390" s="345">
        <f t="shared" si="153"/>
        <v>36.126847044013381</v>
      </c>
      <c r="AB390" s="346">
        <f t="shared" si="154"/>
        <v>-109.52282445724177</v>
      </c>
      <c r="AD390">
        <f t="shared" si="158"/>
        <v>0</v>
      </c>
      <c r="AE390">
        <f t="shared" si="161"/>
        <v>0</v>
      </c>
    </row>
    <row r="391" spans="1:31" x14ac:dyDescent="0.25">
      <c r="A391" s="347">
        <v>34279</v>
      </c>
      <c r="B391" s="364">
        <f t="shared" si="155"/>
        <v>34.279000000000003</v>
      </c>
      <c r="C391" s="337">
        <f t="shared" si="136"/>
        <v>14.896133922207119</v>
      </c>
      <c r="D391" s="338">
        <f t="shared" si="137"/>
        <v>1.5036142888767958</v>
      </c>
      <c r="E391" s="338">
        <f t="shared" si="138"/>
        <v>1.0038536330119145</v>
      </c>
      <c r="F391" s="339">
        <f t="shared" si="139"/>
        <v>8.765042116723952E-2</v>
      </c>
      <c r="G391" s="338">
        <f t="shared" si="140"/>
        <v>1</v>
      </c>
      <c r="H391" s="339">
        <f t="shared" si="141"/>
        <v>0</v>
      </c>
      <c r="I391" s="337">
        <f t="shared" si="142"/>
        <v>77207.13473972815</v>
      </c>
      <c r="J391" s="340">
        <f t="shared" si="143"/>
        <v>1.570783374624046</v>
      </c>
      <c r="K391" s="348">
        <f t="shared" si="159"/>
        <v>14.508128427794489</v>
      </c>
      <c r="L391" s="349">
        <f t="shared" si="160"/>
        <v>1.5018147540365057</v>
      </c>
      <c r="M391" s="337">
        <f t="shared" si="144"/>
        <v>1.0519836133484293</v>
      </c>
      <c r="N391" s="340">
        <f t="shared" si="145"/>
        <v>0.31568107823964181</v>
      </c>
      <c r="O391" s="341">
        <f t="shared" si="146"/>
        <v>1.0279357596824497</v>
      </c>
      <c r="P391" s="342">
        <f t="shared" si="147"/>
        <v>0.49839472777431459</v>
      </c>
      <c r="Q391" s="343">
        <f t="shared" si="148"/>
        <v>-4.7888459298487467</v>
      </c>
      <c r="R391" s="344">
        <f t="shared" si="149"/>
        <v>-131.72347248010959</v>
      </c>
      <c r="S391" s="346">
        <f t="shared" si="150"/>
        <v>48.276527519890408</v>
      </c>
      <c r="U391" s="319">
        <f t="shared" si="156"/>
        <v>34279</v>
      </c>
      <c r="V391" s="319">
        <f t="shared" si="157"/>
        <v>1175049841</v>
      </c>
      <c r="X391" s="345">
        <f t="shared" si="151"/>
        <v>22.746124019566921</v>
      </c>
      <c r="Y391" s="346">
        <f t="shared" si="152"/>
        <v>-22.038804358958753</v>
      </c>
      <c r="AA391" s="345">
        <f t="shared" si="153"/>
        <v>36.074151339746955</v>
      </c>
      <c r="AB391" s="346">
        <f t="shared" si="154"/>
        <v>-109.68466812115082</v>
      </c>
      <c r="AD391">
        <f t="shared" si="158"/>
        <v>0</v>
      </c>
      <c r="AE391">
        <f t="shared" si="161"/>
        <v>0</v>
      </c>
    </row>
    <row r="392" spans="1:31" x14ac:dyDescent="0.25">
      <c r="A392" s="347">
        <v>34476.5</v>
      </c>
      <c r="B392" s="364">
        <f t="shared" si="155"/>
        <v>34.476500000000001</v>
      </c>
      <c r="C392" s="337">
        <f t="shared" si="136"/>
        <v>14.981572989321183</v>
      </c>
      <c r="D392" s="338">
        <f t="shared" si="137"/>
        <v>1.5039979967724846</v>
      </c>
      <c r="E392" s="338">
        <f t="shared" si="138"/>
        <v>1.003898080231775</v>
      </c>
      <c r="F392" s="339">
        <f t="shared" si="139"/>
        <v>8.8152818274805617E-2</v>
      </c>
      <c r="G392" s="338">
        <f t="shared" si="140"/>
        <v>1</v>
      </c>
      <c r="H392" s="339">
        <f t="shared" si="141"/>
        <v>0</v>
      </c>
      <c r="I392" s="337">
        <f t="shared" si="142"/>
        <v>77651.967118401561</v>
      </c>
      <c r="J392" s="340">
        <f t="shared" si="143"/>
        <v>1.5707834488210715</v>
      </c>
      <c r="K392" s="348">
        <f t="shared" si="159"/>
        <v>14.591321668943349</v>
      </c>
      <c r="L392" s="349">
        <f t="shared" si="160"/>
        <v>1.5022086760300093</v>
      </c>
      <c r="M392" s="337">
        <f t="shared" si="144"/>
        <v>1.0525693450768554</v>
      </c>
      <c r="N392" s="340">
        <f t="shared" si="145"/>
        <v>0.31738049402734886</v>
      </c>
      <c r="O392" s="341">
        <f t="shared" si="146"/>
        <v>1.0283077626048061</v>
      </c>
      <c r="P392" s="342">
        <f t="shared" si="147"/>
        <v>0.50133461902978049</v>
      </c>
      <c r="Q392" s="343">
        <f t="shared" si="148"/>
        <v>-4.8463516540240654</v>
      </c>
      <c r="R392" s="344">
        <f t="shared" si="149"/>
        <v>-131.95991898639585</v>
      </c>
      <c r="S392" s="346">
        <f t="shared" si="150"/>
        <v>48.040081013604151</v>
      </c>
      <c r="U392" s="319">
        <f t="shared" si="156"/>
        <v>34476.5</v>
      </c>
      <c r="V392" s="319">
        <f t="shared" si="157"/>
        <v>1188629052.25</v>
      </c>
      <c r="X392" s="345">
        <f t="shared" si="151"/>
        <v>22.741053444584892</v>
      </c>
      <c r="Y392" s="346">
        <f t="shared" si="152"/>
        <v>-22.113607894809011</v>
      </c>
      <c r="AA392" s="345">
        <f t="shared" si="153"/>
        <v>36.021716190553668</v>
      </c>
      <c r="AB392" s="346">
        <f t="shared" si="154"/>
        <v>-109.84631109158684</v>
      </c>
      <c r="AD392">
        <f t="shared" si="158"/>
        <v>0</v>
      </c>
      <c r="AE392">
        <f t="shared" si="161"/>
        <v>0</v>
      </c>
    </row>
    <row r="393" spans="1:31" x14ac:dyDescent="0.25">
      <c r="A393" s="347">
        <v>34674</v>
      </c>
      <c r="B393" s="364">
        <f t="shared" si="155"/>
        <v>34.673999999999999</v>
      </c>
      <c r="C393" s="337">
        <f t="shared" si="136"/>
        <v>15.067014237182237</v>
      </c>
      <c r="D393" s="338">
        <f t="shared" si="137"/>
        <v>1.5043773529015789</v>
      </c>
      <c r="E393" s="338">
        <f t="shared" si="138"/>
        <v>1.0039427808159023</v>
      </c>
      <c r="F393" s="339">
        <f t="shared" si="139"/>
        <v>8.8655170770663289E-2</v>
      </c>
      <c r="G393" s="338">
        <f t="shared" si="140"/>
        <v>1</v>
      </c>
      <c r="H393" s="339">
        <f t="shared" si="141"/>
        <v>0</v>
      </c>
      <c r="I393" s="337">
        <f t="shared" si="142"/>
        <v>78096.799497075364</v>
      </c>
      <c r="J393" s="340">
        <f t="shared" si="143"/>
        <v>1.5707835221728574</v>
      </c>
      <c r="K393" s="348">
        <f t="shared" si="159"/>
        <v>14.674517148621023</v>
      </c>
      <c r="L393" s="349">
        <f t="shared" si="160"/>
        <v>1.5025981314929091</v>
      </c>
      <c r="M393" s="337">
        <f t="shared" si="144"/>
        <v>1.0531581132538772</v>
      </c>
      <c r="N393" s="340">
        <f t="shared" si="145"/>
        <v>0.31907801459573876</v>
      </c>
      <c r="O393" s="341">
        <f t="shared" si="146"/>
        <v>1.0286830018896349</v>
      </c>
      <c r="P393" s="342">
        <f t="shared" si="147"/>
        <v>0.50427538689332463</v>
      </c>
      <c r="Q393" s="343">
        <f t="shared" si="148"/>
        <v>-4.903618499107397</v>
      </c>
      <c r="R393" s="344">
        <f t="shared" si="149"/>
        <v>-132.19631621368444</v>
      </c>
      <c r="S393" s="346">
        <f t="shared" si="150"/>
        <v>47.80368378631556</v>
      </c>
      <c r="U393" s="319">
        <f t="shared" si="156"/>
        <v>34674</v>
      </c>
      <c r="V393" s="319">
        <f t="shared" si="157"/>
        <v>1202286276</v>
      </c>
      <c r="X393" s="345">
        <f t="shared" si="151"/>
        <v>22.735964520304549</v>
      </c>
      <c r="Y393" s="346">
        <f t="shared" si="152"/>
        <v>-22.188558707515334</v>
      </c>
      <c r="AA393" s="345">
        <f t="shared" si="153"/>
        <v>35.969538269750679</v>
      </c>
      <c r="AB393" s="346">
        <f t="shared" si="154"/>
        <v>-110.00775750616911</v>
      </c>
      <c r="AD393">
        <f t="shared" si="158"/>
        <v>0</v>
      </c>
      <c r="AE393">
        <f t="shared" si="161"/>
        <v>0</v>
      </c>
    </row>
    <row r="394" spans="1:31" x14ac:dyDescent="0.25">
      <c r="A394" s="347">
        <v>34875.75</v>
      </c>
      <c r="B394" s="364">
        <f t="shared" si="155"/>
        <v>34.875749999999996</v>
      </c>
      <c r="C394" s="337">
        <f t="shared" si="136"/>
        <v>15.154296307459514</v>
      </c>
      <c r="D394" s="338">
        <f t="shared" si="137"/>
        <v>1.5047604555803</v>
      </c>
      <c r="E394" s="338">
        <f t="shared" si="138"/>
        <v>1.0039887048772826</v>
      </c>
      <c r="F394" s="339">
        <f t="shared" si="139"/>
        <v>8.9168287064033791E-2</v>
      </c>
      <c r="G394" s="338">
        <f t="shared" si="140"/>
        <v>1</v>
      </c>
      <c r="H394" s="339">
        <f t="shared" si="141"/>
        <v>0</v>
      </c>
      <c r="I394" s="337">
        <f t="shared" si="142"/>
        <v>78551.204218075523</v>
      </c>
      <c r="J394" s="340">
        <f t="shared" si="143"/>
        <v>1.5707835962453145</v>
      </c>
      <c r="K394" s="348">
        <f t="shared" si="159"/>
        <v>14.759505182711186</v>
      </c>
      <c r="L394" s="349">
        <f t="shared" si="160"/>
        <v>1.5029914343284954</v>
      </c>
      <c r="M394" s="337">
        <f t="shared" si="144"/>
        <v>1.0537626809964651</v>
      </c>
      <c r="N394" s="340">
        <f t="shared" si="145"/>
        <v>0.32081010039372426</v>
      </c>
      <c r="O394" s="341">
        <f t="shared" si="146"/>
        <v>1.0290696759007032</v>
      </c>
      <c r="P394" s="342">
        <f t="shared" si="147"/>
        <v>0.50728033871256273</v>
      </c>
      <c r="Q394" s="343">
        <f t="shared" si="148"/>
        <v>-4.9618744366700964</v>
      </c>
      <c r="R394" s="344">
        <f t="shared" si="149"/>
        <v>-132.43774889691284</v>
      </c>
      <c r="S394" s="346">
        <f t="shared" si="150"/>
        <v>47.562251103087164</v>
      </c>
      <c r="U394" s="319">
        <f t="shared" si="156"/>
        <v>34875.75</v>
      </c>
      <c r="V394" s="319">
        <f t="shared" si="157"/>
        <v>1216317938.0625</v>
      </c>
      <c r="X394" s="345">
        <f t="shared" si="151"/>
        <v>22.730747132178092</v>
      </c>
      <c r="Y394" s="346">
        <f t="shared" si="152"/>
        <v>-22.265269565071655</v>
      </c>
      <c r="AA394" s="345">
        <f t="shared" si="153"/>
        <v>35.916499720314441</v>
      </c>
      <c r="AB394" s="346">
        <f t="shared" si="154"/>
        <v>-110.17247933184119</v>
      </c>
      <c r="AD394">
        <f t="shared" si="158"/>
        <v>0</v>
      </c>
      <c r="AE394">
        <f t="shared" si="161"/>
        <v>0</v>
      </c>
    </row>
    <row r="395" spans="1:31" x14ac:dyDescent="0.25">
      <c r="A395" s="347">
        <v>35077.5</v>
      </c>
      <c r="B395" s="364">
        <f t="shared" si="155"/>
        <v>35.077500000000001</v>
      </c>
      <c r="C395" s="337">
        <f t="shared" si="136"/>
        <v>15.241580576423599</v>
      </c>
      <c r="D395" s="338">
        <f t="shared" si="137"/>
        <v>1.5051391704702968</v>
      </c>
      <c r="E395" s="338">
        <f t="shared" si="138"/>
        <v>1.004034893252951</v>
      </c>
      <c r="F395" s="339">
        <f t="shared" si="139"/>
        <v>8.9681356282948266E-2</v>
      </c>
      <c r="G395" s="338">
        <f t="shared" si="140"/>
        <v>1</v>
      </c>
      <c r="H395" s="339">
        <f t="shared" si="141"/>
        <v>0</v>
      </c>
      <c r="I395" s="337">
        <f t="shared" si="142"/>
        <v>79005.60893907609</v>
      </c>
      <c r="J395" s="340">
        <f t="shared" si="143"/>
        <v>1.5707836694657087</v>
      </c>
      <c r="K395" s="348">
        <f t="shared" si="159"/>
        <v>14.84449547376393</v>
      </c>
      <c r="L395" s="349">
        <f t="shared" si="160"/>
        <v>1.5033802336118542</v>
      </c>
      <c r="M395" s="337">
        <f t="shared" si="144"/>
        <v>1.0543704065238331</v>
      </c>
      <c r="N395" s="340">
        <f t="shared" si="145"/>
        <v>0.3225401946733219</v>
      </c>
      <c r="O395" s="341">
        <f t="shared" si="146"/>
        <v>1.0294597644121881</v>
      </c>
      <c r="P395" s="342">
        <f t="shared" si="147"/>
        <v>0.51028619803826714</v>
      </c>
      <c r="Q395" s="343">
        <f t="shared" si="148"/>
        <v>-5.0198879680590727</v>
      </c>
      <c r="R395" s="344">
        <f t="shared" si="149"/>
        <v>-132.67912875194133</v>
      </c>
      <c r="S395" s="346">
        <f t="shared" si="150"/>
        <v>47.320871248058666</v>
      </c>
      <c r="U395" s="319">
        <f t="shared" si="156"/>
        <v>35077.5</v>
      </c>
      <c r="V395" s="319">
        <f t="shared" si="157"/>
        <v>1230431006.25</v>
      </c>
      <c r="X395" s="345">
        <f t="shared" si="151"/>
        <v>22.725510580097517</v>
      </c>
      <c r="Y395" s="346">
        <f t="shared" si="152"/>
        <v>-22.342124302745532</v>
      </c>
      <c r="AA395" s="345">
        <f t="shared" si="153"/>
        <v>35.863722741006036</v>
      </c>
      <c r="AB395" s="346">
        <f t="shared" si="154"/>
        <v>-110.33700444919577</v>
      </c>
      <c r="AD395">
        <f t="shared" si="158"/>
        <v>0</v>
      </c>
      <c r="AE395">
        <f t="shared" si="161"/>
        <v>0</v>
      </c>
    </row>
    <row r="396" spans="1:31" x14ac:dyDescent="0.25">
      <c r="A396" s="347">
        <v>35279.25</v>
      </c>
      <c r="B396" s="364">
        <f t="shared" si="155"/>
        <v>35.279249999999998</v>
      </c>
      <c r="C396" s="337">
        <f t="shared" si="136"/>
        <v>15.328867006515788</v>
      </c>
      <c r="D396" s="338">
        <f t="shared" si="137"/>
        <v>1.505513572417519</v>
      </c>
      <c r="E396" s="338">
        <f t="shared" si="138"/>
        <v>1.0040813459064315</v>
      </c>
      <c r="F396" s="339">
        <f t="shared" si="139"/>
        <v>9.0194378163801131E-2</v>
      </c>
      <c r="G396" s="338">
        <f t="shared" si="140"/>
        <v>1</v>
      </c>
      <c r="H396" s="339">
        <f t="shared" si="141"/>
        <v>0</v>
      </c>
      <c r="I396" s="337">
        <f t="shared" si="142"/>
        <v>79460.013660077093</v>
      </c>
      <c r="J396" s="340">
        <f t="shared" si="143"/>
        <v>1.5707837418486581</v>
      </c>
      <c r="K396" s="348">
        <f t="shared" si="159"/>
        <v>14.929487983234081</v>
      </c>
      <c r="L396" s="349">
        <f t="shared" si="160"/>
        <v>1.503764606139629</v>
      </c>
      <c r="M396" s="337">
        <f t="shared" si="144"/>
        <v>1.0549812843788233</v>
      </c>
      <c r="N396" s="340">
        <f t="shared" si="145"/>
        <v>0.32426829052804512</v>
      </c>
      <c r="O396" s="341">
        <f t="shared" si="146"/>
        <v>1.0298532864028629</v>
      </c>
      <c r="P396" s="342">
        <f t="shared" si="147"/>
        <v>0.51329296100115718</v>
      </c>
      <c r="Q396" s="343">
        <f t="shared" si="148"/>
        <v>-5.0776624742372221</v>
      </c>
      <c r="R396" s="344">
        <f t="shared" si="149"/>
        <v>-132.92045506553842</v>
      </c>
      <c r="S396" s="346">
        <f t="shared" si="150"/>
        <v>47.07954493446158</v>
      </c>
      <c r="U396" s="319">
        <f t="shared" si="156"/>
        <v>35279.25</v>
      </c>
      <c r="V396" s="319">
        <f t="shared" si="157"/>
        <v>1244625480.5625</v>
      </c>
      <c r="X396" s="345">
        <f t="shared" si="151"/>
        <v>22.720254859985779</v>
      </c>
      <c r="Y396" s="346">
        <f t="shared" si="152"/>
        <v>-22.419118125538446</v>
      </c>
      <c r="AA396" s="345">
        <f t="shared" si="153"/>
        <v>35.811203954939621</v>
      </c>
      <c r="AB396" s="346">
        <f t="shared" si="154"/>
        <v>-110.50133693999999</v>
      </c>
      <c r="AD396">
        <f t="shared" si="158"/>
        <v>0</v>
      </c>
      <c r="AE396">
        <f t="shared" si="161"/>
        <v>0</v>
      </c>
    </row>
    <row r="397" spans="1:31" x14ac:dyDescent="0.25">
      <c r="A397" s="347">
        <v>35481</v>
      </c>
      <c r="B397" s="364">
        <f t="shared" si="155"/>
        <v>35.481000000000002</v>
      </c>
      <c r="C397" s="337">
        <f t="shared" ref="C397:C460" si="162">SQRT(1+(A397/pole1)^2)</f>
        <v>15.416155561027097</v>
      </c>
      <c r="D397" s="338">
        <f t="shared" ref="D397:D460" si="163">ATAN(A397/pole1)</f>
        <v>1.505883734577661</v>
      </c>
      <c r="E397" s="338">
        <f t="shared" ref="E397:E460" si="164">SQRT(1+(A397/Zero1)^2)</f>
        <v>1.0041280628010461</v>
      </c>
      <c r="F397" s="339">
        <f t="shared" ref="F397:F460" si="165">ATAN(A397/Zero1)</f>
        <v>9.0707352443135034E-2</v>
      </c>
      <c r="G397" s="338">
        <f t="shared" ref="G397:G460" si="166">IF(VIN_nom&gt;Vout, 1, SQRT(1+(A397/z_RHP)^2))</f>
        <v>1</v>
      </c>
      <c r="H397" s="339">
        <f t="shared" ref="H397:H460" si="167">IF(VIN_nom&gt;Vout, 0, -ATAN(A397/z_RHP))</f>
        <v>0</v>
      </c>
      <c r="I397" s="337">
        <f t="shared" ref="I397:I460" si="168">SQRT(1+(A397/Pole2)^2)</f>
        <v>79914.418381078503</v>
      </c>
      <c r="J397" s="340">
        <f t="shared" ref="J397:J460" si="169">ATAN(A397/Pole2)</f>
        <v>1.570783813408448</v>
      </c>
      <c r="K397" s="348">
        <f t="shared" si="159"/>
        <v>15.014482673448239</v>
      </c>
      <c r="L397" s="349">
        <f t="shared" si="160"/>
        <v>1.5041446269748266</v>
      </c>
      <c r="M397" s="337">
        <f t="shared" ref="M397:M460" si="170">SQRT(1+(A397/pole4)^2)</f>
        <v>1.0555953090886365</v>
      </c>
      <c r="N397" s="340">
        <f t="shared" ref="N397:N460" si="171">ATAN(A397/pole4)</f>
        <v>0.32599438111509621</v>
      </c>
      <c r="O397" s="341">
        <f t="shared" ref="O397:O460" si="172">SQRT((1-(V397/pterm2))^2+(A397/pterm1)^2)</f>
        <v>1.0302502609201034</v>
      </c>
      <c r="P397" s="342">
        <f t="shared" ref="P397:P460" si="173">IF((ATAN((A397/pterm1)/(1-A397^2/pterm2))&gt;0),ATAN((A397/pterm1)/(1-A397^2/pterm2)),PI()+ATAN((A397/pterm1)/(1-A397^2/pterm2)))</f>
        <v>0.51630062358814066</v>
      </c>
      <c r="Q397" s="343">
        <f t="shared" ref="Q397:Q460" si="174">20*LOG10(((E397*K397*G397)/(C397*I397*O397*M397))*Adc)</f>
        <v>-5.1352012789386903</v>
      </c>
      <c r="R397" s="344">
        <f t="shared" ref="R397:R460" si="175">((F397+L397+H397)-(D397+J397+P397+N397))*radconv</f>
        <v>-133.16172712234004</v>
      </c>
      <c r="S397" s="346">
        <f t="shared" ref="S397:S460" si="176">IF(R397&gt;0,R397,R397+180)</f>
        <v>46.838272877659961</v>
      </c>
      <c r="U397" s="319">
        <f t="shared" si="156"/>
        <v>35481</v>
      </c>
      <c r="V397" s="319">
        <f t="shared" si="157"/>
        <v>1258901361</v>
      </c>
      <c r="X397" s="345">
        <f t="shared" ref="X397:X460" si="177">20*LOG10((K397/(I397*M397))*AEA)</f>
        <v>22.714979970484706</v>
      </c>
      <c r="Y397" s="346">
        <f t="shared" ref="Y397:Y460" si="178">(L397-(J397+N397))*radconv</f>
        <v>-22.496246341411943</v>
      </c>
      <c r="AA397" s="345">
        <f t="shared" ref="AA397:AA460" si="179">20*LOG10((E397*G397/(C397*O397))*Acs*Am)</f>
        <v>35.75894003973923</v>
      </c>
      <c r="AB397" s="346">
        <f t="shared" ref="AB397:AB460" si="180">(F397+H397-(D397+P397))*radconv</f>
        <v>-110.66548078092809</v>
      </c>
      <c r="AD397">
        <f t="shared" si="158"/>
        <v>0</v>
      </c>
      <c r="AE397">
        <f t="shared" si="161"/>
        <v>0</v>
      </c>
    </row>
    <row r="398" spans="1:31" x14ac:dyDescent="0.25">
      <c r="A398" s="347">
        <v>35687.75</v>
      </c>
      <c r="B398" s="364">
        <f t="shared" ref="B398:B461" si="181">A398/1000</f>
        <v>35.687750000000001</v>
      </c>
      <c r="C398" s="337">
        <f t="shared" si="162"/>
        <v>15.505609567172202</v>
      </c>
      <c r="D398" s="338">
        <f t="shared" si="163"/>
        <v>1.5062587466149266</v>
      </c>
      <c r="E398" s="338">
        <f t="shared" si="164"/>
        <v>1.0041762115941433</v>
      </c>
      <c r="F398" s="339">
        <f t="shared" si="165"/>
        <v>9.1232990178532827E-2</v>
      </c>
      <c r="G398" s="338">
        <f t="shared" si="166"/>
        <v>1</v>
      </c>
      <c r="H398" s="339">
        <f t="shared" si="167"/>
        <v>0</v>
      </c>
      <c r="I398" s="337">
        <f t="shared" si="168"/>
        <v>80380.084681287291</v>
      </c>
      <c r="J398" s="340">
        <f t="shared" si="169"/>
        <v>1.5707838859023049</v>
      </c>
      <c r="K398" s="348">
        <f t="shared" si="159"/>
        <v>15.101586023568867</v>
      </c>
      <c r="L398" s="349">
        <f t="shared" si="160"/>
        <v>1.50452962786698</v>
      </c>
      <c r="M398" s="337">
        <f t="shared" si="170"/>
        <v>1.056227810326978</v>
      </c>
      <c r="N398" s="340">
        <f t="shared" si="171"/>
        <v>0.32776116214001999</v>
      </c>
      <c r="O398" s="341">
        <f t="shared" si="172"/>
        <v>1.0306606756448509</v>
      </c>
      <c r="P398" s="342">
        <f t="shared" si="173"/>
        <v>0.51938375451455798</v>
      </c>
      <c r="Q398" s="343">
        <f t="shared" si="174"/>
        <v>-5.193924958254275</v>
      </c>
      <c r="R398" s="344">
        <f t="shared" si="175"/>
        <v>-133.40892161901806</v>
      </c>
      <c r="S398" s="346">
        <f t="shared" si="176"/>
        <v>46.591078380981941</v>
      </c>
      <c r="U398" s="319">
        <f t="shared" ref="U398:U461" si="182">IF(Q398&lt;0,A398,1000000000)</f>
        <v>35687.75</v>
      </c>
      <c r="V398" s="319">
        <f t="shared" ref="V398:V461" si="183">A398^2</f>
        <v>1273615500.0625</v>
      </c>
      <c r="X398" s="345">
        <f t="shared" si="177"/>
        <v>22.709554466071747</v>
      </c>
      <c r="Y398" s="346">
        <f t="shared" si="178"/>
        <v>-22.575420664917232</v>
      </c>
      <c r="AA398" s="345">
        <f t="shared" si="179"/>
        <v>35.705641864836601</v>
      </c>
      <c r="AB398" s="346">
        <f t="shared" si="180"/>
        <v>-110.83350095410086</v>
      </c>
      <c r="AD398">
        <f t="shared" ref="AD398:AD461" si="184">SUM((Q399&lt;0)*(Q398&gt;0))*A398</f>
        <v>0</v>
      </c>
      <c r="AE398">
        <f t="shared" si="161"/>
        <v>0</v>
      </c>
    </row>
    <row r="399" spans="1:31" x14ac:dyDescent="0.25">
      <c r="A399" s="347">
        <v>35894.5</v>
      </c>
      <c r="B399" s="364">
        <f t="shared" si="181"/>
        <v>35.894500000000001</v>
      </c>
      <c r="C399" s="337">
        <f t="shared" si="162"/>
        <v>15.595065728917232</v>
      </c>
      <c r="D399" s="338">
        <f t="shared" si="163"/>
        <v>1.5066294564279628</v>
      </c>
      <c r="E399" s="338">
        <f t="shared" si="164"/>
        <v>1.0042246378094859</v>
      </c>
      <c r="F399" s="339">
        <f t="shared" si="165"/>
        <v>9.1758577364012314E-2</v>
      </c>
      <c r="G399" s="338">
        <f t="shared" si="166"/>
        <v>1</v>
      </c>
      <c r="H399" s="339">
        <f t="shared" si="167"/>
        <v>0</v>
      </c>
      <c r="I399" s="337">
        <f t="shared" si="168"/>
        <v>80845.750981496516</v>
      </c>
      <c r="J399" s="340">
        <f t="shared" si="169"/>
        <v>1.5707839575610423</v>
      </c>
      <c r="K399" s="348">
        <f t="shared" si="159"/>
        <v>15.188691586458447</v>
      </c>
      <c r="L399" s="349">
        <f t="shared" si="160"/>
        <v>1.5049102129350445</v>
      </c>
      <c r="M399" s="337">
        <f t="shared" si="170"/>
        <v>1.0568636046441251</v>
      </c>
      <c r="N399" s="340">
        <f t="shared" si="171"/>
        <v>0.32952582292649574</v>
      </c>
      <c r="O399" s="341">
        <f t="shared" si="172"/>
        <v>1.0310747568653769</v>
      </c>
      <c r="P399" s="342">
        <f t="shared" si="173"/>
        <v>0.52246782121076107</v>
      </c>
      <c r="Q399" s="343">
        <f t="shared" si="174"/>
        <v>-5.2524079972728233</v>
      </c>
      <c r="R399" s="344">
        <f t="shared" si="175"/>
        <v>-133.65605760788142</v>
      </c>
      <c r="S399" s="346">
        <f t="shared" si="176"/>
        <v>46.343942392118578</v>
      </c>
      <c r="U399" s="319">
        <f t="shared" si="182"/>
        <v>35894.5</v>
      </c>
      <c r="V399" s="319">
        <f t="shared" si="183"/>
        <v>1288415130.25</v>
      </c>
      <c r="X399" s="345">
        <f t="shared" si="177"/>
        <v>22.704108835820449</v>
      </c>
      <c r="Y399" s="346">
        <f t="shared" si="178"/>
        <v>-22.654726467942563</v>
      </c>
      <c r="AA399" s="345">
        <f t="shared" si="179"/>
        <v>35.652604456069355</v>
      </c>
      <c r="AB399" s="346">
        <f t="shared" si="180"/>
        <v>-111.00133113993884</v>
      </c>
      <c r="AD399">
        <f t="shared" si="184"/>
        <v>0</v>
      </c>
      <c r="AE399">
        <f t="shared" si="161"/>
        <v>0</v>
      </c>
    </row>
    <row r="400" spans="1:31" x14ac:dyDescent="0.25">
      <c r="A400" s="347">
        <v>36101.25</v>
      </c>
      <c r="B400" s="364">
        <f t="shared" si="181"/>
        <v>36.10125</v>
      </c>
      <c r="C400" s="337">
        <f t="shared" si="162"/>
        <v>15.684524009379011</v>
      </c>
      <c r="D400" s="338">
        <f t="shared" si="163"/>
        <v>1.50699593752852</v>
      </c>
      <c r="E400" s="338">
        <f t="shared" si="164"/>
        <v>1.004273341406942</v>
      </c>
      <c r="F400" s="339">
        <f t="shared" si="165"/>
        <v>9.2284113716528768E-2</v>
      </c>
      <c r="G400" s="338">
        <f t="shared" si="166"/>
        <v>1</v>
      </c>
      <c r="H400" s="339">
        <f t="shared" si="167"/>
        <v>0</v>
      </c>
      <c r="I400" s="337">
        <f t="shared" si="168"/>
        <v>81311.417281706134</v>
      </c>
      <c r="J400" s="340">
        <f t="shared" si="169"/>
        <v>1.5707840283990075</v>
      </c>
      <c r="K400" s="348">
        <f t="shared" si="159"/>
        <v>15.275799324264066</v>
      </c>
      <c r="L400" s="349">
        <f t="shared" si="160"/>
        <v>1.5052864576093499</v>
      </c>
      <c r="M400" s="337">
        <f t="shared" si="170"/>
        <v>1.0575026861004597</v>
      </c>
      <c r="N400" s="340">
        <f t="shared" si="171"/>
        <v>0.33128835631826548</v>
      </c>
      <c r="O400" s="341">
        <f t="shared" si="172"/>
        <v>1.031492525299754</v>
      </c>
      <c r="P400" s="342">
        <f t="shared" si="173"/>
        <v>0.52555281888568528</v>
      </c>
      <c r="Q400" s="343">
        <f t="shared" si="174"/>
        <v>-5.3106537943226524</v>
      </c>
      <c r="R400" s="344">
        <f t="shared" si="175"/>
        <v>-133.90313431151168</v>
      </c>
      <c r="S400" s="346">
        <f t="shared" si="176"/>
        <v>46.096865688488322</v>
      </c>
      <c r="U400" s="319">
        <f t="shared" si="182"/>
        <v>36101.25</v>
      </c>
      <c r="V400" s="319">
        <f t="shared" si="183"/>
        <v>1303300251.5625</v>
      </c>
      <c r="X400" s="345">
        <f t="shared" si="177"/>
        <v>22.698643086574592</v>
      </c>
      <c r="Y400" s="346">
        <f t="shared" si="178"/>
        <v>-22.734159019447088</v>
      </c>
      <c r="AA400" s="345">
        <f t="shared" si="179"/>
        <v>35.599824408265384</v>
      </c>
      <c r="AB400" s="346">
        <f t="shared" si="180"/>
        <v>-111.1689752920646</v>
      </c>
      <c r="AD400">
        <f t="shared" si="184"/>
        <v>0</v>
      </c>
      <c r="AE400">
        <f t="shared" si="161"/>
        <v>0</v>
      </c>
    </row>
    <row r="401" spans="1:31" x14ac:dyDescent="0.25">
      <c r="A401" s="347">
        <v>36308</v>
      </c>
      <c r="B401" s="364">
        <f t="shared" si="181"/>
        <v>36.308</v>
      </c>
      <c r="C401" s="337">
        <f t="shared" si="162"/>
        <v>15.773984372510188</v>
      </c>
      <c r="D401" s="338">
        <f t="shared" si="163"/>
        <v>1.5073582617652974</v>
      </c>
      <c r="E401" s="338">
        <f t="shared" si="164"/>
        <v>1.0043223223461573</v>
      </c>
      <c r="F401" s="339">
        <f t="shared" si="165"/>
        <v>9.280959895320455E-2</v>
      </c>
      <c r="G401" s="338">
        <f t="shared" si="166"/>
        <v>1</v>
      </c>
      <c r="H401" s="339">
        <f t="shared" si="167"/>
        <v>0</v>
      </c>
      <c r="I401" s="337">
        <f t="shared" si="168"/>
        <v>81777.083581916158</v>
      </c>
      <c r="J401" s="340">
        <f t="shared" si="169"/>
        <v>1.5707840984302226</v>
      </c>
      <c r="K401" s="348">
        <f t="shared" si="159"/>
        <v>15.362909199990382</v>
      </c>
      <c r="L401" s="349">
        <f t="shared" si="160"/>
        <v>1.5056584356144034</v>
      </c>
      <c r="M401" s="337">
        <f t="shared" si="170"/>
        <v>1.0581450487400412</v>
      </c>
      <c r="N401" s="340">
        <f t="shared" si="171"/>
        <v>0.33304875522918498</v>
      </c>
      <c r="O401" s="341">
        <f t="shared" si="172"/>
        <v>1.0319140017382533</v>
      </c>
      <c r="P401" s="342">
        <f t="shared" si="173"/>
        <v>0.52863874258829868</v>
      </c>
      <c r="Q401" s="343">
        <f t="shared" si="174"/>
        <v>-5.3686656901356038</v>
      </c>
      <c r="R401" s="344">
        <f t="shared" si="175"/>
        <v>-134.15015094976471</v>
      </c>
      <c r="S401" s="346">
        <f t="shared" si="176"/>
        <v>45.849849050235292</v>
      </c>
      <c r="U401" s="319">
        <f t="shared" si="182"/>
        <v>36308</v>
      </c>
      <c r="V401" s="319">
        <f t="shared" si="183"/>
        <v>1318270864</v>
      </c>
      <c r="X401" s="345">
        <f t="shared" si="177"/>
        <v>22.693157227795471</v>
      </c>
      <c r="Y401" s="346">
        <f t="shared" si="178"/>
        <v>-22.813713690124896</v>
      </c>
      <c r="AA401" s="345">
        <f t="shared" si="179"/>
        <v>35.547298371231555</v>
      </c>
      <c r="AB401" s="346">
        <f t="shared" si="180"/>
        <v>-111.33643725963978</v>
      </c>
      <c r="AD401">
        <f t="shared" si="184"/>
        <v>0</v>
      </c>
      <c r="AE401">
        <f t="shared" si="161"/>
        <v>0</v>
      </c>
    </row>
    <row r="402" spans="1:31" x14ac:dyDescent="0.25">
      <c r="A402" s="347">
        <v>36519.5</v>
      </c>
      <c r="B402" s="364">
        <f t="shared" si="181"/>
        <v>36.519500000000001</v>
      </c>
      <c r="C402" s="337">
        <f t="shared" si="162"/>
        <v>15.865502170586339</v>
      </c>
      <c r="D402" s="338">
        <f t="shared" si="163"/>
        <v>1.5077246822630108</v>
      </c>
      <c r="E402" s="338">
        <f t="shared" si="164"/>
        <v>1.0043727155335755</v>
      </c>
      <c r="F402" s="339">
        <f t="shared" si="165"/>
        <v>9.3347103821037447E-2</v>
      </c>
      <c r="G402" s="338">
        <f t="shared" si="166"/>
        <v>1</v>
      </c>
      <c r="H402" s="339">
        <f t="shared" si="167"/>
        <v>0</v>
      </c>
      <c r="I402" s="337">
        <f t="shared" si="168"/>
        <v>82253.448382373259</v>
      </c>
      <c r="J402" s="340">
        <f t="shared" si="169"/>
        <v>1.5707841692498976</v>
      </c>
      <c r="K402" s="348">
        <f t="shared" si="159"/>
        <v>15.452022565340931</v>
      </c>
      <c r="L402" s="349">
        <f t="shared" si="160"/>
        <v>1.5060346199655692</v>
      </c>
      <c r="M402" s="337">
        <f t="shared" si="170"/>
        <v>1.0588055583070439</v>
      </c>
      <c r="N402" s="340">
        <f t="shared" si="171"/>
        <v>0.33484738269591718</v>
      </c>
      <c r="O402" s="341">
        <f t="shared" si="172"/>
        <v>1.0323490199516716</v>
      </c>
      <c r="P402" s="342">
        <f t="shared" si="173"/>
        <v>0.53179651702975284</v>
      </c>
      <c r="Q402" s="343">
        <f t="shared" si="174"/>
        <v>-5.4277717869902702</v>
      </c>
      <c r="R402" s="344">
        <f t="shared" si="175"/>
        <v>-134.40277973064229</v>
      </c>
      <c r="S402" s="346">
        <f t="shared" si="176"/>
        <v>45.597220269357706</v>
      </c>
      <c r="U402" s="319">
        <f t="shared" si="182"/>
        <v>36519.5</v>
      </c>
      <c r="V402" s="319">
        <f t="shared" si="183"/>
        <v>1333673880.25</v>
      </c>
      <c r="X402" s="345">
        <f t="shared" si="177"/>
        <v>22.68752453823074</v>
      </c>
      <c r="Y402" s="346">
        <f t="shared" si="178"/>
        <v>-22.895217735005911</v>
      </c>
      <c r="AA402" s="345">
        <f t="shared" si="179"/>
        <v>35.49382496394162</v>
      </c>
      <c r="AB402" s="346">
        <f t="shared" si="180"/>
        <v>-111.50756199563642</v>
      </c>
      <c r="AD402">
        <f t="shared" si="184"/>
        <v>0</v>
      </c>
      <c r="AE402">
        <f t="shared" si="161"/>
        <v>0</v>
      </c>
    </row>
    <row r="403" spans="1:31" x14ac:dyDescent="0.25">
      <c r="A403" s="347">
        <v>36731</v>
      </c>
      <c r="B403" s="364">
        <f t="shared" si="181"/>
        <v>36.731000000000002</v>
      </c>
      <c r="C403" s="337">
        <f t="shared" si="162"/>
        <v>15.957022074393668</v>
      </c>
      <c r="D403" s="338">
        <f t="shared" si="163"/>
        <v>1.5080868996726757</v>
      </c>
      <c r="E403" s="338">
        <f t="shared" si="164"/>
        <v>1.0044233988666387</v>
      </c>
      <c r="F403" s="339">
        <f t="shared" si="165"/>
        <v>9.3884554599004397E-2</v>
      </c>
      <c r="G403" s="338">
        <f t="shared" si="166"/>
        <v>1</v>
      </c>
      <c r="H403" s="339">
        <f t="shared" si="167"/>
        <v>0</v>
      </c>
      <c r="I403" s="337">
        <f t="shared" si="168"/>
        <v>82729.813182830767</v>
      </c>
      <c r="J403" s="340">
        <f t="shared" si="169"/>
        <v>1.5707842392540023</v>
      </c>
      <c r="K403" s="348">
        <f t="shared" si="159"/>
        <v>15.541138092302042</v>
      </c>
      <c r="L403" s="349">
        <f t="shared" si="160"/>
        <v>1.5064064901588576</v>
      </c>
      <c r="M403" s="337">
        <f t="shared" si="170"/>
        <v>1.0594694888970067</v>
      </c>
      <c r="N403" s="340">
        <f t="shared" si="171"/>
        <v>0.33664376170053395</v>
      </c>
      <c r="O403" s="341">
        <f t="shared" si="172"/>
        <v>1.0327879627467003</v>
      </c>
      <c r="P403" s="342">
        <f t="shared" si="173"/>
        <v>0.53495524954278439</v>
      </c>
      <c r="Q403" s="343">
        <f t="shared" si="174"/>
        <v>-5.4866400049030624</v>
      </c>
      <c r="R403" s="344">
        <f t="shared" si="175"/>
        <v>-134.65534399381283</v>
      </c>
      <c r="S403" s="346">
        <f t="shared" si="176"/>
        <v>45.344656006187165</v>
      </c>
      <c r="U403" s="319">
        <f t="shared" si="182"/>
        <v>36731</v>
      </c>
      <c r="V403" s="319">
        <f t="shared" si="183"/>
        <v>1349166361</v>
      </c>
      <c r="X403" s="345">
        <f t="shared" si="177"/>
        <v>22.681870832543449</v>
      </c>
      <c r="Y403" s="346">
        <f t="shared" si="178"/>
        <v>-22.976840088807236</v>
      </c>
      <c r="AA403" s="345">
        <f t="shared" si="179"/>
        <v>35.440610451716111</v>
      </c>
      <c r="AB403" s="346">
        <f t="shared" si="180"/>
        <v>-111.67850390500564</v>
      </c>
      <c r="AD403">
        <f t="shared" si="184"/>
        <v>0</v>
      </c>
      <c r="AE403">
        <f t="shared" si="161"/>
        <v>0</v>
      </c>
    </row>
    <row r="404" spans="1:31" x14ac:dyDescent="0.25">
      <c r="A404" s="347">
        <v>36942.5</v>
      </c>
      <c r="B404" s="364">
        <f t="shared" si="181"/>
        <v>36.942500000000003</v>
      </c>
      <c r="C404" s="337">
        <f t="shared" si="162"/>
        <v>16.048544047907164</v>
      </c>
      <c r="D404" s="338">
        <f t="shared" si="163"/>
        <v>1.5084449858067983</v>
      </c>
      <c r="E404" s="338">
        <f t="shared" si="164"/>
        <v>1.0044743723014267</v>
      </c>
      <c r="F404" s="339">
        <f t="shared" si="165"/>
        <v>9.4421950984827821E-2</v>
      </c>
      <c r="G404" s="338">
        <f t="shared" si="166"/>
        <v>1</v>
      </c>
      <c r="H404" s="339">
        <f t="shared" si="167"/>
        <v>0</v>
      </c>
      <c r="I404" s="337">
        <f t="shared" si="168"/>
        <v>83206.177983288682</v>
      </c>
      <c r="J404" s="340">
        <f t="shared" si="169"/>
        <v>1.570784308456544</v>
      </c>
      <c r="K404" s="348">
        <f t="shared" si="159"/>
        <v>15.630255743900609</v>
      </c>
      <c r="L404" s="349">
        <f t="shared" si="160"/>
        <v>1.5067741198834901</v>
      </c>
      <c r="M404" s="337">
        <f t="shared" si="170"/>
        <v>1.0601368340824902</v>
      </c>
      <c r="N404" s="340">
        <f t="shared" si="171"/>
        <v>0.33843788488463478</v>
      </c>
      <c r="O404" s="341">
        <f t="shared" si="172"/>
        <v>1.0332308526083946</v>
      </c>
      <c r="P404" s="342">
        <f t="shared" si="173"/>
        <v>0.53811493430560919</v>
      </c>
      <c r="Q404" s="343">
        <f t="shared" si="174"/>
        <v>-5.5452737414476507</v>
      </c>
      <c r="R404" s="344">
        <f t="shared" si="175"/>
        <v>-134.90784289470125</v>
      </c>
      <c r="S404" s="346">
        <f t="shared" si="176"/>
        <v>45.092157105298753</v>
      </c>
      <c r="U404" s="319">
        <f t="shared" si="182"/>
        <v>36942.5</v>
      </c>
      <c r="V404" s="319">
        <f t="shared" si="183"/>
        <v>1364748306.25</v>
      </c>
      <c r="X404" s="345">
        <f t="shared" si="177"/>
        <v>22.676196128804811</v>
      </c>
      <c r="Y404" s="346">
        <f t="shared" si="178"/>
        <v>-23.058576108644754</v>
      </c>
      <c r="AA404" s="345">
        <f t="shared" si="179"/>
        <v>35.38765141891016</v>
      </c>
      <c r="AB404" s="346">
        <f t="shared" si="180"/>
        <v>-111.84926678605652</v>
      </c>
      <c r="AD404">
        <f t="shared" si="184"/>
        <v>0</v>
      </c>
      <c r="AE404">
        <f t="shared" si="161"/>
        <v>0</v>
      </c>
    </row>
    <row r="405" spans="1:31" x14ac:dyDescent="0.25">
      <c r="A405" s="347">
        <v>37154</v>
      </c>
      <c r="B405" s="364">
        <f t="shared" si="181"/>
        <v>37.154000000000003</v>
      </c>
      <c r="C405" s="337">
        <f t="shared" si="162"/>
        <v>16.140068055918139</v>
      </c>
      <c r="D405" s="338">
        <f t="shared" si="163"/>
        <v>1.508799010853296</v>
      </c>
      <c r="E405" s="338">
        <f t="shared" si="164"/>
        <v>1.0045256357937766</v>
      </c>
      <c r="F405" s="339">
        <f t="shared" si="165"/>
        <v>9.4959292676416993E-2</v>
      </c>
      <c r="G405" s="338">
        <f t="shared" si="166"/>
        <v>1</v>
      </c>
      <c r="H405" s="339">
        <f t="shared" si="167"/>
        <v>0</v>
      </c>
      <c r="I405" s="337">
        <f t="shared" si="168"/>
        <v>83682.542783746976</v>
      </c>
      <c r="J405" s="340">
        <f t="shared" si="169"/>
        <v>1.5707843768712118</v>
      </c>
      <c r="K405" s="348">
        <f t="shared" si="159"/>
        <v>15.719375484001086</v>
      </c>
      <c r="L405" s="349">
        <f t="shared" si="160"/>
        <v>1.5071375811622327</v>
      </c>
      <c r="M405" s="337">
        <f t="shared" si="170"/>
        <v>1.0608075874192138</v>
      </c>
      <c r="N405" s="340">
        <f t="shared" si="171"/>
        <v>0.34022974496637781</v>
      </c>
      <c r="O405" s="341">
        <f t="shared" si="172"/>
        <v>1.0336777120968912</v>
      </c>
      <c r="P405" s="342">
        <f t="shared" si="173"/>
        <v>0.54127556531998977</v>
      </c>
      <c r="Q405" s="343">
        <f t="shared" si="174"/>
        <v>-5.6036763366328657</v>
      </c>
      <c r="R405" s="344">
        <f t="shared" si="175"/>
        <v>-135.16027558537886</v>
      </c>
      <c r="S405" s="346">
        <f t="shared" si="176"/>
        <v>44.839724414621145</v>
      </c>
      <c r="U405" s="319">
        <f t="shared" si="182"/>
        <v>37154</v>
      </c>
      <c r="V405" s="319">
        <f t="shared" si="183"/>
        <v>1380419716</v>
      </c>
      <c r="X405" s="345">
        <f t="shared" si="177"/>
        <v>22.67050044758577</v>
      </c>
      <c r="Y405" s="346">
        <f t="shared" si="178"/>
        <v>-23.140421251483453</v>
      </c>
      <c r="AA405" s="345">
        <f t="shared" si="179"/>
        <v>35.334944504943991</v>
      </c>
      <c r="AB405" s="346">
        <f t="shared" si="180"/>
        <v>-112.01985433389538</v>
      </c>
      <c r="AD405">
        <f t="shared" si="184"/>
        <v>0</v>
      </c>
      <c r="AE405">
        <f t="shared" si="161"/>
        <v>0</v>
      </c>
    </row>
    <row r="406" spans="1:31" x14ac:dyDescent="0.25">
      <c r="A406" s="347">
        <v>37370.25</v>
      </c>
      <c r="B406" s="364">
        <f t="shared" si="181"/>
        <v>37.370249999999999</v>
      </c>
      <c r="C406" s="337">
        <f t="shared" si="162"/>
        <v>16.233649635358454</v>
      </c>
      <c r="D406" s="338">
        <f t="shared" si="163"/>
        <v>1.50915685935499</v>
      </c>
      <c r="E406" s="338">
        <f t="shared" si="164"/>
        <v>1.0045783504497734</v>
      </c>
      <c r="F406" s="339">
        <f t="shared" si="165"/>
        <v>9.550864546056935E-2</v>
      </c>
      <c r="G406" s="338">
        <f t="shared" si="166"/>
        <v>1</v>
      </c>
      <c r="H406" s="339">
        <f t="shared" si="167"/>
        <v>0</v>
      </c>
      <c r="I406" s="337">
        <f t="shared" si="168"/>
        <v>84169.606084452389</v>
      </c>
      <c r="J406" s="340">
        <f t="shared" si="169"/>
        <v>1.5707844460216991</v>
      </c>
      <c r="K406" s="348">
        <f t="shared" si="159"/>
        <v>15.810498853863807</v>
      </c>
      <c r="L406" s="349">
        <f t="shared" si="160"/>
        <v>1.5075049686876745</v>
      </c>
      <c r="M406" s="337">
        <f t="shared" si="170"/>
        <v>1.0614969220502868</v>
      </c>
      <c r="N406" s="340">
        <f t="shared" si="171"/>
        <v>0.34205950035103949</v>
      </c>
      <c r="O406" s="341">
        <f t="shared" si="172"/>
        <v>1.0341387353712908</v>
      </c>
      <c r="P406" s="342">
        <f t="shared" si="173"/>
        <v>0.54450815170731037</v>
      </c>
      <c r="Q406" s="343">
        <f t="shared" si="174"/>
        <v>-5.6631550079811452</v>
      </c>
      <c r="R406" s="344">
        <f t="shared" si="175"/>
        <v>-135.41830822389497</v>
      </c>
      <c r="S406" s="346">
        <f t="shared" si="176"/>
        <v>44.581691776105032</v>
      </c>
      <c r="U406" s="319">
        <f t="shared" si="182"/>
        <v>37370.25</v>
      </c>
      <c r="V406" s="319">
        <f t="shared" si="183"/>
        <v>1396535585.0625</v>
      </c>
      <c r="X406" s="345">
        <f t="shared" si="177"/>
        <v>22.664655183675428</v>
      </c>
      <c r="Y406" s="346">
        <f t="shared" si="178"/>
        <v>-23.224212720039151</v>
      </c>
      <c r="AA406" s="345">
        <f t="shared" si="179"/>
        <v>35.281311097506055</v>
      </c>
      <c r="AB406" s="346">
        <f t="shared" si="180"/>
        <v>-112.19409550385583</v>
      </c>
      <c r="AD406">
        <f t="shared" si="184"/>
        <v>0</v>
      </c>
      <c r="AE406">
        <f t="shared" si="161"/>
        <v>0</v>
      </c>
    </row>
    <row r="407" spans="1:31" x14ac:dyDescent="0.25">
      <c r="A407" s="347">
        <v>37586.5</v>
      </c>
      <c r="B407" s="364">
        <f t="shared" si="181"/>
        <v>37.586500000000001</v>
      </c>
      <c r="C407" s="337">
        <f t="shared" si="162"/>
        <v>16.32723326977764</v>
      </c>
      <c r="D407" s="338">
        <f t="shared" si="163"/>
        <v>1.5095106057045891</v>
      </c>
      <c r="E407" s="338">
        <f t="shared" si="164"/>
        <v>1.0046313682440762</v>
      </c>
      <c r="F407" s="339">
        <f t="shared" si="165"/>
        <v>9.6057940428070102E-2</v>
      </c>
      <c r="G407" s="338">
        <f t="shared" si="166"/>
        <v>1</v>
      </c>
      <c r="H407" s="339">
        <f t="shared" si="167"/>
        <v>0</v>
      </c>
      <c r="I407" s="337">
        <f t="shared" si="168"/>
        <v>84656.66938515818</v>
      </c>
      <c r="J407" s="340">
        <f t="shared" si="169"/>
        <v>1.570784514376486</v>
      </c>
      <c r="K407" s="348">
        <f t="shared" ref="K407:K470" si="185">SQRT(1+(A407/Zero2)^2)</f>
        <v>15.901624333268678</v>
      </c>
      <c r="L407" s="349">
        <f t="shared" ref="L407:L470" si="186">ATAN(A407/Zero2)</f>
        <v>1.5078681455768126</v>
      </c>
      <c r="M407" s="337">
        <f t="shared" si="170"/>
        <v>1.0621898059583998</v>
      </c>
      <c r="N407" s="340">
        <f t="shared" si="171"/>
        <v>0.34388687468796603</v>
      </c>
      <c r="O407" s="341">
        <f t="shared" si="172"/>
        <v>1.0346039565146612</v>
      </c>
      <c r="P407" s="342">
        <f t="shared" si="173"/>
        <v>0.54774171407859462</v>
      </c>
      <c r="Q407" s="343">
        <f t="shared" si="174"/>
        <v>-5.7223989223652572</v>
      </c>
      <c r="R407" s="344">
        <f t="shared" si="175"/>
        <v>-135.6762698409342</v>
      </c>
      <c r="S407" s="346">
        <f t="shared" si="176"/>
        <v>44.323730159065803</v>
      </c>
      <c r="U407" s="319">
        <f t="shared" si="182"/>
        <v>37586.5</v>
      </c>
      <c r="V407" s="319">
        <f t="shared" si="183"/>
        <v>1412744982.25</v>
      </c>
      <c r="X407" s="345">
        <f t="shared" si="177"/>
        <v>22.65878804058492</v>
      </c>
      <c r="Y407" s="346">
        <f t="shared" si="178"/>
        <v>-23.308108970707927</v>
      </c>
      <c r="AA407" s="345">
        <f t="shared" si="179"/>
        <v>35.227934326212448</v>
      </c>
      <c r="AB407" s="346">
        <f t="shared" si="180"/>
        <v>-112.36816087022625</v>
      </c>
      <c r="AD407">
        <f t="shared" si="184"/>
        <v>0</v>
      </c>
      <c r="AE407">
        <f t="shared" si="161"/>
        <v>0</v>
      </c>
    </row>
    <row r="408" spans="1:31" x14ac:dyDescent="0.25">
      <c r="A408" s="347">
        <v>37802.75</v>
      </c>
      <c r="B408" s="364">
        <f t="shared" si="181"/>
        <v>37.802750000000003</v>
      </c>
      <c r="C408" s="337">
        <f t="shared" si="162"/>
        <v>16.42081892404121</v>
      </c>
      <c r="D408" s="338">
        <f t="shared" si="163"/>
        <v>1.5098603199498426</v>
      </c>
      <c r="E408" s="338">
        <f t="shared" si="164"/>
        <v>1.0046846891286942</v>
      </c>
      <c r="F408" s="339">
        <f t="shared" si="165"/>
        <v>9.6607177256626695E-2</v>
      </c>
      <c r="G408" s="338">
        <f t="shared" si="166"/>
        <v>1</v>
      </c>
      <c r="H408" s="339">
        <f t="shared" si="167"/>
        <v>0</v>
      </c>
      <c r="I408" s="337">
        <f t="shared" si="168"/>
        <v>85143.732685864394</v>
      </c>
      <c r="J408" s="340">
        <f t="shared" si="169"/>
        <v>1.5707845819492283</v>
      </c>
      <c r="K408" s="348">
        <f t="shared" si="185"/>
        <v>15.99275188615567</v>
      </c>
      <c r="L408" s="349">
        <f t="shared" si="186"/>
        <v>1.5082271837103045</v>
      </c>
      <c r="M408" s="337">
        <f t="shared" si="170"/>
        <v>1.0628862322023485</v>
      </c>
      <c r="N408" s="340">
        <f t="shared" si="171"/>
        <v>0.34571186044137214</v>
      </c>
      <c r="O408" s="341">
        <f t="shared" si="172"/>
        <v>1.0350733998782677</v>
      </c>
      <c r="P408" s="342">
        <f t="shared" si="173"/>
        <v>0.55097624544838131</v>
      </c>
      <c r="Q408" s="343">
        <f t="shared" si="174"/>
        <v>-5.7814114715702516</v>
      </c>
      <c r="R408" s="344">
        <f t="shared" si="175"/>
        <v>-135.93415951872078</v>
      </c>
      <c r="S408" s="346">
        <f t="shared" si="176"/>
        <v>44.065840481279224</v>
      </c>
      <c r="U408" s="319">
        <f t="shared" si="182"/>
        <v>37802.75</v>
      </c>
      <c r="V408" s="319">
        <f t="shared" si="183"/>
        <v>1429047907.5625</v>
      </c>
      <c r="X408" s="345">
        <f t="shared" si="177"/>
        <v>22.652899047870338</v>
      </c>
      <c r="Y408" s="346">
        <f t="shared" si="178"/>
        <v>-23.39210545404519</v>
      </c>
      <c r="AA408" s="345">
        <f t="shared" si="179"/>
        <v>35.174810769722036</v>
      </c>
      <c r="AB408" s="346">
        <f t="shared" si="180"/>
        <v>-112.5420540646756</v>
      </c>
      <c r="AD408">
        <f t="shared" si="184"/>
        <v>0</v>
      </c>
      <c r="AE408">
        <f t="shared" si="161"/>
        <v>0</v>
      </c>
    </row>
    <row r="409" spans="1:31" x14ac:dyDescent="0.25">
      <c r="A409" s="347">
        <v>38019</v>
      </c>
      <c r="B409" s="364">
        <f t="shared" si="181"/>
        <v>38.018999999999998</v>
      </c>
      <c r="C409" s="337">
        <f t="shared" si="162"/>
        <v>16.514406563810329</v>
      </c>
      <c r="D409" s="338">
        <f t="shared" si="163"/>
        <v>1.5102060705546454</v>
      </c>
      <c r="E409" s="338">
        <f t="shared" si="164"/>
        <v>1.0047383130553733</v>
      </c>
      <c r="F409" s="339">
        <f t="shared" si="165"/>
        <v>9.7156355624155033E-2</v>
      </c>
      <c r="G409" s="338">
        <f t="shared" si="166"/>
        <v>1</v>
      </c>
      <c r="H409" s="339">
        <f t="shared" si="167"/>
        <v>0</v>
      </c>
      <c r="I409" s="337">
        <f t="shared" si="168"/>
        <v>85630.795986570956</v>
      </c>
      <c r="J409" s="340">
        <f t="shared" si="169"/>
        <v>1.5707846487532704</v>
      </c>
      <c r="K409" s="348">
        <f t="shared" si="185"/>
        <v>16.083881477281167</v>
      </c>
      <c r="L409" s="349">
        <f t="shared" si="186"/>
        <v>1.5085821533440593</v>
      </c>
      <c r="M409" s="337">
        <f t="shared" si="170"/>
        <v>1.0635861938236677</v>
      </c>
      <c r="N409" s="340">
        <f t="shared" si="171"/>
        <v>0.3475344501588023</v>
      </c>
      <c r="O409" s="341">
        <f t="shared" si="172"/>
        <v>1.0355470898908594</v>
      </c>
      <c r="P409" s="342">
        <f t="shared" si="173"/>
        <v>0.55421173863724194</v>
      </c>
      <c r="Q409" s="343">
        <f t="shared" si="174"/>
        <v>-5.8401959899498941</v>
      </c>
      <c r="R409" s="344">
        <f t="shared" si="175"/>
        <v>-136.19197633545335</v>
      </c>
      <c r="S409" s="346">
        <f t="shared" si="176"/>
        <v>43.808023664546653</v>
      </c>
      <c r="U409" s="319">
        <f t="shared" si="182"/>
        <v>38019</v>
      </c>
      <c r="V409" s="319">
        <f t="shared" si="183"/>
        <v>1445444361</v>
      </c>
      <c r="X409" s="345">
        <f t="shared" si="177"/>
        <v>22.646988237467486</v>
      </c>
      <c r="Y409" s="346">
        <f t="shared" si="178"/>
        <v>-23.47619771845417</v>
      </c>
      <c r="AA409" s="345">
        <f t="shared" si="179"/>
        <v>35.121937061745243</v>
      </c>
      <c r="AB409" s="346">
        <f t="shared" si="180"/>
        <v>-112.71577861699917</v>
      </c>
      <c r="AD409">
        <f t="shared" si="184"/>
        <v>0</v>
      </c>
      <c r="AE409">
        <f t="shared" si="161"/>
        <v>0</v>
      </c>
    </row>
    <row r="410" spans="1:31" x14ac:dyDescent="0.25">
      <c r="A410" s="347">
        <v>38240.5</v>
      </c>
      <c r="B410" s="364">
        <f t="shared" si="181"/>
        <v>38.240499999999997</v>
      </c>
      <c r="C410" s="337">
        <f t="shared" si="162"/>
        <v>16.610268296767327</v>
      </c>
      <c r="D410" s="338">
        <f t="shared" si="163"/>
        <v>1.5105561758888593</v>
      </c>
      <c r="E410" s="338">
        <f t="shared" si="164"/>
        <v>1.0047935529509018</v>
      </c>
      <c r="F410" s="339">
        <f t="shared" si="165"/>
        <v>9.7718805702118772E-2</v>
      </c>
      <c r="G410" s="338">
        <f t="shared" si="166"/>
        <v>1</v>
      </c>
      <c r="H410" s="339">
        <f t="shared" si="167"/>
        <v>0</v>
      </c>
      <c r="I410" s="337">
        <f t="shared" si="168"/>
        <v>86129.683945445373</v>
      </c>
      <c r="J410" s="340">
        <f t="shared" si="169"/>
        <v>1.5707847163958539</v>
      </c>
      <c r="K410" s="348">
        <f t="shared" si="185"/>
        <v>16.177225540169616</v>
      </c>
      <c r="L410" s="349">
        <f t="shared" si="186"/>
        <v>1.5089415946440661</v>
      </c>
      <c r="M410" s="337">
        <f t="shared" si="170"/>
        <v>1.064306806606959</v>
      </c>
      <c r="N410" s="340">
        <f t="shared" si="171"/>
        <v>0.34939879602145785</v>
      </c>
      <c r="O410" s="341">
        <f t="shared" si="172"/>
        <v>1.0360367080501383</v>
      </c>
      <c r="P410" s="342">
        <f t="shared" si="173"/>
        <v>0.55752677079261226</v>
      </c>
      <c r="Q410" s="343">
        <f t="shared" si="174"/>
        <v>-5.9001746705975231</v>
      </c>
      <c r="R410" s="344">
        <f t="shared" si="175"/>
        <v>-136.45597578523353</v>
      </c>
      <c r="S410" s="346">
        <f t="shared" si="176"/>
        <v>43.544024214766466</v>
      </c>
      <c r="U410" s="319">
        <f t="shared" si="182"/>
        <v>38240.5</v>
      </c>
      <c r="V410" s="319">
        <f t="shared" si="183"/>
        <v>1462335840.25</v>
      </c>
      <c r="X410" s="345">
        <f t="shared" si="177"/>
        <v>22.640911344779155</v>
      </c>
      <c r="Y410" s="346">
        <f t="shared" si="178"/>
        <v>-23.562426274197019</v>
      </c>
      <c r="AA410" s="345">
        <f t="shared" si="179"/>
        <v>35.068035273785945</v>
      </c>
      <c r="AB410" s="346">
        <f t="shared" si="180"/>
        <v>-112.89354951103653</v>
      </c>
      <c r="AD410">
        <f t="shared" si="184"/>
        <v>0</v>
      </c>
      <c r="AE410">
        <f t="shared" ref="AE410:AE473" si="187">IF(AD410&gt;0,S410,0)</f>
        <v>0</v>
      </c>
    </row>
    <row r="411" spans="1:31" x14ac:dyDescent="0.25">
      <c r="A411" s="347">
        <v>38462</v>
      </c>
      <c r="B411" s="364">
        <f t="shared" si="181"/>
        <v>38.462000000000003</v>
      </c>
      <c r="C411" s="337">
        <f t="shared" si="162"/>
        <v>16.706132042341551</v>
      </c>
      <c r="D411" s="338">
        <f t="shared" si="163"/>
        <v>1.5109022632903004</v>
      </c>
      <c r="E411" s="338">
        <f t="shared" si="164"/>
        <v>1.0048491106779545</v>
      </c>
      <c r="F411" s="339">
        <f t="shared" si="165"/>
        <v>9.8281193762673774E-2</v>
      </c>
      <c r="G411" s="338">
        <f t="shared" si="166"/>
        <v>1</v>
      </c>
      <c r="H411" s="339">
        <f t="shared" si="167"/>
        <v>0</v>
      </c>
      <c r="I411" s="337">
        <f t="shared" si="168"/>
        <v>86628.571904320183</v>
      </c>
      <c r="J411" s="340">
        <f t="shared" si="169"/>
        <v>1.5707847832593398</v>
      </c>
      <c r="K411" s="348">
        <f t="shared" si="185"/>
        <v>16.270571669142509</v>
      </c>
      <c r="L411" s="349">
        <f t="shared" si="186"/>
        <v>1.5092969116779151</v>
      </c>
      <c r="M411" s="337">
        <f t="shared" si="170"/>
        <v>1.0650311136789326</v>
      </c>
      <c r="N411" s="340">
        <f t="shared" si="171"/>
        <v>0.35126061253691021</v>
      </c>
      <c r="O411" s="341">
        <f t="shared" si="172"/>
        <v>1.0365308336818915</v>
      </c>
      <c r="P411" s="342">
        <f t="shared" si="173"/>
        <v>0.56084279616288257</v>
      </c>
      <c r="Q411" s="343">
        <f t="shared" si="174"/>
        <v>-5.9599210162090168</v>
      </c>
      <c r="R411" s="344">
        <f t="shared" si="175"/>
        <v>-136.71989682226683</v>
      </c>
      <c r="S411" s="346">
        <f t="shared" si="176"/>
        <v>43.280103177733167</v>
      </c>
      <c r="U411" s="319">
        <f t="shared" si="182"/>
        <v>38462</v>
      </c>
      <c r="V411" s="319">
        <f t="shared" si="183"/>
        <v>1479325444</v>
      </c>
      <c r="X411" s="345">
        <f t="shared" si="177"/>
        <v>22.634811637317135</v>
      </c>
      <c r="Y411" s="346">
        <f t="shared" si="178"/>
        <v>-23.648746167425706</v>
      </c>
      <c r="AA411" s="345">
        <f t="shared" si="179"/>
        <v>35.014388635636479</v>
      </c>
      <c r="AB411" s="346">
        <f t="shared" si="180"/>
        <v>-113.07115065484113</v>
      </c>
      <c r="AD411">
        <f t="shared" si="184"/>
        <v>0</v>
      </c>
      <c r="AE411">
        <f t="shared" si="187"/>
        <v>0</v>
      </c>
    </row>
    <row r="412" spans="1:31" x14ac:dyDescent="0.25">
      <c r="A412" s="347">
        <v>38683.5</v>
      </c>
      <c r="B412" s="364">
        <f t="shared" si="181"/>
        <v>38.683500000000002</v>
      </c>
      <c r="C412" s="337">
        <f t="shared" si="162"/>
        <v>16.801997766084071</v>
      </c>
      <c r="D412" s="338">
        <f t="shared" si="163"/>
        <v>1.5112444014496729</v>
      </c>
      <c r="E412" s="338">
        <f t="shared" si="164"/>
        <v>1.0049049861838157</v>
      </c>
      <c r="F412" s="339">
        <f t="shared" si="165"/>
        <v>9.8843519460391258E-2</v>
      </c>
      <c r="G412" s="338">
        <f t="shared" si="166"/>
        <v>1</v>
      </c>
      <c r="H412" s="339">
        <f t="shared" si="167"/>
        <v>0</v>
      </c>
      <c r="I412" s="337">
        <f t="shared" si="168"/>
        <v>87127.45986319537</v>
      </c>
      <c r="J412" s="340">
        <f t="shared" si="169"/>
        <v>1.5707848493571108</v>
      </c>
      <c r="K412" s="348">
        <f t="shared" si="185"/>
        <v>16.363919828842612</v>
      </c>
      <c r="L412" s="349">
        <f t="shared" si="186"/>
        <v>1.5096481749358766</v>
      </c>
      <c r="M412" s="337">
        <f t="shared" si="170"/>
        <v>1.0657591075074944</v>
      </c>
      <c r="N412" s="340">
        <f t="shared" si="171"/>
        <v>0.35311989196785554</v>
      </c>
      <c r="O412" s="341">
        <f t="shared" si="172"/>
        <v>1.0370294932826702</v>
      </c>
      <c r="P412" s="342">
        <f t="shared" si="173"/>
        <v>0.56415980639857422</v>
      </c>
      <c r="Q412" s="343">
        <f t="shared" si="174"/>
        <v>-6.0194384308607907</v>
      </c>
      <c r="R412" s="344">
        <f t="shared" si="175"/>
        <v>-136.98373844229937</v>
      </c>
      <c r="S412" s="346">
        <f t="shared" si="176"/>
        <v>43.016261557700631</v>
      </c>
      <c r="U412" s="319">
        <f t="shared" si="182"/>
        <v>38683.5</v>
      </c>
      <c r="V412" s="319">
        <f t="shared" si="183"/>
        <v>1496413172.25</v>
      </c>
      <c r="X412" s="345">
        <f t="shared" si="177"/>
        <v>22.628689156644349</v>
      </c>
      <c r="Y412" s="346">
        <f t="shared" si="178"/>
        <v>-23.735152916797205</v>
      </c>
      <c r="AA412" s="345">
        <f t="shared" si="179"/>
        <v>34.960993701657486</v>
      </c>
      <c r="AB412" s="346">
        <f t="shared" si="180"/>
        <v>-113.24858552550216</v>
      </c>
      <c r="AD412">
        <f t="shared" si="184"/>
        <v>0</v>
      </c>
      <c r="AE412">
        <f t="shared" si="187"/>
        <v>0</v>
      </c>
    </row>
    <row r="413" spans="1:31" x14ac:dyDescent="0.25">
      <c r="A413" s="347">
        <v>38905</v>
      </c>
      <c r="B413" s="364">
        <f t="shared" si="181"/>
        <v>38.905000000000001</v>
      </c>
      <c r="C413" s="337">
        <f t="shared" si="162"/>
        <v>16.897865434326977</v>
      </c>
      <c r="D413" s="338">
        <f t="shared" si="163"/>
        <v>1.5115826575025983</v>
      </c>
      <c r="E413" s="338">
        <f t="shared" si="164"/>
        <v>1.0049611794154805</v>
      </c>
      <c r="F413" s="339">
        <f t="shared" si="165"/>
        <v>9.9405782450076891E-2</v>
      </c>
      <c r="G413" s="338">
        <f t="shared" si="166"/>
        <v>1</v>
      </c>
      <c r="H413" s="339">
        <f t="shared" si="167"/>
        <v>0</v>
      </c>
      <c r="I413" s="337">
        <f t="shared" si="168"/>
        <v>87626.347822070908</v>
      </c>
      <c r="J413" s="340">
        <f t="shared" si="169"/>
        <v>1.5707849147022455</v>
      </c>
      <c r="K413" s="348">
        <f t="shared" si="185"/>
        <v>16.457269984714131</v>
      </c>
      <c r="L413" s="349">
        <f t="shared" si="186"/>
        <v>1.5099954533129132</v>
      </c>
      <c r="M413" s="337">
        <f t="shared" si="170"/>
        <v>1.0664907805428292</v>
      </c>
      <c r="N413" s="340">
        <f t="shared" si="171"/>
        <v>0.35497662666822605</v>
      </c>
      <c r="O413" s="341">
        <f t="shared" si="172"/>
        <v>1.0375327134290311</v>
      </c>
      <c r="P413" s="342">
        <f t="shared" si="173"/>
        <v>0.56747779293580769</v>
      </c>
      <c r="Q413" s="343">
        <f t="shared" si="174"/>
        <v>-6.0787302609099694</v>
      </c>
      <c r="R413" s="344">
        <f t="shared" si="175"/>
        <v>-137.24749963629429</v>
      </c>
      <c r="S413" s="346">
        <f t="shared" si="176"/>
        <v>42.752500363705707</v>
      </c>
      <c r="U413" s="319">
        <f t="shared" si="182"/>
        <v>38905</v>
      </c>
      <c r="V413" s="319">
        <f t="shared" si="183"/>
        <v>1513599025</v>
      </c>
      <c r="X413" s="345">
        <f t="shared" si="177"/>
        <v>22.622543946601759</v>
      </c>
      <c r="Y413" s="346">
        <f t="shared" si="178"/>
        <v>-23.821642137582831</v>
      </c>
      <c r="AA413" s="345">
        <f t="shared" si="179"/>
        <v>34.9078470816509</v>
      </c>
      <c r="AB413" s="346">
        <f t="shared" si="180"/>
        <v>-113.42585749871141</v>
      </c>
      <c r="AD413">
        <f t="shared" si="184"/>
        <v>0</v>
      </c>
      <c r="AE413">
        <f t="shared" si="187"/>
        <v>0</v>
      </c>
    </row>
    <row r="414" spans="1:31" x14ac:dyDescent="0.25">
      <c r="A414" s="347">
        <v>39131.5</v>
      </c>
      <c r="B414" s="364">
        <f t="shared" si="181"/>
        <v>39.131500000000003</v>
      </c>
      <c r="C414" s="337">
        <f t="shared" si="162"/>
        <v>16.995899134839881</v>
      </c>
      <c r="D414" s="338">
        <f t="shared" si="163"/>
        <v>1.511924602953471</v>
      </c>
      <c r="E414" s="338">
        <f t="shared" si="164"/>
        <v>1.0050189696268199</v>
      </c>
      <c r="F414" s="339">
        <f t="shared" si="165"/>
        <v>9.9980672399857487E-2</v>
      </c>
      <c r="G414" s="338">
        <f t="shared" si="166"/>
        <v>1</v>
      </c>
      <c r="H414" s="339">
        <f t="shared" si="167"/>
        <v>0</v>
      </c>
      <c r="I414" s="337">
        <f t="shared" si="168"/>
        <v>88136.497360153997</v>
      </c>
      <c r="J414" s="340">
        <f t="shared" si="169"/>
        <v>1.5707849807574437</v>
      </c>
      <c r="K414" s="348">
        <f t="shared" si="185"/>
        <v>16.552729396663409</v>
      </c>
      <c r="L414" s="349">
        <f t="shared" si="186"/>
        <v>1.5103465202635618</v>
      </c>
      <c r="M414" s="337">
        <f t="shared" si="170"/>
        <v>1.0672427667374149</v>
      </c>
      <c r="N414" s="340">
        <f t="shared" si="171"/>
        <v>0.35687263470121627</v>
      </c>
      <c r="O414" s="341">
        <f t="shared" si="172"/>
        <v>1.0380520368468378</v>
      </c>
      <c r="P414" s="342">
        <f t="shared" si="173"/>
        <v>0.57087167804940853</v>
      </c>
      <c r="Q414" s="343">
        <f t="shared" si="174"/>
        <v>-6.1391306540450108</v>
      </c>
      <c r="R414" s="344">
        <f t="shared" si="175"/>
        <v>-137.51713058141436</v>
      </c>
      <c r="S414" s="346">
        <f t="shared" si="176"/>
        <v>42.482869418585636</v>
      </c>
      <c r="U414" s="319">
        <f t="shared" si="182"/>
        <v>39131.5</v>
      </c>
      <c r="V414" s="319">
        <f t="shared" si="183"/>
        <v>1531274292.25</v>
      </c>
      <c r="X414" s="345">
        <f t="shared" si="177"/>
        <v>22.616236561703168</v>
      </c>
      <c r="Y414" s="346">
        <f t="shared" si="178"/>
        <v>-23.910164525982601</v>
      </c>
      <c r="AA414" s="345">
        <f t="shared" si="179"/>
        <v>34.853754073414443</v>
      </c>
      <c r="AB414" s="346">
        <f t="shared" si="180"/>
        <v>-113.60696605543177</v>
      </c>
      <c r="AD414">
        <f t="shared" si="184"/>
        <v>0</v>
      </c>
      <c r="AE414">
        <f t="shared" si="187"/>
        <v>0</v>
      </c>
    </row>
    <row r="415" spans="1:31" x14ac:dyDescent="0.25">
      <c r="A415" s="347">
        <v>39358</v>
      </c>
      <c r="B415" s="364">
        <f t="shared" si="181"/>
        <v>39.357999999999997</v>
      </c>
      <c r="C415" s="337">
        <f t="shared" si="162"/>
        <v>17.093934799832869</v>
      </c>
      <c r="D415" s="338">
        <f t="shared" si="163"/>
        <v>1.5122626262511971</v>
      </c>
      <c r="E415" s="338">
        <f t="shared" si="164"/>
        <v>1.0050770919571146</v>
      </c>
      <c r="F415" s="339">
        <f t="shared" si="165"/>
        <v>0.10055549604928847</v>
      </c>
      <c r="G415" s="338">
        <f t="shared" si="166"/>
        <v>1</v>
      </c>
      <c r="H415" s="339">
        <f t="shared" si="167"/>
        <v>0</v>
      </c>
      <c r="I415" s="337">
        <f t="shared" si="168"/>
        <v>88646.646898237435</v>
      </c>
      <c r="J415" s="340">
        <f t="shared" si="169"/>
        <v>1.5707850460523642</v>
      </c>
      <c r="K415" s="348">
        <f t="shared" si="185"/>
        <v>16.648190825307964</v>
      </c>
      <c r="L415" s="349">
        <f t="shared" si="186"/>
        <v>1.5106935611911587</v>
      </c>
      <c r="M415" s="337">
        <f t="shared" si="170"/>
        <v>1.0679985840951216</v>
      </c>
      <c r="N415" s="340">
        <f t="shared" si="171"/>
        <v>0.3587659659412703</v>
      </c>
      <c r="O415" s="341">
        <f t="shared" si="172"/>
        <v>1.0385761854851838</v>
      </c>
      <c r="P415" s="342">
        <f t="shared" si="173"/>
        <v>0.57426656524013164</v>
      </c>
      <c r="Q415" s="343">
        <f t="shared" si="174"/>
        <v>-6.1993020612873142</v>
      </c>
      <c r="R415" s="344">
        <f t="shared" si="175"/>
        <v>-137.78667527886307</v>
      </c>
      <c r="S415" s="346">
        <f t="shared" si="176"/>
        <v>42.213324721136928</v>
      </c>
      <c r="U415" s="319">
        <f t="shared" si="182"/>
        <v>39358</v>
      </c>
      <c r="V415" s="319">
        <f t="shared" si="183"/>
        <v>1549052164</v>
      </c>
      <c r="X415" s="345">
        <f t="shared" si="177"/>
        <v>22.609905509371838</v>
      </c>
      <c r="Y415" s="346">
        <f t="shared" si="178"/>
        <v>-23.998764176012966</v>
      </c>
      <c r="AA415" s="345">
        <f t="shared" si="179"/>
        <v>34.799913718503475</v>
      </c>
      <c r="AB415" s="346">
        <f t="shared" si="180"/>
        <v>-113.78791110285007</v>
      </c>
      <c r="AD415">
        <f t="shared" si="184"/>
        <v>0</v>
      </c>
      <c r="AE415">
        <f t="shared" si="187"/>
        <v>0</v>
      </c>
    </row>
    <row r="416" spans="1:31" x14ac:dyDescent="0.25">
      <c r="A416" s="347">
        <v>39584.5</v>
      </c>
      <c r="B416" s="364">
        <f t="shared" si="181"/>
        <v>39.584499999999998</v>
      </c>
      <c r="C416" s="337">
        <f t="shared" si="162"/>
        <v>17.191972395699139</v>
      </c>
      <c r="D416" s="338">
        <f t="shared" si="163"/>
        <v>1.5125967944163541</v>
      </c>
      <c r="E416" s="338">
        <f t="shared" si="164"/>
        <v>1.0051355463487495</v>
      </c>
      <c r="F416" s="339">
        <f t="shared" si="165"/>
        <v>0.10113025303003545</v>
      </c>
      <c r="G416" s="338">
        <f t="shared" si="166"/>
        <v>1</v>
      </c>
      <c r="H416" s="339">
        <f t="shared" si="167"/>
        <v>0</v>
      </c>
      <c r="I416" s="337">
        <f t="shared" si="168"/>
        <v>89156.796436321252</v>
      </c>
      <c r="J416" s="340">
        <f t="shared" si="169"/>
        <v>1.5707851106000579</v>
      </c>
      <c r="K416" s="348">
        <f t="shared" si="185"/>
        <v>16.743654236154125</v>
      </c>
      <c r="L416" s="349">
        <f t="shared" si="186"/>
        <v>1.5110366448741135</v>
      </c>
      <c r="M416" s="337">
        <f t="shared" si="170"/>
        <v>1.0687582244878444</v>
      </c>
      <c r="N416" s="340">
        <f t="shared" si="171"/>
        <v>0.36065661250778708</v>
      </c>
      <c r="O416" s="341">
        <f t="shared" si="172"/>
        <v>1.0391051880119417</v>
      </c>
      <c r="P416" s="342">
        <f t="shared" si="173"/>
        <v>0.5776624446544516</v>
      </c>
      <c r="Q416" s="343">
        <f t="shared" si="174"/>
        <v>-6.259247881822974</v>
      </c>
      <c r="R416" s="344">
        <f t="shared" si="175"/>
        <v>-138.05613263368508</v>
      </c>
      <c r="S416" s="346">
        <f t="shared" si="176"/>
        <v>41.943867366314919</v>
      </c>
      <c r="U416" s="319">
        <f t="shared" si="182"/>
        <v>39584.5</v>
      </c>
      <c r="V416" s="319">
        <f t="shared" si="183"/>
        <v>1566932640.25</v>
      </c>
      <c r="X416" s="345">
        <f t="shared" si="177"/>
        <v>22.603550843372965</v>
      </c>
      <c r="Y416" s="346">
        <f t="shared" si="178"/>
        <v>-24.087436696183907</v>
      </c>
      <c r="AA416" s="345">
        <f t="shared" si="179"/>
        <v>34.746322563966686</v>
      </c>
      <c r="AB416" s="346">
        <f t="shared" si="180"/>
        <v>-113.96869593750117</v>
      </c>
      <c r="AD416">
        <f t="shared" si="184"/>
        <v>0</v>
      </c>
      <c r="AE416">
        <f t="shared" si="187"/>
        <v>0</v>
      </c>
    </row>
    <row r="417" spans="1:31" x14ac:dyDescent="0.25">
      <c r="A417" s="347">
        <v>39811</v>
      </c>
      <c r="B417" s="364">
        <f t="shared" si="181"/>
        <v>39.811</v>
      </c>
      <c r="C417" s="337">
        <f t="shared" si="162"/>
        <v>17.290011889593448</v>
      </c>
      <c r="D417" s="338">
        <f t="shared" si="163"/>
        <v>1.5129271729529017</v>
      </c>
      <c r="E417" s="338">
        <f t="shared" si="164"/>
        <v>1.0051943327437944</v>
      </c>
      <c r="F417" s="339">
        <f t="shared" si="165"/>
        <v>0.10170494297402567</v>
      </c>
      <c r="G417" s="338">
        <f t="shared" si="166"/>
        <v>1</v>
      </c>
      <c r="H417" s="339">
        <f t="shared" si="167"/>
        <v>0</v>
      </c>
      <c r="I417" s="337">
        <f t="shared" si="168"/>
        <v>89666.945974405447</v>
      </c>
      <c r="J417" s="340">
        <f t="shared" si="169"/>
        <v>1.5707851744132786</v>
      </c>
      <c r="K417" s="348">
        <f t="shared" si="185"/>
        <v>16.839119595489741</v>
      </c>
      <c r="L417" s="349">
        <f t="shared" si="186"/>
        <v>1.5113758385349203</v>
      </c>
      <c r="M417" s="337">
        <f t="shared" si="170"/>
        <v>1.0695216797695162</v>
      </c>
      <c r="N417" s="340">
        <f t="shared" si="171"/>
        <v>0.36254456661926943</v>
      </c>
      <c r="O417" s="341">
        <f t="shared" si="172"/>
        <v>1.0396390731764082</v>
      </c>
      <c r="P417" s="342">
        <f t="shared" si="173"/>
        <v>0.58105930620383783</v>
      </c>
      <c r="Q417" s="343">
        <f t="shared" si="174"/>
        <v>-6.3189714571999875</v>
      </c>
      <c r="R417" s="344">
        <f t="shared" si="175"/>
        <v>-138.32550154535838</v>
      </c>
      <c r="S417" s="346">
        <f t="shared" si="176"/>
        <v>41.674498454641622</v>
      </c>
      <c r="U417" s="319">
        <f t="shared" si="182"/>
        <v>39811</v>
      </c>
      <c r="V417" s="319">
        <f t="shared" si="183"/>
        <v>1584915721</v>
      </c>
      <c r="X417" s="345">
        <f t="shared" si="177"/>
        <v>22.59717261963366</v>
      </c>
      <c r="Y417" s="346">
        <f t="shared" si="178"/>
        <v>-24.176177789814027</v>
      </c>
      <c r="AA417" s="345">
        <f t="shared" si="179"/>
        <v>34.692977212328984</v>
      </c>
      <c r="AB417" s="346">
        <f t="shared" si="180"/>
        <v>-114.1493237555443</v>
      </c>
      <c r="AD417">
        <f t="shared" si="184"/>
        <v>0</v>
      </c>
      <c r="AE417">
        <f t="shared" si="187"/>
        <v>0</v>
      </c>
    </row>
    <row r="418" spans="1:31" x14ac:dyDescent="0.25">
      <c r="A418" s="347">
        <v>40042.75</v>
      </c>
      <c r="B418" s="364">
        <f t="shared" si="181"/>
        <v>40.042749999999998</v>
      </c>
      <c r="C418" s="337">
        <f t="shared" si="162"/>
        <v>17.390325753134572</v>
      </c>
      <c r="D418" s="338">
        <f t="shared" si="163"/>
        <v>1.5132613536415744</v>
      </c>
      <c r="E418" s="338">
        <f t="shared" si="164"/>
        <v>1.0052548253124063</v>
      </c>
      <c r="F418" s="339">
        <f t="shared" si="165"/>
        <v>0.10229288377670734</v>
      </c>
      <c r="G418" s="338">
        <f t="shared" si="166"/>
        <v>1</v>
      </c>
      <c r="H418" s="339">
        <f t="shared" si="167"/>
        <v>0</v>
      </c>
      <c r="I418" s="337">
        <f t="shared" si="168"/>
        <v>90188.920170657511</v>
      </c>
      <c r="J418" s="340">
        <f t="shared" si="169"/>
        <v>1.5707852389584072</v>
      </c>
      <c r="K418" s="348">
        <f t="shared" si="185"/>
        <v>16.936799710447101</v>
      </c>
      <c r="L418" s="349">
        <f t="shared" si="186"/>
        <v>1.5117189365133212</v>
      </c>
      <c r="M418" s="337">
        <f t="shared" si="170"/>
        <v>1.0703067710700485</v>
      </c>
      <c r="N418" s="340">
        <f t="shared" si="171"/>
        <v>0.36447348645377398</v>
      </c>
      <c r="O418" s="341">
        <f t="shared" si="172"/>
        <v>1.0401904169427478</v>
      </c>
      <c r="P418" s="342">
        <f t="shared" si="173"/>
        <v>0.58453590873137795</v>
      </c>
      <c r="Q418" s="343">
        <f t="shared" si="174"/>
        <v>-6.3798527481692426</v>
      </c>
      <c r="R418" s="344">
        <f t="shared" si="175"/>
        <v>-138.60102141158202</v>
      </c>
      <c r="S418" s="346">
        <f t="shared" si="176"/>
        <v>41.398978588417975</v>
      </c>
      <c r="U418" s="319">
        <f t="shared" si="182"/>
        <v>40042.75</v>
      </c>
      <c r="V418" s="319">
        <f t="shared" si="183"/>
        <v>1603421827.5625</v>
      </c>
      <c r="X418" s="345">
        <f t="shared" si="177"/>
        <v>22.590622233664085</v>
      </c>
      <c r="Y418" s="346">
        <f t="shared" si="178"/>
        <v>-24.267042387495646</v>
      </c>
      <c r="AA418" s="345">
        <f t="shared" si="179"/>
        <v>34.638646307329296</v>
      </c>
      <c r="AB418" s="346">
        <f t="shared" si="180"/>
        <v>-114.33397902408643</v>
      </c>
      <c r="AD418">
        <f t="shared" si="184"/>
        <v>0</v>
      </c>
      <c r="AE418">
        <f t="shared" si="187"/>
        <v>0</v>
      </c>
    </row>
    <row r="419" spans="1:31" x14ac:dyDescent="0.25">
      <c r="A419" s="347">
        <v>40274.5</v>
      </c>
      <c r="B419" s="364">
        <f t="shared" si="181"/>
        <v>40.274500000000003</v>
      </c>
      <c r="C419" s="337">
        <f t="shared" si="162"/>
        <v>17.490641536493385</v>
      </c>
      <c r="D419" s="338">
        <f t="shared" si="163"/>
        <v>1.5135917010485529</v>
      </c>
      <c r="E419" s="338">
        <f t="shared" si="164"/>
        <v>1.0053156653299751</v>
      </c>
      <c r="F419" s="339">
        <f t="shared" si="165"/>
        <v>0.102880753620198</v>
      </c>
      <c r="G419" s="338">
        <f t="shared" si="166"/>
        <v>1</v>
      </c>
      <c r="H419" s="339">
        <f t="shared" si="167"/>
        <v>0</v>
      </c>
      <c r="I419" s="337">
        <f t="shared" si="168"/>
        <v>90710.894366909968</v>
      </c>
      <c r="J419" s="340">
        <f t="shared" si="169"/>
        <v>1.5707853027607164</v>
      </c>
      <c r="K419" s="348">
        <f t="shared" si="185"/>
        <v>17.034481796275216</v>
      </c>
      <c r="L419" s="349">
        <f t="shared" si="186"/>
        <v>1.5120580996271615</v>
      </c>
      <c r="M419" s="337">
        <f t="shared" si="170"/>
        <v>1.0710958388483822</v>
      </c>
      <c r="N419" s="340">
        <f t="shared" si="171"/>
        <v>0.36639957140617235</v>
      </c>
      <c r="O419" s="341">
        <f t="shared" si="172"/>
        <v>1.0407469334644062</v>
      </c>
      <c r="P419" s="342">
        <f t="shared" si="173"/>
        <v>0.58801351732935669</v>
      </c>
      <c r="Q419" s="343">
        <f t="shared" si="174"/>
        <v>-6.4405082701285892</v>
      </c>
      <c r="R419" s="344">
        <f t="shared" si="175"/>
        <v>-138.87644633798686</v>
      </c>
      <c r="S419" s="346">
        <f t="shared" si="176"/>
        <v>41.123553662013137</v>
      </c>
      <c r="U419" s="319">
        <f t="shared" si="182"/>
        <v>40274.5</v>
      </c>
      <c r="V419" s="319">
        <f t="shared" si="183"/>
        <v>1622035350.25</v>
      </c>
      <c r="X419" s="345">
        <f t="shared" si="177"/>
        <v>22.584047310280901</v>
      </c>
      <c r="Y419" s="346">
        <f t="shared" si="178"/>
        <v>-24.357969966969101</v>
      </c>
      <c r="AA419" s="345">
        <f t="shared" si="179"/>
        <v>34.584565708753139</v>
      </c>
      <c r="AB419" s="346">
        <f t="shared" si="180"/>
        <v>-114.51847637101775</v>
      </c>
      <c r="AD419">
        <f t="shared" si="184"/>
        <v>0</v>
      </c>
      <c r="AE419">
        <f t="shared" si="187"/>
        <v>0</v>
      </c>
    </row>
    <row r="420" spans="1:31" x14ac:dyDescent="0.25">
      <c r="A420" s="347">
        <v>40506.25</v>
      </c>
      <c r="B420" s="364">
        <f t="shared" si="181"/>
        <v>40.506250000000001</v>
      </c>
      <c r="C420" s="337">
        <f t="shared" si="162"/>
        <v>17.59095920682552</v>
      </c>
      <c r="D420" s="338">
        <f t="shared" si="163"/>
        <v>1.5139182806823945</v>
      </c>
      <c r="E420" s="338">
        <f t="shared" si="164"/>
        <v>1.0053768527334235</v>
      </c>
      <c r="F420" s="339">
        <f t="shared" si="165"/>
        <v>0.10346855211109189</v>
      </c>
      <c r="G420" s="338">
        <f t="shared" si="166"/>
        <v>1</v>
      </c>
      <c r="H420" s="339">
        <f t="shared" si="167"/>
        <v>0</v>
      </c>
      <c r="I420" s="337">
        <f t="shared" si="168"/>
        <v>91232.868563162774</v>
      </c>
      <c r="J420" s="340">
        <f t="shared" si="169"/>
        <v>1.5707853658329565</v>
      </c>
      <c r="K420" s="348">
        <f t="shared" si="185"/>
        <v>17.132165819262276</v>
      </c>
      <c r="L420" s="349">
        <f t="shared" si="186"/>
        <v>1.5123933951050588</v>
      </c>
      <c r="M420" s="337">
        <f t="shared" si="170"/>
        <v>1.0718888743227006</v>
      </c>
      <c r="N420" s="340">
        <f t="shared" si="171"/>
        <v>0.36832281346216522</v>
      </c>
      <c r="O420" s="341">
        <f t="shared" si="172"/>
        <v>1.0413086537909555</v>
      </c>
      <c r="P420" s="342">
        <f t="shared" si="173"/>
        <v>0.59149212042702692</v>
      </c>
      <c r="Q420" s="343">
        <f t="shared" si="174"/>
        <v>-6.5009414233228284</v>
      </c>
      <c r="R420" s="344">
        <f t="shared" si="175"/>
        <v>-139.15177512715107</v>
      </c>
      <c r="S420" s="346">
        <f t="shared" si="176"/>
        <v>40.848224872848931</v>
      </c>
      <c r="U420" s="319">
        <f t="shared" si="182"/>
        <v>40506.25</v>
      </c>
      <c r="V420" s="319">
        <f t="shared" si="183"/>
        <v>1640756289.0625</v>
      </c>
      <c r="X420" s="345">
        <f t="shared" si="177"/>
        <v>22.577447915933668</v>
      </c>
      <c r="Y420" s="346">
        <f t="shared" si="178"/>
        <v>-24.448956217863355</v>
      </c>
      <c r="AA420" s="345">
        <f t="shared" si="179"/>
        <v>34.530731949906141</v>
      </c>
      <c r="AB420" s="346">
        <f t="shared" si="180"/>
        <v>-114.7028189092877</v>
      </c>
      <c r="AD420">
        <f t="shared" si="184"/>
        <v>0</v>
      </c>
      <c r="AE420">
        <f t="shared" si="187"/>
        <v>0</v>
      </c>
    </row>
    <row r="421" spans="1:31" x14ac:dyDescent="0.25">
      <c r="A421" s="347">
        <v>40738</v>
      </c>
      <c r="B421" s="364">
        <f t="shared" si="181"/>
        <v>40.738</v>
      </c>
      <c r="C421" s="337">
        <f t="shared" si="162"/>
        <v>17.691278732030948</v>
      </c>
      <c r="D421" s="338">
        <f t="shared" si="163"/>
        <v>1.5142411565690319</v>
      </c>
      <c r="E421" s="338">
        <f t="shared" si="164"/>
        <v>1.0054383874593296</v>
      </c>
      <c r="F421" s="339">
        <f t="shared" si="165"/>
        <v>0.10405627885627601</v>
      </c>
      <c r="G421" s="338">
        <f t="shared" si="166"/>
        <v>1</v>
      </c>
      <c r="H421" s="339">
        <f t="shared" si="167"/>
        <v>0</v>
      </c>
      <c r="I421" s="337">
        <f t="shared" si="168"/>
        <v>91754.842759415944</v>
      </c>
      <c r="J421" s="340">
        <f t="shared" si="169"/>
        <v>1.5707854281875866</v>
      </c>
      <c r="K421" s="348">
        <f t="shared" si="185"/>
        <v>17.22985174646033</v>
      </c>
      <c r="L421" s="349">
        <f t="shared" si="186"/>
        <v>1.5127248886545244</v>
      </c>
      <c r="M421" s="337">
        <f t="shared" si="170"/>
        <v>1.0726858686930643</v>
      </c>
      <c r="N421" s="340">
        <f t="shared" si="171"/>
        <v>0.37024320471521671</v>
      </c>
      <c r="O421" s="341">
        <f t="shared" si="172"/>
        <v>1.0418756090542634</v>
      </c>
      <c r="P421" s="342">
        <f t="shared" si="173"/>
        <v>0.59497170619593476</v>
      </c>
      <c r="Q421" s="343">
        <f t="shared" si="174"/>
        <v>-6.5611555502837238</v>
      </c>
      <c r="R421" s="344">
        <f t="shared" si="175"/>
        <v>-139.42700657523324</v>
      </c>
      <c r="S421" s="346">
        <f t="shared" si="176"/>
        <v>40.572993424766764</v>
      </c>
      <c r="U421" s="319">
        <f t="shared" si="182"/>
        <v>40738</v>
      </c>
      <c r="V421" s="319">
        <f t="shared" si="183"/>
        <v>1659584644</v>
      </c>
      <c r="X421" s="345">
        <f t="shared" si="177"/>
        <v>22.570824119123408</v>
      </c>
      <c r="Y421" s="346">
        <f t="shared" si="178"/>
        <v>-24.539996923118021</v>
      </c>
      <c r="AA421" s="345">
        <f t="shared" si="179"/>
        <v>34.4771416197555</v>
      </c>
      <c r="AB421" s="346">
        <f t="shared" si="180"/>
        <v>-114.88700965211521</v>
      </c>
      <c r="AD421">
        <f t="shared" si="184"/>
        <v>0</v>
      </c>
      <c r="AE421">
        <f t="shared" si="187"/>
        <v>0</v>
      </c>
    </row>
    <row r="422" spans="1:31" x14ac:dyDescent="0.25">
      <c r="A422" s="347">
        <v>40975.25</v>
      </c>
      <c r="B422" s="364">
        <f t="shared" si="181"/>
        <v>40.975250000000003</v>
      </c>
      <c r="C422" s="337">
        <f t="shared" si="162"/>
        <v>17.793980976063882</v>
      </c>
      <c r="D422" s="338">
        <f t="shared" si="163"/>
        <v>1.5145679237939085</v>
      </c>
      <c r="E422" s="338">
        <f t="shared" si="164"/>
        <v>1.0055017422742127</v>
      </c>
      <c r="F422" s="339">
        <f t="shared" si="165"/>
        <v>0.10465787907890568</v>
      </c>
      <c r="G422" s="338">
        <f t="shared" si="166"/>
        <v>1</v>
      </c>
      <c r="H422" s="339">
        <f t="shared" si="167"/>
        <v>0</v>
      </c>
      <c r="I422" s="337">
        <f t="shared" si="168"/>
        <v>92289.204692797386</v>
      </c>
      <c r="J422" s="340">
        <f t="shared" si="169"/>
        <v>1.5707854912914014</v>
      </c>
      <c r="K422" s="348">
        <f t="shared" si="185"/>
        <v>17.329857940941825</v>
      </c>
      <c r="L422" s="349">
        <f t="shared" si="186"/>
        <v>1.5130603780730587</v>
      </c>
      <c r="M422" s="337">
        <f t="shared" si="170"/>
        <v>1.0735058694447661</v>
      </c>
      <c r="N422" s="340">
        <f t="shared" si="171"/>
        <v>0.37220621036396423</v>
      </c>
      <c r="O422" s="341">
        <f t="shared" si="172"/>
        <v>1.0424614749230641</v>
      </c>
      <c r="P422" s="342">
        <f t="shared" si="173"/>
        <v>0.59853487644027226</v>
      </c>
      <c r="Q422" s="343">
        <f t="shared" si="174"/>
        <v>-6.6225752528543138</v>
      </c>
      <c r="R422" s="344">
        <f t="shared" si="175"/>
        <v>-139.70866784806253</v>
      </c>
      <c r="S422" s="346">
        <f t="shared" si="176"/>
        <v>40.291332151937468</v>
      </c>
      <c r="U422" s="319">
        <f t="shared" si="182"/>
        <v>40975.25</v>
      </c>
      <c r="V422" s="319">
        <f t="shared" si="183"/>
        <v>1678971112.5625</v>
      </c>
      <c r="X422" s="345">
        <f t="shared" si="177"/>
        <v>22.564017918818099</v>
      </c>
      <c r="Y422" s="346">
        <f t="shared" si="178"/>
        <v>-24.633250349887103</v>
      </c>
      <c r="AA422" s="345">
        <f t="shared" si="179"/>
        <v>34.422528117490216</v>
      </c>
      <c r="AB422" s="346">
        <f t="shared" si="180"/>
        <v>-115.07541749817548</v>
      </c>
      <c r="AD422">
        <f t="shared" si="184"/>
        <v>0</v>
      </c>
      <c r="AE422">
        <f t="shared" si="187"/>
        <v>0</v>
      </c>
    </row>
    <row r="423" spans="1:31" x14ac:dyDescent="0.25">
      <c r="A423" s="347">
        <v>41212.5</v>
      </c>
      <c r="B423" s="364">
        <f t="shared" si="181"/>
        <v>41.212499999999999</v>
      </c>
      <c r="C423" s="337">
        <f t="shared" si="162"/>
        <v>17.896685098274816</v>
      </c>
      <c r="D423" s="338">
        <f t="shared" si="163"/>
        <v>1.5148909405996294</v>
      </c>
      <c r="E423" s="338">
        <f t="shared" si="164"/>
        <v>1.0055654609571969</v>
      </c>
      <c r="F423" s="339">
        <f t="shared" si="165"/>
        <v>0.10525940327719202</v>
      </c>
      <c r="G423" s="338">
        <f t="shared" si="166"/>
        <v>1</v>
      </c>
      <c r="H423" s="339">
        <f t="shared" si="167"/>
        <v>0</v>
      </c>
      <c r="I423" s="337">
        <f t="shared" si="168"/>
        <v>92823.566626179207</v>
      </c>
      <c r="J423" s="340">
        <f t="shared" si="169"/>
        <v>1.5707855536686706</v>
      </c>
      <c r="K423" s="348">
        <f t="shared" si="185"/>
        <v>17.429866063570433</v>
      </c>
      <c r="L423" s="349">
        <f t="shared" si="186"/>
        <v>1.5133920176232594</v>
      </c>
      <c r="M423" s="337">
        <f t="shared" si="170"/>
        <v>1.0743300005105039</v>
      </c>
      <c r="N423" s="340">
        <f t="shared" si="171"/>
        <v>0.37416621186670501</v>
      </c>
      <c r="O423" s="341">
        <f t="shared" si="172"/>
        <v>1.0430528934380692</v>
      </c>
      <c r="P423" s="342">
        <f t="shared" si="173"/>
        <v>0.60209905063725233</v>
      </c>
      <c r="Q423" s="343">
        <f t="shared" si="174"/>
        <v>-6.6837723192218288</v>
      </c>
      <c r="R423" s="344">
        <f t="shared" si="175"/>
        <v>-139.99022453051799</v>
      </c>
      <c r="S423" s="346">
        <f t="shared" si="176"/>
        <v>40.009775469482008</v>
      </c>
      <c r="U423" s="319">
        <f t="shared" si="182"/>
        <v>41212.5</v>
      </c>
      <c r="V423" s="319">
        <f t="shared" si="183"/>
        <v>1698470156.25</v>
      </c>
      <c r="X423" s="345">
        <f t="shared" si="177"/>
        <v>22.557186295603419</v>
      </c>
      <c r="Y423" s="346">
        <f t="shared" si="178"/>
        <v>-24.726552191348205</v>
      </c>
      <c r="AA423" s="345">
        <f t="shared" si="179"/>
        <v>34.368162674337377</v>
      </c>
      <c r="AB423" s="346">
        <f t="shared" si="180"/>
        <v>-115.26367233916979</v>
      </c>
      <c r="AD423">
        <f t="shared" si="184"/>
        <v>0</v>
      </c>
      <c r="AE423">
        <f t="shared" si="187"/>
        <v>0</v>
      </c>
    </row>
    <row r="424" spans="1:31" x14ac:dyDescent="0.25">
      <c r="A424" s="347">
        <v>41449.75</v>
      </c>
      <c r="B424" s="364">
        <f t="shared" si="181"/>
        <v>41.449750000000002</v>
      </c>
      <c r="C424" s="337">
        <f t="shared" si="162"/>
        <v>17.999391066513219</v>
      </c>
      <c r="D424" s="338">
        <f t="shared" si="163"/>
        <v>1.5152102711187807</v>
      </c>
      <c r="E424" s="338">
        <f t="shared" si="164"/>
        <v>1.0056295434391156</v>
      </c>
      <c r="F424" s="339">
        <f t="shared" si="165"/>
        <v>0.10586085103032714</v>
      </c>
      <c r="G424" s="338">
        <f t="shared" si="166"/>
        <v>1</v>
      </c>
      <c r="H424" s="339">
        <f t="shared" si="167"/>
        <v>0</v>
      </c>
      <c r="I424" s="337">
        <f t="shared" si="168"/>
        <v>93357.928559561362</v>
      </c>
      <c r="J424" s="340">
        <f t="shared" si="169"/>
        <v>1.5707856153318698</v>
      </c>
      <c r="K424" s="348">
        <f t="shared" si="185"/>
        <v>17.529876081345861</v>
      </c>
      <c r="L424" s="349">
        <f t="shared" si="186"/>
        <v>1.5137198731234074</v>
      </c>
      <c r="M424" s="337">
        <f t="shared" si="170"/>
        <v>1.075158252392364</v>
      </c>
      <c r="N424" s="340">
        <f t="shared" si="171"/>
        <v>0.37612320108991315</v>
      </c>
      <c r="O424" s="341">
        <f t="shared" si="172"/>
        <v>1.0436498982569462</v>
      </c>
      <c r="P424" s="342">
        <f t="shared" si="173"/>
        <v>0.60566421525726089</v>
      </c>
      <c r="Q424" s="343">
        <f t="shared" si="174"/>
        <v>-6.7447501558974023</v>
      </c>
      <c r="R424" s="344">
        <f t="shared" si="175"/>
        <v>-140.27167530963513</v>
      </c>
      <c r="S424" s="346">
        <f t="shared" si="176"/>
        <v>39.728324690364872</v>
      </c>
      <c r="U424" s="319">
        <f t="shared" si="182"/>
        <v>41449.75</v>
      </c>
      <c r="V424" s="319">
        <f t="shared" si="183"/>
        <v>1718081775.0625</v>
      </c>
      <c r="X424" s="345">
        <f t="shared" si="177"/>
        <v>22.550329329185029</v>
      </c>
      <c r="Y424" s="346">
        <f t="shared" si="178"/>
        <v>-24.819898211089711</v>
      </c>
      <c r="AA424" s="345">
        <f t="shared" si="179"/>
        <v>34.314041804080198</v>
      </c>
      <c r="AB424" s="346">
        <f t="shared" si="180"/>
        <v>-115.45177709854539</v>
      </c>
      <c r="AD424">
        <f t="shared" si="184"/>
        <v>0</v>
      </c>
      <c r="AE424">
        <f t="shared" si="187"/>
        <v>0</v>
      </c>
    </row>
    <row r="425" spans="1:31" x14ac:dyDescent="0.25">
      <c r="A425" s="347">
        <v>41687</v>
      </c>
      <c r="B425" s="364">
        <f t="shared" si="181"/>
        <v>41.686999999999998</v>
      </c>
      <c r="C425" s="337">
        <f t="shared" si="162"/>
        <v>18.102098849357652</v>
      </c>
      <c r="D425" s="338">
        <f t="shared" si="163"/>
        <v>1.515525978031492</v>
      </c>
      <c r="E425" s="338">
        <f t="shared" si="164"/>
        <v>1.0056939896504256</v>
      </c>
      <c r="F425" s="339">
        <f t="shared" si="165"/>
        <v>0.10646222191783128</v>
      </c>
      <c r="G425" s="338">
        <f t="shared" si="166"/>
        <v>1</v>
      </c>
      <c r="H425" s="339">
        <f t="shared" si="167"/>
        <v>0</v>
      </c>
      <c r="I425" s="337">
        <f t="shared" si="168"/>
        <v>93892.290492943866</v>
      </c>
      <c r="J425" s="340">
        <f t="shared" si="169"/>
        <v>1.5707856762931913</v>
      </c>
      <c r="K425" s="348">
        <f t="shared" si="185"/>
        <v>17.629887962015999</v>
      </c>
      <c r="L425" s="349">
        <f t="shared" si="186"/>
        <v>1.5140440089015694</v>
      </c>
      <c r="M425" s="337">
        <f t="shared" si="170"/>
        <v>1.0759906155742589</v>
      </c>
      <c r="N425" s="340">
        <f t="shared" si="171"/>
        <v>0.37807717001733449</v>
      </c>
      <c r="O425" s="341">
        <f t="shared" si="172"/>
        <v>1.0442525231197741</v>
      </c>
      <c r="P425" s="342">
        <f t="shared" si="173"/>
        <v>0.609230356488069</v>
      </c>
      <c r="Q425" s="343">
        <f t="shared" si="174"/>
        <v>-6.8055121114594339</v>
      </c>
      <c r="R425" s="344">
        <f t="shared" si="175"/>
        <v>-140.55301886510443</v>
      </c>
      <c r="S425" s="346">
        <f t="shared" si="176"/>
        <v>39.446981134895566</v>
      </c>
      <c r="U425" s="319">
        <f t="shared" si="182"/>
        <v>41687</v>
      </c>
      <c r="V425" s="319">
        <f t="shared" si="183"/>
        <v>1737805969</v>
      </c>
      <c r="X425" s="345">
        <f t="shared" si="177"/>
        <v>22.543447101213225</v>
      </c>
      <c r="Y425" s="346">
        <f t="shared" si="178"/>
        <v>-24.913284264785929</v>
      </c>
      <c r="AA425" s="345">
        <f t="shared" si="179"/>
        <v>34.260162076489969</v>
      </c>
      <c r="AB425" s="346">
        <f t="shared" si="180"/>
        <v>-115.6397346003185</v>
      </c>
      <c r="AD425">
        <f t="shared" si="184"/>
        <v>0</v>
      </c>
      <c r="AE425">
        <f t="shared" si="187"/>
        <v>0</v>
      </c>
    </row>
    <row r="426" spans="1:31" x14ac:dyDescent="0.25">
      <c r="A426" s="347">
        <v>41929.75</v>
      </c>
      <c r="B426" s="364">
        <f t="shared" si="181"/>
        <v>41.929749999999999</v>
      </c>
      <c r="C426" s="337">
        <f t="shared" si="162"/>
        <v>18.207189480707232</v>
      </c>
      <c r="D426" s="338">
        <f t="shared" si="163"/>
        <v>1.5158453170674469</v>
      </c>
      <c r="E426" s="338">
        <f t="shared" si="164"/>
        <v>1.005760306275278</v>
      </c>
      <c r="F426" s="339">
        <f t="shared" si="165"/>
        <v>0.10707745396655022</v>
      </c>
      <c r="G426" s="338">
        <f t="shared" si="166"/>
        <v>1</v>
      </c>
      <c r="H426" s="339">
        <f t="shared" si="167"/>
        <v>0</v>
      </c>
      <c r="I426" s="337">
        <f t="shared" si="168"/>
        <v>94439.040163454672</v>
      </c>
      <c r="J426" s="340">
        <f t="shared" si="169"/>
        <v>1.5707857379536898</v>
      </c>
      <c r="K426" s="348">
        <f t="shared" si="185"/>
        <v>17.732220243119887</v>
      </c>
      <c r="L426" s="349">
        <f t="shared" si="186"/>
        <v>1.5143718744001533</v>
      </c>
      <c r="M426" s="337">
        <f t="shared" si="170"/>
        <v>1.0768465202713529</v>
      </c>
      <c r="N426" s="340">
        <f t="shared" si="171"/>
        <v>0.38007330206104145</v>
      </c>
      <c r="O426" s="341">
        <f t="shared" si="172"/>
        <v>1.0448749704702123</v>
      </c>
      <c r="P426" s="342">
        <f t="shared" si="173"/>
        <v>0.61288016519495581</v>
      </c>
      <c r="Q426" s="343">
        <f t="shared" si="174"/>
        <v>-6.8674626559554763</v>
      </c>
      <c r="R426" s="344">
        <f t="shared" si="175"/>
        <v>-140.84077224457391</v>
      </c>
      <c r="S426" s="346">
        <f t="shared" si="176"/>
        <v>39.159227755426087</v>
      </c>
      <c r="U426" s="319">
        <f t="shared" si="182"/>
        <v>41929.75</v>
      </c>
      <c r="V426" s="319">
        <f t="shared" si="183"/>
        <v>1758103935.0625</v>
      </c>
      <c r="X426" s="345">
        <f t="shared" si="177"/>
        <v>22.536379267744437</v>
      </c>
      <c r="Y426" s="346">
        <f t="shared" si="178"/>
        <v>-25.008872429919904</v>
      </c>
      <c r="AA426" s="345">
        <f t="shared" si="179"/>
        <v>34.205279365462715</v>
      </c>
      <c r="AB426" s="346">
        <f t="shared" si="180"/>
        <v>-115.83189981465402</v>
      </c>
      <c r="AD426">
        <f t="shared" si="184"/>
        <v>0</v>
      </c>
      <c r="AE426">
        <f t="shared" si="187"/>
        <v>0</v>
      </c>
    </row>
    <row r="427" spans="1:31" x14ac:dyDescent="0.25">
      <c r="A427" s="347">
        <v>42172.5</v>
      </c>
      <c r="B427" s="364">
        <f t="shared" si="181"/>
        <v>42.172499999999999</v>
      </c>
      <c r="C427" s="337">
        <f t="shared" si="162"/>
        <v>18.312281947468172</v>
      </c>
      <c r="D427" s="338">
        <f t="shared" si="163"/>
        <v>1.5161609908217968</v>
      </c>
      <c r="E427" s="338">
        <f t="shared" si="164"/>
        <v>1.0058270035406565</v>
      </c>
      <c r="F427" s="339">
        <f t="shared" si="165"/>
        <v>0.10769260465493759</v>
      </c>
      <c r="G427" s="338">
        <f t="shared" si="166"/>
        <v>1</v>
      </c>
      <c r="H427" s="339">
        <f t="shared" si="167"/>
        <v>0</v>
      </c>
      <c r="I427" s="337">
        <f t="shared" si="168"/>
        <v>94985.789833965842</v>
      </c>
      <c r="J427" s="340">
        <f t="shared" si="169"/>
        <v>1.5707857989043377</v>
      </c>
      <c r="K427" s="348">
        <f t="shared" si="185"/>
        <v>17.834554408488252</v>
      </c>
      <c r="L427" s="349">
        <f t="shared" si="186"/>
        <v>1.5146959773674542</v>
      </c>
      <c r="M427" s="337">
        <f t="shared" si="170"/>
        <v>1.0777067088845595</v>
      </c>
      <c r="N427" s="340">
        <f t="shared" si="171"/>
        <v>0.38206625554665163</v>
      </c>
      <c r="O427" s="341">
        <f t="shared" si="172"/>
        <v>1.0455033731753185</v>
      </c>
      <c r="P427" s="342">
        <f t="shared" si="173"/>
        <v>0.61653096615729386</v>
      </c>
      <c r="Q427" s="343">
        <f t="shared" si="174"/>
        <v>-6.9291941063776985</v>
      </c>
      <c r="R427" s="344">
        <f t="shared" si="175"/>
        <v>-141.12841055105719</v>
      </c>
      <c r="S427" s="346">
        <f t="shared" si="176"/>
        <v>38.871589448942814</v>
      </c>
      <c r="U427" s="319">
        <f t="shared" si="182"/>
        <v>42172.5</v>
      </c>
      <c r="V427" s="319">
        <f t="shared" si="183"/>
        <v>1778519756.25</v>
      </c>
      <c r="X427" s="345">
        <f t="shared" si="177"/>
        <v>22.529285166776091</v>
      </c>
      <c r="Y427" s="346">
        <f t="shared" si="178"/>
        <v>-25.104494013581395</v>
      </c>
      <c r="AA427" s="345">
        <f t="shared" si="179"/>
        <v>34.150642016008838</v>
      </c>
      <c r="AB427" s="346">
        <f t="shared" si="180"/>
        <v>-116.02391653747581</v>
      </c>
      <c r="AD427">
        <f t="shared" si="184"/>
        <v>0</v>
      </c>
      <c r="AE427">
        <f t="shared" si="187"/>
        <v>0</v>
      </c>
    </row>
    <row r="428" spans="1:31" x14ac:dyDescent="0.25">
      <c r="A428" s="347">
        <v>42415.25</v>
      </c>
      <c r="B428" s="364">
        <f t="shared" si="181"/>
        <v>42.41525</v>
      </c>
      <c r="C428" s="337">
        <f t="shared" si="162"/>
        <v>18.41737621822103</v>
      </c>
      <c r="D428" s="338">
        <f t="shared" si="163"/>
        <v>1.516473061976193</v>
      </c>
      <c r="E428" s="338">
        <f t="shared" si="164"/>
        <v>1.0058940813708446</v>
      </c>
      <c r="F428" s="339">
        <f t="shared" si="165"/>
        <v>0.10830767353366524</v>
      </c>
      <c r="G428" s="338">
        <f t="shared" si="166"/>
        <v>1</v>
      </c>
      <c r="H428" s="339">
        <f t="shared" si="167"/>
        <v>0</v>
      </c>
      <c r="I428" s="337">
        <f t="shared" si="168"/>
        <v>95532.539504477361</v>
      </c>
      <c r="J428" s="340">
        <f t="shared" si="169"/>
        <v>1.5707858591573229</v>
      </c>
      <c r="K428" s="348">
        <f t="shared" si="185"/>
        <v>17.936890425870583</v>
      </c>
      <c r="L428" s="349">
        <f t="shared" si="186"/>
        <v>1.5150163821343283</v>
      </c>
      <c r="M428" s="337">
        <f t="shared" si="170"/>
        <v>1.0785711711642747</v>
      </c>
      <c r="N428" s="340">
        <f t="shared" si="171"/>
        <v>0.384056022266622</v>
      </c>
      <c r="O428" s="341">
        <f t="shared" si="172"/>
        <v>1.0461377676309354</v>
      </c>
      <c r="P428" s="342">
        <f t="shared" si="173"/>
        <v>0.62018274366266091</v>
      </c>
      <c r="Q428" s="343">
        <f t="shared" si="174"/>
        <v>-6.9907098695573815</v>
      </c>
      <c r="R428" s="344">
        <f t="shared" si="175"/>
        <v>-141.41593234599176</v>
      </c>
      <c r="S428" s="346">
        <f t="shared" si="176"/>
        <v>38.584067654008237</v>
      </c>
      <c r="U428" s="319">
        <f t="shared" si="182"/>
        <v>42415.25</v>
      </c>
      <c r="V428" s="319">
        <f t="shared" si="183"/>
        <v>1799053432.5625</v>
      </c>
      <c r="X428" s="345">
        <f t="shared" si="177"/>
        <v>22.522164891634894</v>
      </c>
      <c r="Y428" s="346">
        <f t="shared" si="178"/>
        <v>-25.200144860324585</v>
      </c>
      <c r="AA428" s="345">
        <f t="shared" si="179"/>
        <v>34.096246527970351</v>
      </c>
      <c r="AB428" s="346">
        <f t="shared" si="180"/>
        <v>-116.21578748566716</v>
      </c>
      <c r="AD428">
        <f t="shared" si="184"/>
        <v>0</v>
      </c>
      <c r="AE428">
        <f t="shared" si="187"/>
        <v>0</v>
      </c>
    </row>
    <row r="429" spans="1:31" x14ac:dyDescent="0.25">
      <c r="A429" s="347">
        <v>42658</v>
      </c>
      <c r="B429" s="364">
        <f t="shared" si="181"/>
        <v>42.658000000000001</v>
      </c>
      <c r="C429" s="337">
        <f t="shared" si="162"/>
        <v>18.522472262258908</v>
      </c>
      <c r="D429" s="338">
        <f t="shared" si="163"/>
        <v>1.5167815917925138</v>
      </c>
      <c r="E429" s="338">
        <f t="shared" si="164"/>
        <v>1.0059615396897137</v>
      </c>
      <c r="F429" s="339">
        <f t="shared" si="165"/>
        <v>0.10892266015377215</v>
      </c>
      <c r="G429" s="338">
        <f t="shared" si="166"/>
        <v>1</v>
      </c>
      <c r="H429" s="339">
        <f t="shared" si="167"/>
        <v>0</v>
      </c>
      <c r="I429" s="337">
        <f t="shared" si="168"/>
        <v>96079.289174989215</v>
      </c>
      <c r="J429" s="340">
        <f t="shared" si="169"/>
        <v>1.5707859187245559</v>
      </c>
      <c r="K429" s="348">
        <f t="shared" si="185"/>
        <v>18.039228263747624</v>
      </c>
      <c r="L429" s="349">
        <f t="shared" si="186"/>
        <v>1.5153331515748942</v>
      </c>
      <c r="M429" s="337">
        <f t="shared" si="170"/>
        <v>1.0794398968428858</v>
      </c>
      <c r="N429" s="340">
        <f t="shared" si="171"/>
        <v>0.38604259414057152</v>
      </c>
      <c r="O429" s="341">
        <f t="shared" si="172"/>
        <v>1.0467781903140905</v>
      </c>
      <c r="P429" s="342">
        <f t="shared" si="173"/>
        <v>0.62383548169009218</v>
      </c>
      <c r="Q429" s="343">
        <f t="shared" si="174"/>
        <v>-7.052013294274758</v>
      </c>
      <c r="R429" s="344">
        <f t="shared" si="175"/>
        <v>-141.70333618250345</v>
      </c>
      <c r="S429" s="346">
        <f t="shared" si="176"/>
        <v>38.296663817496551</v>
      </c>
      <c r="U429" s="319">
        <f t="shared" si="182"/>
        <v>42658</v>
      </c>
      <c r="V429" s="319">
        <f t="shared" si="183"/>
        <v>1819704964</v>
      </c>
      <c r="X429" s="345">
        <f t="shared" si="177"/>
        <v>22.515018537479602</v>
      </c>
      <c r="Y429" s="346">
        <f t="shared" si="178"/>
        <v>-25.295820905438514</v>
      </c>
      <c r="AA429" s="345">
        <f t="shared" si="179"/>
        <v>34.042089457408267</v>
      </c>
      <c r="AB429" s="346">
        <f t="shared" si="180"/>
        <v>-116.40751527706497</v>
      </c>
      <c r="AD429">
        <f t="shared" si="184"/>
        <v>0</v>
      </c>
      <c r="AE429">
        <f t="shared" si="187"/>
        <v>0</v>
      </c>
    </row>
    <row r="430" spans="1:31" x14ac:dyDescent="0.25">
      <c r="A430" s="347">
        <v>42906.5</v>
      </c>
      <c r="B430" s="364">
        <f t="shared" si="181"/>
        <v>42.906500000000001</v>
      </c>
      <c r="C430" s="337">
        <f t="shared" si="162"/>
        <v>18.630059513415254</v>
      </c>
      <c r="D430" s="338">
        <f t="shared" si="163"/>
        <v>1.5170938240813616</v>
      </c>
      <c r="E430" s="338">
        <f t="shared" si="164"/>
        <v>1.0060309899228519</v>
      </c>
      <c r="F430" s="339">
        <f t="shared" si="165"/>
        <v>0.10955212824048093</v>
      </c>
      <c r="G430" s="338">
        <f t="shared" si="166"/>
        <v>1</v>
      </c>
      <c r="H430" s="339">
        <f t="shared" si="167"/>
        <v>0</v>
      </c>
      <c r="I430" s="337">
        <f t="shared" si="168"/>
        <v>96638.98966158976</v>
      </c>
      <c r="J430" s="340">
        <f t="shared" si="169"/>
        <v>1.5707859790045946</v>
      </c>
      <c r="K430" s="348">
        <f t="shared" si="185"/>
        <v>18.143992023403815</v>
      </c>
      <c r="L430" s="349">
        <f t="shared" si="186"/>
        <v>1.5156537229507019</v>
      </c>
      <c r="M430" s="337">
        <f t="shared" si="170"/>
        <v>1.0803336052951882</v>
      </c>
      <c r="N430" s="340">
        <f t="shared" si="171"/>
        <v>0.38807290422590218</v>
      </c>
      <c r="O430" s="341">
        <f t="shared" si="172"/>
        <v>1.0474400649068618</v>
      </c>
      <c r="P430" s="342">
        <f t="shared" si="173"/>
        <v>0.62757571970346171</v>
      </c>
      <c r="Q430" s="343">
        <f t="shared" si="174"/>
        <v>-7.1145523023311341</v>
      </c>
      <c r="R430" s="344">
        <f t="shared" si="175"/>
        <v>-141.9974240289697</v>
      </c>
      <c r="S430" s="346">
        <f t="shared" si="176"/>
        <v>38.002575971030296</v>
      </c>
      <c r="U430" s="319">
        <f t="shared" si="182"/>
        <v>42906.5</v>
      </c>
      <c r="V430" s="319">
        <f t="shared" si="183"/>
        <v>1840967742.25</v>
      </c>
      <c r="X430" s="345">
        <f t="shared" si="177"/>
        <v>22.507675996468382</v>
      </c>
      <c r="Y430" s="346">
        <f t="shared" si="178"/>
        <v>-25.393785171468064</v>
      </c>
      <c r="AA430" s="345">
        <f t="shared" si="179"/>
        <v>33.98689299036311</v>
      </c>
      <c r="AB430" s="346">
        <f t="shared" si="180"/>
        <v>-116.60363885750166</v>
      </c>
      <c r="AD430">
        <f t="shared" si="184"/>
        <v>0</v>
      </c>
      <c r="AE430">
        <f t="shared" si="187"/>
        <v>0</v>
      </c>
    </row>
    <row r="431" spans="1:31" x14ac:dyDescent="0.25">
      <c r="A431" s="347">
        <v>43155</v>
      </c>
      <c r="B431" s="364">
        <f t="shared" si="181"/>
        <v>43.155000000000001</v>
      </c>
      <c r="C431" s="337">
        <f t="shared" si="162"/>
        <v>18.737648559940713</v>
      </c>
      <c r="D431" s="338">
        <f t="shared" si="163"/>
        <v>1.5174024708087737</v>
      </c>
      <c r="E431" s="338">
        <f t="shared" si="164"/>
        <v>1.0061008387205972</v>
      </c>
      <c r="F431" s="339">
        <f t="shared" si="165"/>
        <v>0.11018150917458765</v>
      </c>
      <c r="G431" s="338">
        <f t="shared" si="166"/>
        <v>1</v>
      </c>
      <c r="H431" s="339">
        <f t="shared" si="167"/>
        <v>0</v>
      </c>
      <c r="I431" s="337">
        <f t="shared" si="168"/>
        <v>97198.690148190653</v>
      </c>
      <c r="J431" s="340">
        <f t="shared" si="169"/>
        <v>1.5707860385904107</v>
      </c>
      <c r="K431" s="348">
        <f t="shared" si="185"/>
        <v>18.248757626236817</v>
      </c>
      <c r="L431" s="349">
        <f t="shared" si="186"/>
        <v>1.5159706135763102</v>
      </c>
      <c r="M431" s="337">
        <f t="shared" si="170"/>
        <v>1.0812317596818357</v>
      </c>
      <c r="N431" s="340">
        <f t="shared" si="171"/>
        <v>0.39009984959118338</v>
      </c>
      <c r="O431" s="341">
        <f t="shared" si="172"/>
        <v>1.0481083342968041</v>
      </c>
      <c r="P431" s="342">
        <f t="shared" si="173"/>
        <v>0.63131692931723804</v>
      </c>
      <c r="Q431" s="343">
        <f t="shared" si="174"/>
        <v>-7.1768757143418664</v>
      </c>
      <c r="R431" s="344">
        <f t="shared" si="175"/>
        <v>-142.29138516739508</v>
      </c>
      <c r="S431" s="346">
        <f t="shared" si="176"/>
        <v>37.708614832604923</v>
      </c>
      <c r="U431" s="319">
        <f t="shared" si="182"/>
        <v>43155</v>
      </c>
      <c r="V431" s="319">
        <f t="shared" si="183"/>
        <v>1862354025</v>
      </c>
      <c r="X431" s="345">
        <f t="shared" si="177"/>
        <v>22.500306333736265</v>
      </c>
      <c r="Y431" s="346">
        <f t="shared" si="178"/>
        <v>-25.491767504915405</v>
      </c>
      <c r="AA431" s="345">
        <f t="shared" si="179"/>
        <v>33.931939241084493</v>
      </c>
      <c r="AB431" s="346">
        <f t="shared" si="180"/>
        <v>-116.79961766247966</v>
      </c>
      <c r="AD431">
        <f t="shared" si="184"/>
        <v>0</v>
      </c>
      <c r="AE431">
        <f t="shared" si="187"/>
        <v>0</v>
      </c>
    </row>
    <row r="432" spans="1:31" x14ac:dyDescent="0.25">
      <c r="A432" s="347">
        <v>43403.5</v>
      </c>
      <c r="B432" s="364">
        <f t="shared" si="181"/>
        <v>43.403500000000001</v>
      </c>
      <c r="C432" s="337">
        <f t="shared" si="162"/>
        <v>18.845239371085544</v>
      </c>
      <c r="D432" s="338">
        <f t="shared" si="163"/>
        <v>1.5177075933272519</v>
      </c>
      <c r="E432" s="338">
        <f t="shared" si="164"/>
        <v>1.006171085999944</v>
      </c>
      <c r="F432" s="339">
        <f t="shared" si="165"/>
        <v>0.11081080247567376</v>
      </c>
      <c r="G432" s="338">
        <f t="shared" si="166"/>
        <v>1</v>
      </c>
      <c r="H432" s="339">
        <f t="shared" si="167"/>
        <v>0</v>
      </c>
      <c r="I432" s="337">
        <f t="shared" si="168"/>
        <v>97758.390634791882</v>
      </c>
      <c r="J432" s="340">
        <f t="shared" si="169"/>
        <v>1.5707860974939278</v>
      </c>
      <c r="K432" s="348">
        <f t="shared" si="185"/>
        <v>18.35352504068296</v>
      </c>
      <c r="L432" s="349">
        <f t="shared" si="186"/>
        <v>1.5162838864199957</v>
      </c>
      <c r="M432" s="337">
        <f t="shared" si="170"/>
        <v>1.0821343489326636</v>
      </c>
      <c r="N432" s="340">
        <f t="shared" si="171"/>
        <v>0.39212342197975442</v>
      </c>
      <c r="O432" s="341">
        <f t="shared" si="172"/>
        <v>1.0487830378638514</v>
      </c>
      <c r="P432" s="342">
        <f t="shared" si="173"/>
        <v>0.63505909234305513</v>
      </c>
      <c r="Q432" s="343">
        <f t="shared" si="174"/>
        <v>-7.2389869419448409</v>
      </c>
      <c r="R432" s="344">
        <f t="shared" si="175"/>
        <v>-142.58521801822315</v>
      </c>
      <c r="S432" s="346">
        <f t="shared" si="176"/>
        <v>37.414781981776855</v>
      </c>
      <c r="U432" s="319">
        <f t="shared" si="182"/>
        <v>43403.5</v>
      </c>
      <c r="V432" s="319">
        <f t="shared" si="183"/>
        <v>1883863812.25</v>
      </c>
      <c r="X432" s="345">
        <f t="shared" si="177"/>
        <v>22.492909656887385</v>
      </c>
      <c r="Y432" s="346">
        <f t="shared" si="178"/>
        <v>-25.589763825575407</v>
      </c>
      <c r="AA432" s="345">
        <f t="shared" si="179"/>
        <v>33.877224690330394</v>
      </c>
      <c r="AB432" s="346">
        <f t="shared" si="180"/>
        <v>-116.99545419264777</v>
      </c>
      <c r="AD432">
        <f t="shared" si="184"/>
        <v>0</v>
      </c>
      <c r="AE432">
        <f t="shared" si="187"/>
        <v>0</v>
      </c>
    </row>
    <row r="433" spans="1:31" x14ac:dyDescent="0.25">
      <c r="A433" s="347">
        <v>43652</v>
      </c>
      <c r="B433" s="364">
        <f t="shared" si="181"/>
        <v>43.652000000000001</v>
      </c>
      <c r="C433" s="337">
        <f t="shared" si="162"/>
        <v>18.952831916797752</v>
      </c>
      <c r="D433" s="338">
        <f t="shared" si="163"/>
        <v>1.5180092515988004</v>
      </c>
      <c r="E433" s="338">
        <f t="shared" si="164"/>
        <v>1.0062417316774361</v>
      </c>
      <c r="F433" s="339">
        <f t="shared" si="165"/>
        <v>0.11144000766373215</v>
      </c>
      <c r="G433" s="338">
        <f t="shared" si="166"/>
        <v>1</v>
      </c>
      <c r="H433" s="339">
        <f t="shared" si="167"/>
        <v>0</v>
      </c>
      <c r="I433" s="337">
        <f t="shared" si="168"/>
        <v>98318.091121393445</v>
      </c>
      <c r="J433" s="340">
        <f t="shared" si="169"/>
        <v>1.570786155726799</v>
      </c>
      <c r="K433" s="348">
        <f t="shared" si="185"/>
        <v>18.458294235894648</v>
      </c>
      <c r="L433" s="349">
        <f t="shared" si="186"/>
        <v>1.5165936030232812</v>
      </c>
      <c r="M433" s="337">
        <f t="shared" si="170"/>
        <v>1.0830413619598382</v>
      </c>
      <c r="N433" s="340">
        <f t="shared" si="171"/>
        <v>0.39414361327290431</v>
      </c>
      <c r="O433" s="341">
        <f t="shared" si="172"/>
        <v>1.0494642150666225</v>
      </c>
      <c r="P433" s="342">
        <f t="shared" si="173"/>
        <v>0.63880219025590523</v>
      </c>
      <c r="Q433" s="343">
        <f t="shared" si="174"/>
        <v>-7.300889338467206</v>
      </c>
      <c r="R433" s="344">
        <f t="shared" si="175"/>
        <v>-142.87892099255171</v>
      </c>
      <c r="S433" s="346">
        <f t="shared" si="176"/>
        <v>37.121079007448287</v>
      </c>
      <c r="U433" s="319">
        <f t="shared" si="182"/>
        <v>43652</v>
      </c>
      <c r="V433" s="319">
        <f t="shared" si="183"/>
        <v>1905497104</v>
      </c>
      <c r="X433" s="345">
        <f t="shared" si="177"/>
        <v>22.485486075246467</v>
      </c>
      <c r="Y433" s="346">
        <f t="shared" si="178"/>
        <v>-25.687770142878325</v>
      </c>
      <c r="AA433" s="345">
        <f t="shared" si="179"/>
        <v>33.822745875448959</v>
      </c>
      <c r="AB433" s="346">
        <f t="shared" si="180"/>
        <v>-117.19115084967338</v>
      </c>
      <c r="AD433">
        <f t="shared" si="184"/>
        <v>0</v>
      </c>
      <c r="AE433">
        <f t="shared" si="187"/>
        <v>0</v>
      </c>
    </row>
    <row r="434" spans="1:31" x14ac:dyDescent="0.25">
      <c r="A434" s="347">
        <v>43906</v>
      </c>
      <c r="B434" s="364">
        <f t="shared" si="181"/>
        <v>43.905999999999999</v>
      </c>
      <c r="C434" s="337">
        <f t="shared" si="162"/>
        <v>19.062807548461336</v>
      </c>
      <c r="D434" s="338">
        <f t="shared" si="163"/>
        <v>1.5183140673160114</v>
      </c>
      <c r="E434" s="338">
        <f t="shared" si="164"/>
        <v>1.0063143525762208</v>
      </c>
      <c r="F434" s="339">
        <f t="shared" si="165"/>
        <v>0.11208304736317284</v>
      </c>
      <c r="G434" s="338">
        <f t="shared" si="166"/>
        <v>1</v>
      </c>
      <c r="H434" s="339">
        <f t="shared" si="167"/>
        <v>0</v>
      </c>
      <c r="I434" s="337">
        <f t="shared" si="168"/>
        <v>98890.179345123368</v>
      </c>
      <c r="J434" s="340">
        <f t="shared" si="169"/>
        <v>1.5707862145673059</v>
      </c>
      <c r="K434" s="348">
        <f t="shared" si="185"/>
        <v>18.56538407534844</v>
      </c>
      <c r="L434" s="349">
        <f t="shared" si="186"/>
        <v>1.5169065619630326</v>
      </c>
      <c r="M434" s="337">
        <f t="shared" si="170"/>
        <v>1.0839730098865639</v>
      </c>
      <c r="N434" s="340">
        <f t="shared" si="171"/>
        <v>0.39620501456800294</v>
      </c>
      <c r="O434" s="341">
        <f t="shared" si="172"/>
        <v>1.0501671999254829</v>
      </c>
      <c r="P434" s="342">
        <f t="shared" si="173"/>
        <v>0.64262907991021989</v>
      </c>
      <c r="Q434" s="343">
        <f t="shared" si="174"/>
        <v>-7.3639494242436543</v>
      </c>
      <c r="R434" s="344">
        <f t="shared" si="175"/>
        <v>-143.17898855103323</v>
      </c>
      <c r="S434" s="346">
        <f t="shared" si="176"/>
        <v>36.821011448966772</v>
      </c>
      <c r="U434" s="319">
        <f t="shared" si="182"/>
        <v>43906</v>
      </c>
      <c r="V434" s="319">
        <f t="shared" si="183"/>
        <v>1927736836</v>
      </c>
      <c r="X434" s="345">
        <f t="shared" si="177"/>
        <v>22.47787049992727</v>
      </c>
      <c r="Y434" s="346">
        <f t="shared" si="178"/>
        <v>-25.78795188198881</v>
      </c>
      <c r="AA434" s="345">
        <f t="shared" si="179"/>
        <v>33.767301364991702</v>
      </c>
      <c r="AB434" s="346">
        <f t="shared" si="180"/>
        <v>-117.39103666904444</v>
      </c>
      <c r="AD434">
        <f t="shared" si="184"/>
        <v>0</v>
      </c>
      <c r="AE434">
        <f t="shared" si="187"/>
        <v>0</v>
      </c>
    </row>
    <row r="435" spans="1:31" x14ac:dyDescent="0.25">
      <c r="A435" s="347">
        <v>44160</v>
      </c>
      <c r="B435" s="364">
        <f t="shared" si="181"/>
        <v>44.16</v>
      </c>
      <c r="C435" s="337">
        <f t="shared" si="162"/>
        <v>19.172784930981223</v>
      </c>
      <c r="D435" s="338">
        <f t="shared" si="163"/>
        <v>1.518615386142288</v>
      </c>
      <c r="E435" s="338">
        <f t="shared" si="164"/>
        <v>1.0063873895258921</v>
      </c>
      <c r="F435" s="339">
        <f t="shared" si="165"/>
        <v>0.11272599399329156</v>
      </c>
      <c r="G435" s="338">
        <f t="shared" si="166"/>
        <v>1</v>
      </c>
      <c r="H435" s="339">
        <f t="shared" si="167"/>
        <v>0</v>
      </c>
      <c r="I435" s="337">
        <f t="shared" si="168"/>
        <v>99462.267568853611</v>
      </c>
      <c r="J435" s="340">
        <f t="shared" si="169"/>
        <v>1.5707862727309339</v>
      </c>
      <c r="K435" s="348">
        <f t="shared" si="185"/>
        <v>18.672475712299924</v>
      </c>
      <c r="L435" s="349">
        <f t="shared" si="186"/>
        <v>1.5172159311265299</v>
      </c>
      <c r="M435" s="337">
        <f t="shared" si="170"/>
        <v>1.0849092560990057</v>
      </c>
      <c r="N435" s="340">
        <f t="shared" si="171"/>
        <v>0.39826286673231864</v>
      </c>
      <c r="O435" s="341">
        <f t="shared" si="172"/>
        <v>1.0508770317521978</v>
      </c>
      <c r="P435" s="342">
        <f t="shared" si="173"/>
        <v>0.64645690608333117</v>
      </c>
      <c r="Q435" s="343">
        <f t="shared" si="174"/>
        <v>-7.4267982360319333</v>
      </c>
      <c r="R435" s="344">
        <f t="shared" si="175"/>
        <v>-143.47891703350817</v>
      </c>
      <c r="S435" s="346">
        <f t="shared" si="176"/>
        <v>36.521082966491832</v>
      </c>
      <c r="U435" s="319">
        <f t="shared" si="182"/>
        <v>44160</v>
      </c>
      <c r="V435" s="319">
        <f t="shared" si="183"/>
        <v>1950105600</v>
      </c>
      <c r="X435" s="345">
        <f t="shared" si="177"/>
        <v>22.470227051855879</v>
      </c>
      <c r="Y435" s="346">
        <f t="shared" si="178"/>
        <v>-25.888135911130959</v>
      </c>
      <c r="AA435" s="345">
        <f t="shared" si="179"/>
        <v>33.712096001274816</v>
      </c>
      <c r="AB435" s="346">
        <f t="shared" si="180"/>
        <v>-117.59078112237719</v>
      </c>
      <c r="AD435">
        <f t="shared" si="184"/>
        <v>0</v>
      </c>
      <c r="AE435">
        <f t="shared" si="187"/>
        <v>0</v>
      </c>
    </row>
    <row r="436" spans="1:31" x14ac:dyDescent="0.25">
      <c r="A436" s="347">
        <v>44414</v>
      </c>
      <c r="B436" s="364">
        <f t="shared" si="181"/>
        <v>44.414000000000001</v>
      </c>
      <c r="C436" s="337">
        <f t="shared" si="162"/>
        <v>19.282764034399893</v>
      </c>
      <c r="D436" s="338">
        <f t="shared" si="163"/>
        <v>1.5189132678559167</v>
      </c>
      <c r="E436" s="338">
        <f t="shared" si="164"/>
        <v>1.0064608424358741</v>
      </c>
      <c r="F436" s="339">
        <f t="shared" si="165"/>
        <v>0.11336884704284497</v>
      </c>
      <c r="G436" s="338">
        <f t="shared" si="166"/>
        <v>1</v>
      </c>
      <c r="H436" s="339">
        <f t="shared" si="167"/>
        <v>0</v>
      </c>
      <c r="I436" s="337">
        <f t="shared" si="168"/>
        <v>100034.35579258417</v>
      </c>
      <c r="J436" s="340">
        <f t="shared" si="169"/>
        <v>1.5707863302292957</v>
      </c>
      <c r="K436" s="348">
        <f t="shared" si="185"/>
        <v>18.779569115998076</v>
      </c>
      <c r="L436" s="349">
        <f t="shared" si="186"/>
        <v>1.5175217718678078</v>
      </c>
      <c r="M436" s="337">
        <f t="shared" si="170"/>
        <v>1.0858500887029046</v>
      </c>
      <c r="N436" s="340">
        <f t="shared" si="171"/>
        <v>0.40031716153988367</v>
      </c>
      <c r="O436" s="341">
        <f t="shared" si="172"/>
        <v>1.0515937529211035</v>
      </c>
      <c r="P436" s="342">
        <f t="shared" si="173"/>
        <v>0.65028564790711851</v>
      </c>
      <c r="Q436" s="343">
        <f t="shared" si="174"/>
        <v>-7.4894391740962654</v>
      </c>
      <c r="R436" s="344">
        <f t="shared" si="175"/>
        <v>-143.77870471268167</v>
      </c>
      <c r="S436" s="346">
        <f t="shared" si="176"/>
        <v>36.221295287318327</v>
      </c>
      <c r="U436" s="319">
        <f t="shared" si="182"/>
        <v>44414</v>
      </c>
      <c r="V436" s="319">
        <f t="shared" si="183"/>
        <v>1972603396</v>
      </c>
      <c r="X436" s="345">
        <f t="shared" si="177"/>
        <v>22.462555852920858</v>
      </c>
      <c r="Y436" s="346">
        <f t="shared" si="178"/>
        <v>-25.988318244329633</v>
      </c>
      <c r="AA436" s="345">
        <f t="shared" si="179"/>
        <v>33.657126262145511</v>
      </c>
      <c r="AB436" s="346">
        <f t="shared" si="180"/>
        <v>-117.79038646835203</v>
      </c>
      <c r="AD436">
        <f t="shared" si="184"/>
        <v>0</v>
      </c>
      <c r="AE436">
        <f t="shared" si="187"/>
        <v>0</v>
      </c>
    </row>
    <row r="437" spans="1:31" x14ac:dyDescent="0.25">
      <c r="A437" s="347">
        <v>44668</v>
      </c>
      <c r="B437" s="364">
        <f t="shared" si="181"/>
        <v>44.667999999999999</v>
      </c>
      <c r="C437" s="337">
        <f t="shared" si="162"/>
        <v>19.392744829438939</v>
      </c>
      <c r="D437" s="338">
        <f t="shared" si="163"/>
        <v>1.5192077708815896</v>
      </c>
      <c r="E437" s="338">
        <f t="shared" si="164"/>
        <v>1.0065347112151011</v>
      </c>
      <c r="F437" s="339">
        <f t="shared" si="165"/>
        <v>0.11401160600104798</v>
      </c>
      <c r="G437" s="338">
        <f t="shared" si="166"/>
        <v>1</v>
      </c>
      <c r="H437" s="339">
        <f t="shared" si="167"/>
        <v>0</v>
      </c>
      <c r="I437" s="337">
        <f t="shared" si="168"/>
        <v>100606.44401631509</v>
      </c>
      <c r="J437" s="340">
        <f t="shared" si="169"/>
        <v>1.5707863870737406</v>
      </c>
      <c r="K437" s="348">
        <f t="shared" si="185"/>
        <v>18.886664256388844</v>
      </c>
      <c r="L437" s="349">
        <f t="shared" si="186"/>
        <v>1.517824144151966</v>
      </c>
      <c r="M437" s="337">
        <f t="shared" si="170"/>
        <v>1.0867954957870223</v>
      </c>
      <c r="N437" s="340">
        <f t="shared" si="171"/>
        <v>0.40236789091324449</v>
      </c>
      <c r="O437" s="341">
        <f t="shared" si="172"/>
        <v>1.0523174058805238</v>
      </c>
      <c r="P437" s="342">
        <f t="shared" si="173"/>
        <v>0.65411528414943165</v>
      </c>
      <c r="Q437" s="343">
        <f t="shared" si="174"/>
        <v>-7.5518755804514122</v>
      </c>
      <c r="R437" s="344">
        <f t="shared" si="175"/>
        <v>-144.07834985089445</v>
      </c>
      <c r="S437" s="346">
        <f t="shared" si="176"/>
        <v>35.921650149105545</v>
      </c>
      <c r="U437" s="319">
        <f t="shared" si="182"/>
        <v>44668</v>
      </c>
      <c r="V437" s="319">
        <f t="shared" si="183"/>
        <v>1995230224</v>
      </c>
      <c r="X437" s="345">
        <f t="shared" si="177"/>
        <v>22.454857026606739</v>
      </c>
      <c r="Y437" s="346">
        <f t="shared" si="178"/>
        <v>-26.088494983683969</v>
      </c>
      <c r="AA437" s="345">
        <f t="shared" si="179"/>
        <v>33.602388682104468</v>
      </c>
      <c r="AB437" s="346">
        <f t="shared" si="180"/>
        <v>-117.98985486721047</v>
      </c>
      <c r="AD437">
        <f t="shared" si="184"/>
        <v>0</v>
      </c>
      <c r="AE437">
        <f t="shared" si="187"/>
        <v>0</v>
      </c>
    </row>
    <row r="438" spans="1:31" x14ac:dyDescent="0.25">
      <c r="A438" s="347">
        <v>44928.25</v>
      </c>
      <c r="B438" s="364">
        <f t="shared" si="181"/>
        <v>44.928249999999998</v>
      </c>
      <c r="C438" s="337">
        <f t="shared" si="162"/>
        <v>19.505433569474924</v>
      </c>
      <c r="D438" s="338">
        <f t="shared" si="163"/>
        <v>1.5195060758324102</v>
      </c>
      <c r="E438" s="338">
        <f t="shared" si="164"/>
        <v>1.0066108288805173</v>
      </c>
      <c r="F438" s="339">
        <f t="shared" si="165"/>
        <v>0.11467008275214963</v>
      </c>
      <c r="G438" s="338">
        <f t="shared" si="166"/>
        <v>1</v>
      </c>
      <c r="H438" s="339">
        <f t="shared" si="167"/>
        <v>0</v>
      </c>
      <c r="I438" s="337">
        <f t="shared" si="168"/>
        <v>101192.60921405545</v>
      </c>
      <c r="J438" s="340">
        <f t="shared" si="169"/>
        <v>1.570786444650264</v>
      </c>
      <c r="K438" s="348">
        <f t="shared" si="185"/>
        <v>18.996396382451501</v>
      </c>
      <c r="L438" s="349">
        <f t="shared" si="186"/>
        <v>1.5181304204596198</v>
      </c>
      <c r="M438" s="337">
        <f t="shared" si="170"/>
        <v>1.0877688980742772</v>
      </c>
      <c r="N438" s="340">
        <f t="shared" si="171"/>
        <v>0.40446537474430483</v>
      </c>
      <c r="O438" s="341">
        <f t="shared" si="172"/>
        <v>1.0530660994624461</v>
      </c>
      <c r="P438" s="342">
        <f t="shared" si="173"/>
        <v>0.65804005868398352</v>
      </c>
      <c r="Q438" s="343">
        <f t="shared" si="174"/>
        <v>-7.6156396077843933</v>
      </c>
      <c r="R438" s="344">
        <f t="shared" si="175"/>
        <v>-144.38521847377464</v>
      </c>
      <c r="S438" s="346">
        <f t="shared" si="176"/>
        <v>35.614781526225357</v>
      </c>
      <c r="U438" s="319">
        <f t="shared" si="182"/>
        <v>44928.25</v>
      </c>
      <c r="V438" s="319">
        <f t="shared" si="183"/>
        <v>2018547648.0625</v>
      </c>
      <c r="X438" s="345">
        <f t="shared" si="177"/>
        <v>22.446940235954976</v>
      </c>
      <c r="Y438" s="346">
        <f t="shared" si="178"/>
        <v>-26.191126914016305</v>
      </c>
      <c r="AA438" s="345">
        <f t="shared" si="179"/>
        <v>33.546541445423259</v>
      </c>
      <c r="AB438" s="346">
        <f t="shared" si="180"/>
        <v>-118.19409155975833</v>
      </c>
      <c r="AD438">
        <f t="shared" si="184"/>
        <v>0</v>
      </c>
      <c r="AE438">
        <f t="shared" si="187"/>
        <v>0</v>
      </c>
    </row>
    <row r="439" spans="1:31" x14ac:dyDescent="0.25">
      <c r="A439" s="347">
        <v>45188.5</v>
      </c>
      <c r="B439" s="364">
        <f t="shared" si="181"/>
        <v>45.188499999999998</v>
      </c>
      <c r="C439" s="337">
        <f t="shared" si="162"/>
        <v>19.618124025278075</v>
      </c>
      <c r="D439" s="338">
        <f t="shared" si="163"/>
        <v>1.519800953761778</v>
      </c>
      <c r="E439" s="338">
        <f t="shared" si="164"/>
        <v>1.006687382937852</v>
      </c>
      <c r="F439" s="339">
        <f t="shared" si="165"/>
        <v>0.1153284596402787</v>
      </c>
      <c r="G439" s="338">
        <f t="shared" si="166"/>
        <v>1</v>
      </c>
      <c r="H439" s="339">
        <f t="shared" si="167"/>
        <v>0</v>
      </c>
      <c r="I439" s="337">
        <f t="shared" si="168"/>
        <v>101778.77441179617</v>
      </c>
      <c r="J439" s="340">
        <f t="shared" si="169"/>
        <v>1.5707865015635967</v>
      </c>
      <c r="K439" s="348">
        <f t="shared" si="185"/>
        <v>19.106130270005732</v>
      </c>
      <c r="L439" s="349">
        <f t="shared" si="186"/>
        <v>1.5184331786690808</v>
      </c>
      <c r="M439" s="337">
        <f t="shared" si="170"/>
        <v>1.0887470773643957</v>
      </c>
      <c r="N439" s="340">
        <f t="shared" si="171"/>
        <v>0.4065590988253962</v>
      </c>
      <c r="O439" s="341">
        <f t="shared" si="172"/>
        <v>1.0538221606108655</v>
      </c>
      <c r="P439" s="342">
        <f t="shared" si="173"/>
        <v>0.66196572589979052</v>
      </c>
      <c r="Q439" s="343">
        <f t="shared" si="174"/>
        <v>-7.6791958353303347</v>
      </c>
      <c r="R439" s="344">
        <f t="shared" si="175"/>
        <v>-144.6919337277595</v>
      </c>
      <c r="S439" s="346">
        <f t="shared" si="176"/>
        <v>35.308066272240495</v>
      </c>
      <c r="U439" s="319">
        <f t="shared" si="182"/>
        <v>45188.5</v>
      </c>
      <c r="V439" s="319">
        <f t="shared" si="183"/>
        <v>2042000532.25</v>
      </c>
      <c r="X439" s="345">
        <f t="shared" si="177"/>
        <v>22.438994708901166</v>
      </c>
      <c r="Y439" s="346">
        <f t="shared" si="178"/>
        <v>-26.293744960723718</v>
      </c>
      <c r="AA439" s="345">
        <f t="shared" si="179"/>
        <v>33.490930744931127</v>
      </c>
      <c r="AB439" s="346">
        <f t="shared" si="180"/>
        <v>-118.39818876703576</v>
      </c>
      <c r="AD439">
        <f t="shared" si="184"/>
        <v>0</v>
      </c>
      <c r="AE439">
        <f t="shared" si="187"/>
        <v>0</v>
      </c>
    </row>
    <row r="440" spans="1:31" x14ac:dyDescent="0.25">
      <c r="A440" s="347">
        <v>45448.75</v>
      </c>
      <c r="B440" s="364">
        <f t="shared" si="181"/>
        <v>45.448749999999997</v>
      </c>
      <c r="C440" s="337">
        <f t="shared" si="162"/>
        <v>19.730816167450136</v>
      </c>
      <c r="D440" s="338">
        <f t="shared" si="163"/>
        <v>1.5200924633380513</v>
      </c>
      <c r="E440" s="338">
        <f t="shared" si="164"/>
        <v>1.0067643732875557</v>
      </c>
      <c r="F440" s="339">
        <f t="shared" si="165"/>
        <v>0.11598673611752101</v>
      </c>
      <c r="G440" s="338">
        <f t="shared" si="166"/>
        <v>1</v>
      </c>
      <c r="H440" s="339">
        <f t="shared" si="167"/>
        <v>0</v>
      </c>
      <c r="I440" s="337">
        <f t="shared" si="168"/>
        <v>102364.93960953718</v>
      </c>
      <c r="J440" s="340">
        <f t="shared" si="169"/>
        <v>1.5707865578251319</v>
      </c>
      <c r="K440" s="348">
        <f t="shared" si="185"/>
        <v>19.215865888874081</v>
      </c>
      <c r="L440" s="349">
        <f t="shared" si="186"/>
        <v>1.5187324789965408</v>
      </c>
      <c r="M440" s="337">
        <f t="shared" si="170"/>
        <v>1.0897300207933693</v>
      </c>
      <c r="N440" s="340">
        <f t="shared" si="171"/>
        <v>0.40864905494949977</v>
      </c>
      <c r="O440" s="341">
        <f t="shared" si="172"/>
        <v>1.0545856352069305</v>
      </c>
      <c r="P440" s="342">
        <f t="shared" si="173"/>
        <v>0.66589226177636618</v>
      </c>
      <c r="Q440" s="343">
        <f t="shared" si="174"/>
        <v>-7.7425476758455378</v>
      </c>
      <c r="R440" s="344">
        <f t="shared" si="175"/>
        <v>-144.99849370971046</v>
      </c>
      <c r="S440" s="346">
        <f t="shared" si="176"/>
        <v>35.001506290289541</v>
      </c>
      <c r="U440" s="319">
        <f t="shared" si="182"/>
        <v>45448.75</v>
      </c>
      <c r="V440" s="319">
        <f t="shared" si="183"/>
        <v>2065588876.5625</v>
      </c>
      <c r="X440" s="345">
        <f t="shared" si="177"/>
        <v>22.431020583064274</v>
      </c>
      <c r="Y440" s="346">
        <f t="shared" si="178"/>
        <v>-26.396345204097774</v>
      </c>
      <c r="AA440" s="345">
        <f t="shared" si="179"/>
        <v>33.435553030252819</v>
      </c>
      <c r="AB440" s="346">
        <f t="shared" si="180"/>
        <v>-118.60214850561267</v>
      </c>
      <c r="AD440">
        <f t="shared" si="184"/>
        <v>0</v>
      </c>
      <c r="AE440">
        <f t="shared" si="187"/>
        <v>0</v>
      </c>
    </row>
    <row r="441" spans="1:31" x14ac:dyDescent="0.25">
      <c r="A441" s="347">
        <v>45709</v>
      </c>
      <c r="B441" s="364">
        <f t="shared" si="181"/>
        <v>45.709000000000003</v>
      </c>
      <c r="C441" s="337">
        <f t="shared" si="162"/>
        <v>19.843509967260221</v>
      </c>
      <c r="D441" s="338">
        <f t="shared" si="163"/>
        <v>1.5203806618991671</v>
      </c>
      <c r="E441" s="338">
        <f t="shared" si="164"/>
        <v>1.0068417998295427</v>
      </c>
      <c r="F441" s="339">
        <f t="shared" si="165"/>
        <v>0.11664491163647753</v>
      </c>
      <c r="G441" s="338">
        <f t="shared" si="166"/>
        <v>1</v>
      </c>
      <c r="H441" s="339">
        <f t="shared" si="167"/>
        <v>0</v>
      </c>
      <c r="I441" s="337">
        <f t="shared" si="168"/>
        <v>102951.10480727852</v>
      </c>
      <c r="J441" s="340">
        <f t="shared" si="169"/>
        <v>1.5707866134460027</v>
      </c>
      <c r="K441" s="348">
        <f t="shared" si="185"/>
        <v>19.325603209564047</v>
      </c>
      <c r="L441" s="349">
        <f t="shared" si="186"/>
        <v>1.5190283802929903</v>
      </c>
      <c r="M441" s="337">
        <f t="shared" si="170"/>
        <v>1.0907177154810219</v>
      </c>
      <c r="N441" s="340">
        <f t="shared" si="171"/>
        <v>0.41073523507077331</v>
      </c>
      <c r="O441" s="341">
        <f t="shared" si="172"/>
        <v>1.0553565691997013</v>
      </c>
      <c r="P441" s="342">
        <f t="shared" si="173"/>
        <v>0.66981964189702314</v>
      </c>
      <c r="Q441" s="343">
        <f t="shared" si="174"/>
        <v>-7.8056984832980545</v>
      </c>
      <c r="R441" s="344">
        <f t="shared" si="175"/>
        <v>-145.30489650497162</v>
      </c>
      <c r="S441" s="346">
        <f t="shared" si="176"/>
        <v>34.695103495028377</v>
      </c>
      <c r="U441" s="319">
        <f t="shared" si="182"/>
        <v>45709</v>
      </c>
      <c r="V441" s="319">
        <f t="shared" si="183"/>
        <v>2089312681</v>
      </c>
      <c r="X441" s="345">
        <f t="shared" si="177"/>
        <v>22.42301799754582</v>
      </c>
      <c r="Y441" s="346">
        <f t="shared" si="178"/>
        <v>-26.49892381187021</v>
      </c>
      <c r="AA441" s="345">
        <f t="shared" si="179"/>
        <v>33.380404808318751</v>
      </c>
      <c r="AB441" s="346">
        <f t="shared" si="180"/>
        <v>-118.80597269310147</v>
      </c>
      <c r="AD441">
        <f t="shared" si="184"/>
        <v>0</v>
      </c>
      <c r="AE441">
        <f t="shared" si="187"/>
        <v>0</v>
      </c>
    </row>
    <row r="442" spans="1:31" x14ac:dyDescent="0.25">
      <c r="A442" s="347">
        <v>45975.25</v>
      </c>
      <c r="B442" s="364">
        <f t="shared" si="181"/>
        <v>45.975250000000003</v>
      </c>
      <c r="C442" s="337">
        <f t="shared" si="162"/>
        <v>19.958803581142579</v>
      </c>
      <c r="D442" s="338">
        <f t="shared" si="163"/>
        <v>1.520672136846603</v>
      </c>
      <c r="E442" s="338">
        <f t="shared" si="164"/>
        <v>1.006921462709222</v>
      </c>
      <c r="F442" s="339">
        <f t="shared" si="165"/>
        <v>0.1173181561840447</v>
      </c>
      <c r="G442" s="338">
        <f t="shared" si="166"/>
        <v>1</v>
      </c>
      <c r="H442" s="339">
        <f t="shared" si="167"/>
        <v>0</v>
      </c>
      <c r="I442" s="337">
        <f t="shared" si="168"/>
        <v>103550.78390006899</v>
      </c>
      <c r="J442" s="340">
        <f t="shared" si="169"/>
        <v>1.5707866696975541</v>
      </c>
      <c r="K442" s="348">
        <f t="shared" si="185"/>
        <v>19.437872228371369</v>
      </c>
      <c r="L442" s="349">
        <f t="shared" si="186"/>
        <v>1.5193276460197702</v>
      </c>
      <c r="M442" s="337">
        <f t="shared" si="170"/>
        <v>1.0917330846100448</v>
      </c>
      <c r="N442" s="340">
        <f t="shared" si="171"/>
        <v>0.41286559575328247</v>
      </c>
      <c r="O442" s="341">
        <f t="shared" si="172"/>
        <v>1.0561530442110652</v>
      </c>
      <c r="P442" s="342">
        <f t="shared" si="173"/>
        <v>0.67383841459278626</v>
      </c>
      <c r="Q442" s="343">
        <f t="shared" si="174"/>
        <v>-7.8701006157068942</v>
      </c>
      <c r="R442" s="344">
        <f t="shared" si="175"/>
        <v>-145.61819866861285</v>
      </c>
      <c r="S442" s="346">
        <f t="shared" si="176"/>
        <v>34.381801331387152</v>
      </c>
      <c r="U442" s="319">
        <f t="shared" si="182"/>
        <v>45975.25</v>
      </c>
      <c r="V442" s="319">
        <f t="shared" si="183"/>
        <v>2113723612.5625</v>
      </c>
      <c r="X442" s="345">
        <f t="shared" si="177"/>
        <v>22.414801609479625</v>
      </c>
      <c r="Y442" s="346">
        <f t="shared" si="178"/>
        <v>-26.603841047817557</v>
      </c>
      <c r="AA442" s="345">
        <f t="shared" si="179"/>
        <v>33.324219063976102</v>
      </c>
      <c r="AB442" s="346">
        <f t="shared" si="180"/>
        <v>-119.01435762079529</v>
      </c>
      <c r="AD442">
        <f t="shared" si="184"/>
        <v>0</v>
      </c>
      <c r="AE442">
        <f t="shared" si="187"/>
        <v>0</v>
      </c>
    </row>
    <row r="443" spans="1:31" x14ac:dyDescent="0.25">
      <c r="A443" s="347">
        <v>46241.5</v>
      </c>
      <c r="B443" s="364">
        <f t="shared" si="181"/>
        <v>46.241500000000002</v>
      </c>
      <c r="C443" s="337">
        <f t="shared" si="162"/>
        <v>20.074098871200171</v>
      </c>
      <c r="D443" s="338">
        <f t="shared" si="163"/>
        <v>1.5209602636541819</v>
      </c>
      <c r="E443" s="338">
        <f t="shared" si="164"/>
        <v>1.0070015819120013</v>
      </c>
      <c r="F443" s="339">
        <f t="shared" si="165"/>
        <v>0.11799129390712024</v>
      </c>
      <c r="G443" s="338">
        <f t="shared" si="166"/>
        <v>1</v>
      </c>
      <c r="H443" s="339">
        <f t="shared" si="167"/>
        <v>0</v>
      </c>
      <c r="I443" s="337">
        <f t="shared" si="168"/>
        <v>104150.46299285977</v>
      </c>
      <c r="J443" s="340">
        <f t="shared" si="169"/>
        <v>1.5707867253013335</v>
      </c>
      <c r="K443" s="348">
        <f t="shared" si="185"/>
        <v>19.550142968039811</v>
      </c>
      <c r="L443" s="349">
        <f t="shared" si="186"/>
        <v>1.5196234745821218</v>
      </c>
      <c r="M443" s="337">
        <f t="shared" si="170"/>
        <v>1.0927533992796223</v>
      </c>
      <c r="N443" s="340">
        <f t="shared" si="171"/>
        <v>0.4149919877935786</v>
      </c>
      <c r="O443" s="341">
        <f t="shared" si="172"/>
        <v>1.0569574240288271</v>
      </c>
      <c r="P443" s="342">
        <f t="shared" si="173"/>
        <v>0.67785801794552503</v>
      </c>
      <c r="Q443" s="343">
        <f t="shared" si="174"/>
        <v>-7.9342992574331461</v>
      </c>
      <c r="R443" s="344">
        <f t="shared" si="175"/>
        <v>-145.9313322231537</v>
      </c>
      <c r="S443" s="346">
        <f t="shared" si="176"/>
        <v>34.068667776846297</v>
      </c>
      <c r="U443" s="319">
        <f t="shared" si="182"/>
        <v>46241.5</v>
      </c>
      <c r="V443" s="319">
        <f t="shared" si="183"/>
        <v>2138276322.25</v>
      </c>
      <c r="X443" s="345">
        <f t="shared" si="177"/>
        <v>22.406555733355944</v>
      </c>
      <c r="Y443" s="346">
        <f t="shared" si="178"/>
        <v>-26.708727795216301</v>
      </c>
      <c r="AA443" s="345">
        <f t="shared" si="179"/>
        <v>33.26826629837354</v>
      </c>
      <c r="AB443" s="346">
        <f t="shared" si="180"/>
        <v>-119.22260442793737</v>
      </c>
      <c r="AD443">
        <f t="shared" si="184"/>
        <v>0</v>
      </c>
      <c r="AE443">
        <f t="shared" si="187"/>
        <v>0</v>
      </c>
    </row>
    <row r="444" spans="1:31" x14ac:dyDescent="0.25">
      <c r="A444" s="347">
        <v>46507.75</v>
      </c>
      <c r="B444" s="364">
        <f t="shared" si="181"/>
        <v>46.507750000000001</v>
      </c>
      <c r="C444" s="337">
        <f t="shared" si="162"/>
        <v>20.189395808716665</v>
      </c>
      <c r="D444" s="338">
        <f t="shared" si="163"/>
        <v>1.5212450996349911</v>
      </c>
      <c r="E444" s="338">
        <f t="shared" si="164"/>
        <v>1.0070821573289712</v>
      </c>
      <c r="F444" s="339">
        <f t="shared" si="165"/>
        <v>0.118664324221256</v>
      </c>
      <c r="G444" s="338">
        <f t="shared" si="166"/>
        <v>1</v>
      </c>
      <c r="H444" s="339">
        <f t="shared" si="167"/>
        <v>0</v>
      </c>
      <c r="I444" s="337">
        <f t="shared" si="168"/>
        <v>104750.14208565088</v>
      </c>
      <c r="J444" s="340">
        <f t="shared" si="169"/>
        <v>1.5707867802684661</v>
      </c>
      <c r="K444" s="348">
        <f t="shared" si="185"/>
        <v>19.662415399091472</v>
      </c>
      <c r="L444" s="349">
        <f t="shared" si="186"/>
        <v>1.5199159248064644</v>
      </c>
      <c r="M444" s="337">
        <f t="shared" si="170"/>
        <v>1.0937786456496394</v>
      </c>
      <c r="N444" s="340">
        <f t="shared" si="171"/>
        <v>0.41711440309574105</v>
      </c>
      <c r="O444" s="341">
        <f t="shared" si="172"/>
        <v>1.0577697580516927</v>
      </c>
      <c r="P444" s="342">
        <f t="shared" si="173"/>
        <v>0.68187842453302494</v>
      </c>
      <c r="Q444" s="343">
        <f t="shared" si="174"/>
        <v>-7.9982978169610242</v>
      </c>
      <c r="R444" s="344">
        <f t="shared" si="175"/>
        <v>-146.24429508097128</v>
      </c>
      <c r="S444" s="346">
        <f t="shared" si="176"/>
        <v>33.755704919028716</v>
      </c>
      <c r="U444" s="319">
        <f t="shared" si="182"/>
        <v>46507.75</v>
      </c>
      <c r="V444" s="319">
        <f t="shared" si="183"/>
        <v>2162970810.0625</v>
      </c>
      <c r="X444" s="345">
        <f t="shared" si="177"/>
        <v>22.398280522527351</v>
      </c>
      <c r="Y444" s="346">
        <f t="shared" si="178"/>
        <v>-26.813580220336224</v>
      </c>
      <c r="AA444" s="345">
        <f t="shared" si="179"/>
        <v>33.212542949674251</v>
      </c>
      <c r="AB444" s="346">
        <f t="shared" si="180"/>
        <v>-119.43071486063504</v>
      </c>
      <c r="AD444">
        <f t="shared" si="184"/>
        <v>0</v>
      </c>
      <c r="AE444">
        <f t="shared" si="187"/>
        <v>0</v>
      </c>
    </row>
    <row r="445" spans="1:31" x14ac:dyDescent="0.25">
      <c r="A445" s="347">
        <v>46774</v>
      </c>
      <c r="B445" s="364">
        <f t="shared" si="181"/>
        <v>46.774000000000001</v>
      </c>
      <c r="C445" s="337">
        <f t="shared" si="162"/>
        <v>20.304694365627576</v>
      </c>
      <c r="D445" s="338">
        <f t="shared" si="163"/>
        <v>1.5215267008024913</v>
      </c>
      <c r="E445" s="338">
        <f t="shared" si="164"/>
        <v>1.0071631888506372</v>
      </c>
      <c r="F445" s="339">
        <f t="shared" si="165"/>
        <v>0.11933724654257959</v>
      </c>
      <c r="G445" s="338">
        <f t="shared" si="166"/>
        <v>1</v>
      </c>
      <c r="H445" s="339">
        <f t="shared" si="167"/>
        <v>0</v>
      </c>
      <c r="I445" s="337">
        <f t="shared" si="168"/>
        <v>105349.82117844229</v>
      </c>
      <c r="J445" s="340">
        <f t="shared" si="169"/>
        <v>1.5707868346098237</v>
      </c>
      <c r="K445" s="348">
        <f t="shared" si="185"/>
        <v>19.774689492717435</v>
      </c>
      <c r="L445" s="349">
        <f t="shared" si="186"/>
        <v>1.5202050541855732</v>
      </c>
      <c r="M445" s="337">
        <f t="shared" si="170"/>
        <v>1.0948088098650524</v>
      </c>
      <c r="N445" s="340">
        <f t="shared" si="171"/>
        <v>0.41923283373741171</v>
      </c>
      <c r="O445" s="341">
        <f t="shared" si="172"/>
        <v>1.0585900957372587</v>
      </c>
      <c r="P445" s="342">
        <f t="shared" si="173"/>
        <v>0.68589960650599424</v>
      </c>
      <c r="Q445" s="343">
        <f t="shared" si="174"/>
        <v>-8.0620996437641974</v>
      </c>
      <c r="R445" s="344">
        <f t="shared" si="175"/>
        <v>-146.55708514181887</v>
      </c>
      <c r="S445" s="346">
        <f t="shared" si="176"/>
        <v>33.442914858181126</v>
      </c>
      <c r="U445" s="319">
        <f t="shared" si="182"/>
        <v>46774</v>
      </c>
      <c r="V445" s="319">
        <f t="shared" si="183"/>
        <v>2187807076</v>
      </c>
      <c r="X445" s="345">
        <f t="shared" si="177"/>
        <v>22.389976131700855</v>
      </c>
      <c r="Y445" s="346">
        <f t="shared" si="178"/>
        <v>-26.9183945757892</v>
      </c>
      <c r="AA445" s="345">
        <f t="shared" si="179"/>
        <v>33.157045513697575</v>
      </c>
      <c r="AB445" s="346">
        <f t="shared" si="180"/>
        <v>-119.63869056602964</v>
      </c>
      <c r="AD445">
        <f t="shared" si="184"/>
        <v>0</v>
      </c>
      <c r="AE445">
        <f t="shared" si="187"/>
        <v>0</v>
      </c>
    </row>
    <row r="446" spans="1:31" x14ac:dyDescent="0.25">
      <c r="A446" s="347">
        <v>47046.25</v>
      </c>
      <c r="B446" s="364">
        <f t="shared" si="181"/>
        <v>47.046250000000001</v>
      </c>
      <c r="C446" s="337">
        <f t="shared" si="162"/>
        <v>20.422592845848339</v>
      </c>
      <c r="D446" s="338">
        <f t="shared" si="163"/>
        <v>1.5218113599643934</v>
      </c>
      <c r="E446" s="338">
        <f t="shared" si="164"/>
        <v>1.0072465179582095</v>
      </c>
      <c r="F446" s="339">
        <f t="shared" si="165"/>
        <v>0.12002522103219983</v>
      </c>
      <c r="G446" s="338">
        <f t="shared" si="166"/>
        <v>1</v>
      </c>
      <c r="H446" s="339">
        <f t="shared" si="167"/>
        <v>0</v>
      </c>
      <c r="I446" s="337">
        <f t="shared" si="168"/>
        <v>105963.01416628285</v>
      </c>
      <c r="J446" s="340">
        <f t="shared" si="169"/>
        <v>1.5707868895397574</v>
      </c>
      <c r="K446" s="348">
        <f t="shared" si="185"/>
        <v>19.889495396626558</v>
      </c>
      <c r="L446" s="349">
        <f t="shared" si="186"/>
        <v>1.5204973237535735</v>
      </c>
      <c r="M446" s="337">
        <f t="shared" si="170"/>
        <v>1.0958672599304196</v>
      </c>
      <c r="N446" s="340">
        <f t="shared" si="171"/>
        <v>0.42139487522343722</v>
      </c>
      <c r="O446" s="341">
        <f t="shared" si="172"/>
        <v>1.0594372477308645</v>
      </c>
      <c r="P446" s="342">
        <f t="shared" si="173"/>
        <v>0.69001217899739586</v>
      </c>
      <c r="Q446" s="343">
        <f t="shared" si="174"/>
        <v>-8.1271392544839021</v>
      </c>
      <c r="R446" s="344">
        <f t="shared" si="175"/>
        <v>-146.87674310960011</v>
      </c>
      <c r="S446" s="346">
        <f t="shared" si="176"/>
        <v>33.123256890399887</v>
      </c>
      <c r="U446" s="319">
        <f t="shared" si="182"/>
        <v>47046.25</v>
      </c>
      <c r="V446" s="319">
        <f t="shared" si="183"/>
        <v>2213349639.0625</v>
      </c>
      <c r="X446" s="345">
        <f t="shared" si="177"/>
        <v>22.381454588430042</v>
      </c>
      <c r="Y446" s="346">
        <f t="shared" si="178"/>
        <v>-27.025527762719896</v>
      </c>
      <c r="AA446" s="345">
        <f t="shared" si="179"/>
        <v>33.100527446248677</v>
      </c>
      <c r="AB446" s="346">
        <f t="shared" si="180"/>
        <v>-119.85121534688021</v>
      </c>
      <c r="AD446">
        <f t="shared" si="184"/>
        <v>0</v>
      </c>
      <c r="AE446">
        <f t="shared" si="187"/>
        <v>0</v>
      </c>
    </row>
    <row r="447" spans="1:31" x14ac:dyDescent="0.25">
      <c r="A447" s="347">
        <v>47318.5</v>
      </c>
      <c r="B447" s="364">
        <f t="shared" si="181"/>
        <v>47.3185</v>
      </c>
      <c r="C447" s="337">
        <f t="shared" si="162"/>
        <v>20.540492961931694</v>
      </c>
      <c r="D447" s="338">
        <f t="shared" si="163"/>
        <v>1.5220927513258242</v>
      </c>
      <c r="E447" s="338">
        <f t="shared" si="164"/>
        <v>1.0073303237255158</v>
      </c>
      <c r="F447" s="339">
        <f t="shared" si="165"/>
        <v>0.1207130813740121</v>
      </c>
      <c r="G447" s="338">
        <f t="shared" si="166"/>
        <v>1</v>
      </c>
      <c r="H447" s="339">
        <f t="shared" si="167"/>
        <v>0</v>
      </c>
      <c r="I447" s="337">
        <f t="shared" si="168"/>
        <v>106576.20715412372</v>
      </c>
      <c r="J447" s="340">
        <f t="shared" si="169"/>
        <v>1.5707869438376052</v>
      </c>
      <c r="K447" s="348">
        <f t="shared" si="185"/>
        <v>20.004302980024917</v>
      </c>
      <c r="L447" s="349">
        <f t="shared" si="186"/>
        <v>1.5207862385915096</v>
      </c>
      <c r="M447" s="337">
        <f t="shared" si="170"/>
        <v>1.0969308226436905</v>
      </c>
      <c r="N447" s="340">
        <f t="shared" si="171"/>
        <v>0.42355273423350853</v>
      </c>
      <c r="O447" s="341">
        <f t="shared" si="172"/>
        <v>1.0602928729405392</v>
      </c>
      <c r="P447" s="342">
        <f t="shared" si="173"/>
        <v>0.69412550196353406</v>
      </c>
      <c r="Q447" s="343">
        <f t="shared" si="174"/>
        <v>-8.1919800655076944</v>
      </c>
      <c r="R447" s="344">
        <f t="shared" si="175"/>
        <v>-147.19621592286671</v>
      </c>
      <c r="S447" s="346">
        <f t="shared" si="176"/>
        <v>32.803784077133287</v>
      </c>
      <c r="U447" s="319">
        <f t="shared" si="182"/>
        <v>47318.5</v>
      </c>
      <c r="V447" s="319">
        <f t="shared" si="183"/>
        <v>2239040442.25</v>
      </c>
      <c r="X447" s="345">
        <f t="shared" si="177"/>
        <v>22.372902866417359</v>
      </c>
      <c r="Y447" s="346">
        <f t="shared" si="178"/>
        <v>-27.132613487088701</v>
      </c>
      <c r="AA447" s="345">
        <f t="shared" si="179"/>
        <v>33.044238357237575</v>
      </c>
      <c r="AB447" s="346">
        <f t="shared" si="180"/>
        <v>-120.06360243577799</v>
      </c>
      <c r="AD447">
        <f t="shared" si="184"/>
        <v>0</v>
      </c>
      <c r="AE447">
        <f t="shared" si="187"/>
        <v>0</v>
      </c>
    </row>
    <row r="448" spans="1:31" x14ac:dyDescent="0.25">
      <c r="A448" s="347">
        <v>47590.75</v>
      </c>
      <c r="B448" s="364">
        <f t="shared" si="181"/>
        <v>47.59075</v>
      </c>
      <c r="C448" s="337">
        <f t="shared" si="162"/>
        <v>20.658394685869407</v>
      </c>
      <c r="D448" s="338">
        <f t="shared" si="163"/>
        <v>1.522370930791872</v>
      </c>
      <c r="E448" s="338">
        <f t="shared" si="164"/>
        <v>1.0074146060335976</v>
      </c>
      <c r="F448" s="339">
        <f t="shared" si="165"/>
        <v>0.12140082694566068</v>
      </c>
      <c r="G448" s="338">
        <f t="shared" si="166"/>
        <v>1</v>
      </c>
      <c r="H448" s="339">
        <f t="shared" si="167"/>
        <v>0</v>
      </c>
      <c r="I448" s="337">
        <f t="shared" si="168"/>
        <v>107189.40014196491</v>
      </c>
      <c r="J448" s="340">
        <f t="shared" si="169"/>
        <v>1.570786997514215</v>
      </c>
      <c r="K448" s="348">
        <f t="shared" si="185"/>
        <v>20.119112214161031</v>
      </c>
      <c r="L448" s="349">
        <f t="shared" si="186"/>
        <v>1.5210718560817929</v>
      </c>
      <c r="M448" s="337">
        <f t="shared" si="170"/>
        <v>1.097999483147968</v>
      </c>
      <c r="N448" s="340">
        <f t="shared" si="171"/>
        <v>0.42570640285526667</v>
      </c>
      <c r="O448" s="341">
        <f t="shared" si="172"/>
        <v>1.0611570244085029</v>
      </c>
      <c r="P448" s="342">
        <f t="shared" si="173"/>
        <v>0.69823954425764057</v>
      </c>
      <c r="Q448" s="343">
        <f t="shared" si="174"/>
        <v>-8.2566254746102103</v>
      </c>
      <c r="R448" s="344">
        <f t="shared" si="175"/>
        <v>-147.51550129533098</v>
      </c>
      <c r="S448" s="346">
        <f t="shared" si="176"/>
        <v>32.484498704669022</v>
      </c>
      <c r="U448" s="319">
        <f t="shared" si="182"/>
        <v>47590.75</v>
      </c>
      <c r="V448" s="319">
        <f t="shared" si="183"/>
        <v>2264879485.5625</v>
      </c>
      <c r="X448" s="345">
        <f t="shared" si="177"/>
        <v>22.364321135059395</v>
      </c>
      <c r="Y448" s="346">
        <f t="shared" si="178"/>
        <v>-27.239648008402355</v>
      </c>
      <c r="AA448" s="345">
        <f t="shared" si="179"/>
        <v>32.988174679493021</v>
      </c>
      <c r="AB448" s="346">
        <f t="shared" si="180"/>
        <v>-120.27585328692861</v>
      </c>
      <c r="AD448">
        <f t="shared" si="184"/>
        <v>0</v>
      </c>
      <c r="AE448">
        <f t="shared" si="187"/>
        <v>0</v>
      </c>
    </row>
    <row r="449" spans="1:31" x14ac:dyDescent="0.25">
      <c r="A449" s="347">
        <v>47863</v>
      </c>
      <c r="B449" s="364">
        <f t="shared" si="181"/>
        <v>47.863</v>
      </c>
      <c r="C449" s="337">
        <f t="shared" si="162"/>
        <v>20.776297990288626</v>
      </c>
      <c r="D449" s="338">
        <f t="shared" si="163"/>
        <v>1.5226459530006176</v>
      </c>
      <c r="E449" s="338">
        <f t="shared" si="164"/>
        <v>1.0074993647628596</v>
      </c>
      <c r="F449" s="339">
        <f t="shared" si="165"/>
        <v>0.12208845712543187</v>
      </c>
      <c r="G449" s="338">
        <f t="shared" si="166"/>
        <v>1</v>
      </c>
      <c r="H449" s="339">
        <f t="shared" si="167"/>
        <v>0</v>
      </c>
      <c r="I449" s="337">
        <f t="shared" si="168"/>
        <v>107802.59312980638</v>
      </c>
      <c r="J449" s="340">
        <f t="shared" si="169"/>
        <v>1.570787050580188</v>
      </c>
      <c r="K449" s="348">
        <f t="shared" si="185"/>
        <v>20.233923070935557</v>
      </c>
      <c r="L449" s="349">
        <f t="shared" si="186"/>
        <v>1.5213542323066227</v>
      </c>
      <c r="M449" s="337">
        <f t="shared" si="170"/>
        <v>1.0990732265730665</v>
      </c>
      <c r="N449" s="340">
        <f t="shared" si="171"/>
        <v>0.42785587336254149</v>
      </c>
      <c r="O449" s="341">
        <f t="shared" si="172"/>
        <v>1.062029755223814</v>
      </c>
      <c r="P449" s="342">
        <f t="shared" si="173"/>
        <v>0.70235427427535424</v>
      </c>
      <c r="Q449" s="343">
        <f t="shared" si="174"/>
        <v>-8.3210788204054627</v>
      </c>
      <c r="R449" s="344">
        <f t="shared" si="175"/>
        <v>-147.83459692700649</v>
      </c>
      <c r="S449" s="346">
        <f t="shared" si="176"/>
        <v>32.165403072993513</v>
      </c>
      <c r="U449" s="319">
        <f t="shared" si="182"/>
        <v>47863</v>
      </c>
      <c r="V449" s="319">
        <f t="shared" si="183"/>
        <v>2290866769</v>
      </c>
      <c r="X449" s="345">
        <f t="shared" si="177"/>
        <v>22.355709564970731</v>
      </c>
      <c r="Y449" s="346">
        <f t="shared" si="178"/>
        <v>-27.346627671317989</v>
      </c>
      <c r="AA449" s="345">
        <f t="shared" si="179"/>
        <v>32.932332903786431</v>
      </c>
      <c r="AB449" s="346">
        <f t="shared" si="180"/>
        <v>-120.48796925568855</v>
      </c>
      <c r="AD449">
        <f t="shared" si="184"/>
        <v>0</v>
      </c>
      <c r="AE449">
        <f t="shared" si="187"/>
        <v>0</v>
      </c>
    </row>
    <row r="450" spans="1:31" x14ac:dyDescent="0.25">
      <c r="A450" s="347">
        <v>48141.75</v>
      </c>
      <c r="B450" s="364">
        <f t="shared" si="181"/>
        <v>48.141750000000002</v>
      </c>
      <c r="C450" s="337">
        <f t="shared" si="162"/>
        <v>20.897017859229496</v>
      </c>
      <c r="D450" s="338">
        <f t="shared" si="163"/>
        <v>1.5229243259366589</v>
      </c>
      <c r="E450" s="338">
        <f t="shared" si="164"/>
        <v>1.0075866406098271</v>
      </c>
      <c r="F450" s="339">
        <f t="shared" si="165"/>
        <v>0.12279238434881252</v>
      </c>
      <c r="G450" s="338">
        <f t="shared" si="166"/>
        <v>1</v>
      </c>
      <c r="H450" s="339">
        <f t="shared" si="167"/>
        <v>0</v>
      </c>
      <c r="I450" s="337">
        <f t="shared" si="168"/>
        <v>108430.42617061778</v>
      </c>
      <c r="J450" s="340">
        <f t="shared" si="169"/>
        <v>1.5707871042912569</v>
      </c>
      <c r="K450" s="348">
        <f t="shared" si="185"/>
        <v>20.351476702626339</v>
      </c>
      <c r="L450" s="349">
        <f t="shared" si="186"/>
        <v>1.5216400492703244</v>
      </c>
      <c r="M450" s="337">
        <f t="shared" si="170"/>
        <v>1.1001778566054243</v>
      </c>
      <c r="N450" s="340">
        <f t="shared" si="171"/>
        <v>0.43005230519406556</v>
      </c>
      <c r="O450" s="341">
        <f t="shared" si="172"/>
        <v>1.0629322671171235</v>
      </c>
      <c r="P450" s="342">
        <f t="shared" si="173"/>
        <v>0.7065679230095846</v>
      </c>
      <c r="Q450" s="343">
        <f t="shared" si="174"/>
        <v>-8.3868754267140275</v>
      </c>
      <c r="R450" s="344">
        <f t="shared" si="175"/>
        <v>-148.16111199720214</v>
      </c>
      <c r="S450" s="346">
        <f t="shared" si="176"/>
        <v>31.838888002797859</v>
      </c>
      <c r="U450" s="319">
        <f t="shared" si="182"/>
        <v>48141.75</v>
      </c>
      <c r="V450" s="319">
        <f t="shared" si="183"/>
        <v>2317628093.0625</v>
      </c>
      <c r="X450" s="345">
        <f t="shared" si="177"/>
        <v>22.346861656213449</v>
      </c>
      <c r="Y450" s="346">
        <f t="shared" si="178"/>
        <v>-27.456100917061818</v>
      </c>
      <c r="AA450" s="345">
        <f t="shared" si="179"/>
        <v>32.875384206235154</v>
      </c>
      <c r="AB450" s="346">
        <f t="shared" si="180"/>
        <v>-120.70501108014038</v>
      </c>
      <c r="AD450">
        <f t="shared" si="184"/>
        <v>0</v>
      </c>
      <c r="AE450">
        <f t="shared" si="187"/>
        <v>0</v>
      </c>
    </row>
    <row r="451" spans="1:31" x14ac:dyDescent="0.25">
      <c r="A451" s="347">
        <v>48420.5</v>
      </c>
      <c r="B451" s="364">
        <f t="shared" si="181"/>
        <v>48.420499999999997</v>
      </c>
      <c r="C451" s="337">
        <f t="shared" si="162"/>
        <v>21.017739328909318</v>
      </c>
      <c r="D451" s="338">
        <f t="shared" si="163"/>
        <v>1.523199501062747</v>
      </c>
      <c r="E451" s="338">
        <f t="shared" si="164"/>
        <v>1.0076744156429838</v>
      </c>
      <c r="F451" s="339">
        <f t="shared" si="165"/>
        <v>0.12349618928755599</v>
      </c>
      <c r="G451" s="338">
        <f t="shared" si="166"/>
        <v>1</v>
      </c>
      <c r="H451" s="339">
        <f t="shared" si="167"/>
        <v>0</v>
      </c>
      <c r="I451" s="337">
        <f t="shared" si="168"/>
        <v>109058.25921142947</v>
      </c>
      <c r="J451" s="340">
        <f t="shared" si="169"/>
        <v>1.5707871573839116</v>
      </c>
      <c r="K451" s="348">
        <f t="shared" si="185"/>
        <v>20.469031977760451</v>
      </c>
      <c r="L451" s="349">
        <f t="shared" si="186"/>
        <v>1.5219225833178744</v>
      </c>
      <c r="M451" s="337">
        <f t="shared" si="170"/>
        <v>1.1012877835775485</v>
      </c>
      <c r="N451" s="340">
        <f t="shared" si="171"/>
        <v>0.43224432025881132</v>
      </c>
      <c r="O451" s="341">
        <f t="shared" si="172"/>
        <v>1.0638438856825982</v>
      </c>
      <c r="P451" s="342">
        <f t="shared" si="173"/>
        <v>0.7107822241859062</v>
      </c>
      <c r="Q451" s="343">
        <f t="shared" si="174"/>
        <v>-8.4524775879538634</v>
      </c>
      <c r="R451" s="344">
        <f t="shared" si="175"/>
        <v>-148.48742323466732</v>
      </c>
      <c r="S451" s="346">
        <f t="shared" si="176"/>
        <v>31.512576765332682</v>
      </c>
      <c r="U451" s="319">
        <f t="shared" si="182"/>
        <v>48420.5</v>
      </c>
      <c r="V451" s="319">
        <f t="shared" si="183"/>
        <v>2344544820.25</v>
      </c>
      <c r="X451" s="345">
        <f t="shared" si="177"/>
        <v>22.337982832549667</v>
      </c>
      <c r="Y451" s="346">
        <f t="shared" si="178"/>
        <v>-27.565509162517515</v>
      </c>
      <c r="AA451" s="345">
        <f t="shared" si="179"/>
        <v>32.818660868659094</v>
      </c>
      <c r="AB451" s="346">
        <f t="shared" si="180"/>
        <v>-120.9219140721498</v>
      </c>
      <c r="AD451">
        <f t="shared" si="184"/>
        <v>0</v>
      </c>
      <c r="AE451">
        <f t="shared" si="187"/>
        <v>0</v>
      </c>
    </row>
    <row r="452" spans="1:31" x14ac:dyDescent="0.25">
      <c r="A452" s="347">
        <v>48699.25</v>
      </c>
      <c r="B452" s="364">
        <f t="shared" si="181"/>
        <v>48.699249999999999</v>
      </c>
      <c r="C452" s="337">
        <f t="shared" si="162"/>
        <v>21.138462371902687</v>
      </c>
      <c r="D452" s="338">
        <f t="shared" si="163"/>
        <v>1.5234715331255082</v>
      </c>
      <c r="E452" s="338">
        <f t="shared" si="164"/>
        <v>1.0077626897318943</v>
      </c>
      <c r="F452" s="339">
        <f t="shared" si="165"/>
        <v>0.12419987127645889</v>
      </c>
      <c r="G452" s="338">
        <f t="shared" si="166"/>
        <v>1</v>
      </c>
      <c r="H452" s="339">
        <f t="shared" si="167"/>
        <v>0</v>
      </c>
      <c r="I452" s="337">
        <f t="shared" si="168"/>
        <v>109686.09225224146</v>
      </c>
      <c r="J452" s="340">
        <f t="shared" si="169"/>
        <v>1.5707872098687716</v>
      </c>
      <c r="K452" s="348">
        <f t="shared" si="185"/>
        <v>20.586588868184311</v>
      </c>
      <c r="L452" s="349">
        <f t="shared" si="186"/>
        <v>1.5222018906437016</v>
      </c>
      <c r="M452" s="337">
        <f t="shared" si="170"/>
        <v>1.1024029914901641</v>
      </c>
      <c r="N452" s="340">
        <f t="shared" si="171"/>
        <v>0.43443191086443045</v>
      </c>
      <c r="O452" s="341">
        <f t="shared" si="172"/>
        <v>1.0647646680265366</v>
      </c>
      <c r="P452" s="342">
        <f t="shared" si="173"/>
        <v>0.71499714240829504</v>
      </c>
      <c r="Q452" s="343">
        <f t="shared" si="174"/>
        <v>-8.5178887029510832</v>
      </c>
      <c r="R452" s="344">
        <f t="shared" si="175"/>
        <v>-148.81352812638897</v>
      </c>
      <c r="S452" s="346">
        <f t="shared" si="176"/>
        <v>31.186471873611026</v>
      </c>
      <c r="U452" s="319">
        <f t="shared" si="182"/>
        <v>48699.25</v>
      </c>
      <c r="V452" s="319">
        <f t="shared" si="183"/>
        <v>2371616950.5625</v>
      </c>
      <c r="X452" s="345">
        <f t="shared" si="177"/>
        <v>22.329073280684945</v>
      </c>
      <c r="Y452" s="346">
        <f t="shared" si="178"/>
        <v>-27.674848747850888</v>
      </c>
      <c r="AA452" s="345">
        <f t="shared" si="179"/>
        <v>32.762159305526602</v>
      </c>
      <c r="AB452" s="346">
        <f t="shared" si="180"/>
        <v>-121.13867937853811</v>
      </c>
      <c r="AD452">
        <f t="shared" si="184"/>
        <v>0</v>
      </c>
      <c r="AE452">
        <f t="shared" si="187"/>
        <v>0</v>
      </c>
    </row>
    <row r="453" spans="1:31" x14ac:dyDescent="0.25">
      <c r="A453" s="347">
        <v>48978</v>
      </c>
      <c r="B453" s="364">
        <f t="shared" si="181"/>
        <v>48.978000000000002</v>
      </c>
      <c r="C453" s="337">
        <f t="shared" si="162"/>
        <v>21.259186961406819</v>
      </c>
      <c r="D453" s="338">
        <f t="shared" si="163"/>
        <v>1.5237404756298949</v>
      </c>
      <c r="E453" s="338">
        <f t="shared" si="164"/>
        <v>1.0078514627454269</v>
      </c>
      <c r="F453" s="339">
        <f t="shared" si="165"/>
        <v>0.1249034296510373</v>
      </c>
      <c r="G453" s="338">
        <f t="shared" si="166"/>
        <v>1</v>
      </c>
      <c r="H453" s="339">
        <f t="shared" si="167"/>
        <v>0</v>
      </c>
      <c r="I453" s="337">
        <f t="shared" si="168"/>
        <v>110313.92529305376</v>
      </c>
      <c r="J453" s="340">
        <f t="shared" si="169"/>
        <v>1.570787261756214</v>
      </c>
      <c r="K453" s="348">
        <f t="shared" si="185"/>
        <v>20.704147346383369</v>
      </c>
      <c r="L453" s="349">
        <f t="shared" si="186"/>
        <v>1.5224780261679836</v>
      </c>
      <c r="M453" s="337">
        <f t="shared" si="170"/>
        <v>1.1035234643327005</v>
      </c>
      <c r="N453" s="340">
        <f t="shared" si="171"/>
        <v>0.43661506951898271</v>
      </c>
      <c r="O453" s="341">
        <f t="shared" si="172"/>
        <v>1.0656946712867981</v>
      </c>
      <c r="P453" s="342">
        <f t="shared" si="173"/>
        <v>0.7192126417900776</v>
      </c>
      <c r="Q453" s="343">
        <f t="shared" si="174"/>
        <v>-8.583112110858913</v>
      </c>
      <c r="R453" s="344">
        <f t="shared" si="175"/>
        <v>-149.13942414453592</v>
      </c>
      <c r="S453" s="346">
        <f t="shared" si="176"/>
        <v>30.860575855464077</v>
      </c>
      <c r="U453" s="319">
        <f t="shared" si="182"/>
        <v>48978</v>
      </c>
      <c r="V453" s="319">
        <f t="shared" si="183"/>
        <v>2398844484</v>
      </c>
      <c r="X453" s="345">
        <f t="shared" si="177"/>
        <v>22.32013318840557</v>
      </c>
      <c r="Y453" s="346">
        <f t="shared" si="178"/>
        <v>-27.784116097705514</v>
      </c>
      <c r="AA453" s="345">
        <f t="shared" si="179"/>
        <v>32.705875989898146</v>
      </c>
      <c r="AB453" s="346">
        <f t="shared" si="180"/>
        <v>-121.35530804683042</v>
      </c>
      <c r="AD453">
        <f t="shared" si="184"/>
        <v>0</v>
      </c>
      <c r="AE453">
        <f t="shared" si="187"/>
        <v>0</v>
      </c>
    </row>
    <row r="454" spans="1:31" x14ac:dyDescent="0.25">
      <c r="A454" s="347">
        <v>49263.25</v>
      </c>
      <c r="B454" s="364">
        <f t="shared" si="181"/>
        <v>49.263249999999999</v>
      </c>
      <c r="C454" s="337">
        <f t="shared" si="162"/>
        <v>21.382728227142472</v>
      </c>
      <c r="D454" s="338">
        <f t="shared" si="163"/>
        <v>1.5240125455311038</v>
      </c>
      <c r="E454" s="338">
        <f t="shared" si="164"/>
        <v>1.0079428221762281</v>
      </c>
      <c r="F454" s="339">
        <f t="shared" si="165"/>
        <v>0.12562326520696504</v>
      </c>
      <c r="G454" s="338">
        <f t="shared" si="166"/>
        <v>1</v>
      </c>
      <c r="H454" s="339">
        <f t="shared" si="167"/>
        <v>0</v>
      </c>
      <c r="I454" s="337">
        <f t="shared" si="168"/>
        <v>110956.39838683598</v>
      </c>
      <c r="J454" s="340">
        <f t="shared" si="169"/>
        <v>1.5707873142456921</v>
      </c>
      <c r="K454" s="348">
        <f t="shared" si="185"/>
        <v>20.824448714202695</v>
      </c>
      <c r="L454" s="349">
        <f t="shared" si="186"/>
        <v>1.5227573731197728</v>
      </c>
      <c r="M454" s="337">
        <f t="shared" si="170"/>
        <v>1.1046754985941514</v>
      </c>
      <c r="N454" s="340">
        <f t="shared" si="171"/>
        <v>0.43884454012689927</v>
      </c>
      <c r="O454" s="341">
        <f t="shared" si="172"/>
        <v>1.0666559663098079</v>
      </c>
      <c r="P454" s="342">
        <f t="shared" si="173"/>
        <v>0.72352700350535126</v>
      </c>
      <c r="Q454" s="343">
        <f t="shared" si="174"/>
        <v>-8.6496655221131586</v>
      </c>
      <c r="R454" s="344">
        <f t="shared" si="175"/>
        <v>-149.47270064271873</v>
      </c>
      <c r="S454" s="346">
        <f t="shared" si="176"/>
        <v>30.527299357281265</v>
      </c>
      <c r="U454" s="319">
        <f t="shared" si="182"/>
        <v>49263.25</v>
      </c>
      <c r="V454" s="319">
        <f t="shared" si="183"/>
        <v>2426867800.5625</v>
      </c>
      <c r="X454" s="345">
        <f t="shared" si="177"/>
        <v>22.310953207646818</v>
      </c>
      <c r="Y454" s="346">
        <f t="shared" si="178"/>
        <v>-27.895852960283491</v>
      </c>
      <c r="AA454" s="345">
        <f t="shared" si="179"/>
        <v>32.648502559402658</v>
      </c>
      <c r="AB454" s="346">
        <f t="shared" si="180"/>
        <v>-121.57684768243527</v>
      </c>
      <c r="AD454">
        <f t="shared" si="184"/>
        <v>0</v>
      </c>
      <c r="AE454">
        <f t="shared" si="187"/>
        <v>0</v>
      </c>
    </row>
    <row r="455" spans="1:31" x14ac:dyDescent="0.25">
      <c r="A455" s="347">
        <v>49548.5</v>
      </c>
      <c r="B455" s="364">
        <f t="shared" si="181"/>
        <v>49.548499999999997</v>
      </c>
      <c r="C455" s="337">
        <f t="shared" si="162"/>
        <v>21.506271057486543</v>
      </c>
      <c r="D455" s="338">
        <f t="shared" si="163"/>
        <v>1.5242814896395118</v>
      </c>
      <c r="E455" s="338">
        <f t="shared" si="164"/>
        <v>1.0080347037911077</v>
      </c>
      <c r="F455" s="339">
        <f t="shared" si="165"/>
        <v>0.12634296991080771</v>
      </c>
      <c r="G455" s="338">
        <f t="shared" si="166"/>
        <v>1</v>
      </c>
      <c r="H455" s="339">
        <f t="shared" si="167"/>
        <v>0</v>
      </c>
      <c r="I455" s="337">
        <f t="shared" si="168"/>
        <v>111598.87148061849</v>
      </c>
      <c r="J455" s="340">
        <f t="shared" si="169"/>
        <v>1.570787366130808</v>
      </c>
      <c r="K455" s="348">
        <f t="shared" si="185"/>
        <v>20.944751688384439</v>
      </c>
      <c r="L455" s="349">
        <f t="shared" si="186"/>
        <v>1.5230335110532722</v>
      </c>
      <c r="M455" s="337">
        <f t="shared" si="170"/>
        <v>1.1058330122320854</v>
      </c>
      <c r="N455" s="340">
        <f t="shared" si="171"/>
        <v>0.44106935444620182</v>
      </c>
      <c r="O455" s="341">
        <f t="shared" si="172"/>
        <v>1.0676270384386934</v>
      </c>
      <c r="P455" s="342">
        <f t="shared" si="173"/>
        <v>0.7278418962046439</v>
      </c>
      <c r="Q455" s="343">
        <f t="shared" si="174"/>
        <v>-8.7160292590824131</v>
      </c>
      <c r="R455" s="344">
        <f t="shared" si="175"/>
        <v>-149.80575300947285</v>
      </c>
      <c r="S455" s="346">
        <f t="shared" si="176"/>
        <v>30.194246990527148</v>
      </c>
      <c r="U455" s="319">
        <f t="shared" si="182"/>
        <v>49548.5</v>
      </c>
      <c r="V455" s="319">
        <f t="shared" si="183"/>
        <v>2455053852.25</v>
      </c>
      <c r="X455" s="345">
        <f t="shared" si="177"/>
        <v>22.301741646648601</v>
      </c>
      <c r="Y455" s="346">
        <f t="shared" si="178"/>
        <v>-28.007506865752557</v>
      </c>
      <c r="AA455" s="345">
        <f t="shared" si="179"/>
        <v>32.59135038343161</v>
      </c>
      <c r="AB455" s="346">
        <f t="shared" si="180"/>
        <v>-121.79824614372032</v>
      </c>
      <c r="AD455">
        <f t="shared" si="184"/>
        <v>0</v>
      </c>
      <c r="AE455">
        <f t="shared" si="187"/>
        <v>0</v>
      </c>
    </row>
    <row r="456" spans="1:31" x14ac:dyDescent="0.25">
      <c r="A456" s="347">
        <v>49833.75</v>
      </c>
      <c r="B456" s="364">
        <f t="shared" si="181"/>
        <v>49.833750000000002</v>
      </c>
      <c r="C456" s="337">
        <f t="shared" si="162"/>
        <v>21.629815425629356</v>
      </c>
      <c r="D456" s="338">
        <f t="shared" si="163"/>
        <v>1.524547361477234</v>
      </c>
      <c r="E456" s="338">
        <f t="shared" si="164"/>
        <v>1.0081271074472891</v>
      </c>
      <c r="F456" s="339">
        <f t="shared" si="165"/>
        <v>0.12706254305286782</v>
      </c>
      <c r="G456" s="338">
        <f t="shared" si="166"/>
        <v>1</v>
      </c>
      <c r="H456" s="339">
        <f t="shared" si="167"/>
        <v>0</v>
      </c>
      <c r="I456" s="337">
        <f t="shared" si="168"/>
        <v>112241.3445744013</v>
      </c>
      <c r="J456" s="340">
        <f t="shared" si="169"/>
        <v>1.5707874174219396</v>
      </c>
      <c r="K456" s="348">
        <f t="shared" si="185"/>
        <v>21.065056241406694</v>
      </c>
      <c r="L456" s="349">
        <f t="shared" si="186"/>
        <v>1.5233064949070367</v>
      </c>
      <c r="M456" s="337">
        <f t="shared" si="170"/>
        <v>1.1069959880582207</v>
      </c>
      <c r="N456" s="340">
        <f t="shared" si="171"/>
        <v>0.44328950509306614</v>
      </c>
      <c r="O456" s="341">
        <f t="shared" si="172"/>
        <v>1.0686079489717104</v>
      </c>
      <c r="P456" s="342">
        <f t="shared" si="173"/>
        <v>0.73215727985880286</v>
      </c>
      <c r="Q456" s="343">
        <f t="shared" si="174"/>
        <v>-8.7822067140032303</v>
      </c>
      <c r="R456" s="344">
        <f t="shared" si="175"/>
        <v>-150.13857848833609</v>
      </c>
      <c r="S456" s="346">
        <f t="shared" si="176"/>
        <v>29.861421511663906</v>
      </c>
      <c r="U456" s="319">
        <f t="shared" si="182"/>
        <v>49833.75</v>
      </c>
      <c r="V456" s="319">
        <f t="shared" si="183"/>
        <v>2483402639.0625</v>
      </c>
      <c r="X456" s="345">
        <f t="shared" si="177"/>
        <v>22.292498709772666</v>
      </c>
      <c r="Y456" s="346">
        <f t="shared" si="178"/>
        <v>-28.119074243898055</v>
      </c>
      <c r="AA456" s="345">
        <f t="shared" si="179"/>
        <v>32.534415865386734</v>
      </c>
      <c r="AB456" s="346">
        <f t="shared" si="180"/>
        <v>-122.01950424443804</v>
      </c>
      <c r="AD456">
        <f t="shared" si="184"/>
        <v>0</v>
      </c>
      <c r="AE456">
        <f t="shared" si="187"/>
        <v>0</v>
      </c>
    </row>
    <row r="457" spans="1:31" x14ac:dyDescent="0.25">
      <c r="A457" s="347">
        <v>50119</v>
      </c>
      <c r="B457" s="364">
        <f t="shared" si="181"/>
        <v>50.119</v>
      </c>
      <c r="C457" s="337">
        <f t="shared" si="162"/>
        <v>21.753361305369943</v>
      </c>
      <c r="D457" s="338">
        <f t="shared" si="163"/>
        <v>1.5248102133522532</v>
      </c>
      <c r="E457" s="338">
        <f t="shared" si="164"/>
        <v>1.0082200330012363</v>
      </c>
      <c r="F457" s="339">
        <f t="shared" si="165"/>
        <v>0.12778198392425219</v>
      </c>
      <c r="G457" s="338">
        <f t="shared" si="166"/>
        <v>1</v>
      </c>
      <c r="H457" s="339">
        <f t="shared" si="167"/>
        <v>0</v>
      </c>
      <c r="I457" s="337">
        <f t="shared" si="168"/>
        <v>112883.81766818441</v>
      </c>
      <c r="J457" s="340">
        <f t="shared" si="169"/>
        <v>1.5707874681292289</v>
      </c>
      <c r="K457" s="348">
        <f t="shared" si="185"/>
        <v>21.18536234637234</v>
      </c>
      <c r="L457" s="349">
        <f t="shared" si="186"/>
        <v>1.5235763783735996</v>
      </c>
      <c r="M457" s="337">
        <f t="shared" si="170"/>
        <v>1.1081644088754896</v>
      </c>
      <c r="N457" s="340">
        <f t="shared" si="171"/>
        <v>0.44550498489849033</v>
      </c>
      <c r="O457" s="341">
        <f t="shared" si="172"/>
        <v>1.0695987592192207</v>
      </c>
      <c r="P457" s="342">
        <f t="shared" si="173"/>
        <v>0.7364731139164028</v>
      </c>
      <c r="Q457" s="343">
        <f t="shared" si="174"/>
        <v>-8.8482012189996144</v>
      </c>
      <c r="R457" s="344">
        <f t="shared" si="175"/>
        <v>-150.47117430699811</v>
      </c>
      <c r="S457" s="346">
        <f t="shared" si="176"/>
        <v>29.528825693001892</v>
      </c>
      <c r="U457" s="319">
        <f t="shared" si="182"/>
        <v>50119</v>
      </c>
      <c r="V457" s="319">
        <f t="shared" si="183"/>
        <v>2511914161</v>
      </c>
      <c r="X457" s="345">
        <f t="shared" si="177"/>
        <v>22.28322460231302</v>
      </c>
      <c r="Y457" s="346">
        <f t="shared" si="178"/>
        <v>-28.230551608191959</v>
      </c>
      <c r="AA457" s="345">
        <f t="shared" si="179"/>
        <v>32.477695467849998</v>
      </c>
      <c r="AB457" s="346">
        <f t="shared" si="180"/>
        <v>-122.24062269880618</v>
      </c>
      <c r="AD457">
        <f t="shared" si="184"/>
        <v>0</v>
      </c>
      <c r="AE457">
        <f t="shared" si="187"/>
        <v>0</v>
      </c>
    </row>
    <row r="458" spans="1:31" x14ac:dyDescent="0.25">
      <c r="A458" s="347">
        <v>50410.75</v>
      </c>
      <c r="B458" s="364">
        <f t="shared" si="181"/>
        <v>50.41075</v>
      </c>
      <c r="C458" s="337">
        <f t="shared" si="162"/>
        <v>21.879723965613614</v>
      </c>
      <c r="D458" s="338">
        <f t="shared" si="163"/>
        <v>1.5250759841536243</v>
      </c>
      <c r="E458" s="338">
        <f t="shared" si="164"/>
        <v>1.0083156157740802</v>
      </c>
      <c r="F458" s="339">
        <f t="shared" si="165"/>
        <v>0.12851768115145024</v>
      </c>
      <c r="G458" s="338">
        <f t="shared" si="166"/>
        <v>1</v>
      </c>
      <c r="H458" s="339">
        <f t="shared" si="167"/>
        <v>0</v>
      </c>
      <c r="I458" s="337">
        <f t="shared" si="168"/>
        <v>113540.93081493746</v>
      </c>
      <c r="J458" s="340">
        <f t="shared" si="169"/>
        <v>1.5707875193983671</v>
      </c>
      <c r="K458" s="348">
        <f t="shared" si="185"/>
        <v>21.308411448025499</v>
      </c>
      <c r="L458" s="349">
        <f t="shared" si="186"/>
        <v>1.5238492592118866</v>
      </c>
      <c r="M458" s="337">
        <f t="shared" si="170"/>
        <v>1.1093650691165255</v>
      </c>
      <c r="N458" s="340">
        <f t="shared" si="171"/>
        <v>0.44776610995191596</v>
      </c>
      <c r="O458" s="341">
        <f t="shared" si="172"/>
        <v>1.0706224516611316</v>
      </c>
      <c r="P458" s="342">
        <f t="shared" si="173"/>
        <v>0.74088771611533499</v>
      </c>
      <c r="Q458" s="343">
        <f t="shared" si="174"/>
        <v>-8.9155137033071572</v>
      </c>
      <c r="R458" s="344">
        <f t="shared" si="175"/>
        <v>-150.81110852040698</v>
      </c>
      <c r="S458" s="346">
        <f t="shared" si="176"/>
        <v>29.188891479593025</v>
      </c>
      <c r="U458" s="319">
        <f t="shared" si="182"/>
        <v>50410.75</v>
      </c>
      <c r="V458" s="319">
        <f t="shared" si="183"/>
        <v>2541243715.5625</v>
      </c>
      <c r="X458" s="345">
        <f t="shared" si="177"/>
        <v>22.273707136287392</v>
      </c>
      <c r="Y458" s="346">
        <f t="shared" si="178"/>
        <v>-28.344472547996119</v>
      </c>
      <c r="AA458" s="345">
        <f t="shared" si="179"/>
        <v>32.419900449568082</v>
      </c>
      <c r="AB458" s="346">
        <f t="shared" si="180"/>
        <v>-122.46663597241087</v>
      </c>
      <c r="AD458">
        <f t="shared" si="184"/>
        <v>0</v>
      </c>
      <c r="AE458">
        <f t="shared" si="187"/>
        <v>0</v>
      </c>
    </row>
    <row r="459" spans="1:31" x14ac:dyDescent="0.25">
      <c r="A459" s="347">
        <v>50702.5</v>
      </c>
      <c r="B459" s="364">
        <f t="shared" si="181"/>
        <v>50.702500000000001</v>
      </c>
      <c r="C459" s="337">
        <f t="shared" si="162"/>
        <v>22.00608815356372</v>
      </c>
      <c r="D459" s="338">
        <f t="shared" si="163"/>
        <v>1.5253387027351708</v>
      </c>
      <c r="E459" s="338">
        <f t="shared" si="164"/>
        <v>1.0084117441945337</v>
      </c>
      <c r="F459" s="339">
        <f t="shared" si="165"/>
        <v>0.12925323851373738</v>
      </c>
      <c r="G459" s="338">
        <f t="shared" si="166"/>
        <v>1</v>
      </c>
      <c r="H459" s="339">
        <f t="shared" si="167"/>
        <v>0</v>
      </c>
      <c r="I459" s="337">
        <f t="shared" si="168"/>
        <v>114198.04396169078</v>
      </c>
      <c r="J459" s="340">
        <f t="shared" si="169"/>
        <v>1.5707875700774843</v>
      </c>
      <c r="K459" s="348">
        <f t="shared" si="185"/>
        <v>21.431462118166888</v>
      </c>
      <c r="L459" s="349">
        <f t="shared" si="186"/>
        <v>1.5241190065302441</v>
      </c>
      <c r="M459" s="337">
        <f t="shared" si="170"/>
        <v>1.1105713889126243</v>
      </c>
      <c r="N459" s="340">
        <f t="shared" si="171"/>
        <v>0.45002233438196476</v>
      </c>
      <c r="O459" s="341">
        <f t="shared" si="172"/>
        <v>1.0716566298765231</v>
      </c>
      <c r="P459" s="342">
        <f t="shared" si="173"/>
        <v>0.74530270201678417</v>
      </c>
      <c r="Q459" s="343">
        <f t="shared" si="174"/>
        <v>-8.982641668619781</v>
      </c>
      <c r="R459" s="344">
        <f t="shared" si="175"/>
        <v>-151.15079657133012</v>
      </c>
      <c r="S459" s="346">
        <f t="shared" si="176"/>
        <v>28.849203428669881</v>
      </c>
      <c r="U459" s="319">
        <f t="shared" si="182"/>
        <v>50702.5</v>
      </c>
      <c r="V459" s="319">
        <f t="shared" si="183"/>
        <v>2570743506.25</v>
      </c>
      <c r="X459" s="345">
        <f t="shared" si="177"/>
        <v>22.264157500064439</v>
      </c>
      <c r="Y459" s="346">
        <f t="shared" si="178"/>
        <v>-28.458292206424936</v>
      </c>
      <c r="AA459" s="345">
        <f t="shared" si="179"/>
        <v>32.36232212047841</v>
      </c>
      <c r="AB459" s="346">
        <f t="shared" si="180"/>
        <v>-122.6925043649052</v>
      </c>
      <c r="AD459">
        <f t="shared" si="184"/>
        <v>0</v>
      </c>
      <c r="AE459">
        <f t="shared" si="187"/>
        <v>0</v>
      </c>
    </row>
    <row r="460" spans="1:31" x14ac:dyDescent="0.25">
      <c r="A460" s="347">
        <v>50994.25</v>
      </c>
      <c r="B460" s="364">
        <f t="shared" si="181"/>
        <v>50.994250000000001</v>
      </c>
      <c r="C460" s="337">
        <f t="shared" si="162"/>
        <v>22.132453843053163</v>
      </c>
      <c r="D460" s="338">
        <f t="shared" si="163"/>
        <v>1.5255984213404432</v>
      </c>
      <c r="E460" s="338">
        <f t="shared" si="164"/>
        <v>1.0085084181065678</v>
      </c>
      <c r="F460" s="339">
        <f t="shared" si="165"/>
        <v>0.12998865525528389</v>
      </c>
      <c r="G460" s="338">
        <f t="shared" si="166"/>
        <v>1</v>
      </c>
      <c r="H460" s="339">
        <f t="shared" si="167"/>
        <v>0</v>
      </c>
      <c r="I460" s="337">
        <f t="shared" si="168"/>
        <v>114855.15710844441</v>
      </c>
      <c r="J460" s="340">
        <f t="shared" si="169"/>
        <v>1.5707876201767073</v>
      </c>
      <c r="K460" s="348">
        <f t="shared" si="185"/>
        <v>21.554514329933895</v>
      </c>
      <c r="L460" s="349">
        <f t="shared" si="186"/>
        <v>1.5243856739557771</v>
      </c>
      <c r="M460" s="337">
        <f t="shared" si="170"/>
        <v>1.1117833498414016</v>
      </c>
      <c r="N460" s="340">
        <f t="shared" si="171"/>
        <v>0.45227365120723689</v>
      </c>
      <c r="O460" s="341">
        <f t="shared" si="172"/>
        <v>1.0727013594651071</v>
      </c>
      <c r="P460" s="342">
        <f t="shared" si="173"/>
        <v>0.74971802656688336</v>
      </c>
      <c r="Q460" s="343">
        <f t="shared" si="174"/>
        <v>-9.0495884929591135</v>
      </c>
      <c r="R460" s="344">
        <f t="shared" si="175"/>
        <v>-151.49023544298069</v>
      </c>
      <c r="S460" s="346">
        <f t="shared" si="176"/>
        <v>28.509764557019309</v>
      </c>
      <c r="U460" s="319">
        <f t="shared" si="182"/>
        <v>50994.25</v>
      </c>
      <c r="V460" s="319">
        <f t="shared" si="183"/>
        <v>2600413533.0625</v>
      </c>
      <c r="X460" s="345">
        <f t="shared" si="177"/>
        <v>22.254575915944198</v>
      </c>
      <c r="Y460" s="346">
        <f t="shared" si="178"/>
        <v>-28.572007111447128</v>
      </c>
      <c r="AA460" s="345">
        <f t="shared" si="179"/>
        <v>32.304956880259319</v>
      </c>
      <c r="AB460" s="346">
        <f t="shared" si="180"/>
        <v>-122.91822833153357</v>
      </c>
      <c r="AD460">
        <f t="shared" si="184"/>
        <v>0</v>
      </c>
      <c r="AE460">
        <f t="shared" si="187"/>
        <v>0</v>
      </c>
    </row>
    <row r="461" spans="1:31" x14ac:dyDescent="0.25">
      <c r="A461" s="347">
        <v>51286</v>
      </c>
      <c r="B461" s="364">
        <f t="shared" si="181"/>
        <v>51.286000000000001</v>
      </c>
      <c r="C461" s="337">
        <f t="shared" ref="C461:C524" si="188">SQRT(1+(A461/pole1)^2)</f>
        <v>22.258821008508743</v>
      </c>
      <c r="D461" s="338">
        <f t="shared" ref="D461:D524" si="189">ATAN(A461/pole1)</f>
        <v>1.5258551910282496</v>
      </c>
      <c r="E461" s="338">
        <f t="shared" ref="E461:E524" si="190">SQRT(1+(A461/Zero1)^2)</f>
        <v>1.0086056373533279</v>
      </c>
      <c r="F461" s="339">
        <f t="shared" ref="F461:F524" si="191">ATAN(A461/Zero1)</f>
        <v>0.13072393062115739</v>
      </c>
      <c r="G461" s="338">
        <f t="shared" ref="G461:G524" si="192">IF(VIN_nom&gt;Vout, 1, SQRT(1+(A461/z_RHP)^2))</f>
        <v>1</v>
      </c>
      <c r="H461" s="339">
        <f t="shared" ref="H461:H524" si="193">IF(VIN_nom&gt;Vout, 0, -ATAN(A461/z_RHP))</f>
        <v>0</v>
      </c>
      <c r="I461" s="337">
        <f t="shared" ref="I461:I524" si="194">SQRT(1+(A461/Pole2)^2)</f>
        <v>115512.27025519834</v>
      </c>
      <c r="J461" s="340">
        <f t="shared" ref="J461:J524" si="195">ATAN(A461/Pole2)</f>
        <v>1.5707876697059329</v>
      </c>
      <c r="K461" s="348">
        <f t="shared" si="185"/>
        <v>21.677568057073515</v>
      </c>
      <c r="L461" s="349">
        <f t="shared" si="186"/>
        <v>1.524649313899699</v>
      </c>
      <c r="M461" s="337">
        <f t="shared" ref="M461:M524" si="196">SQRT(1+(A461/pole4)^2)</f>
        <v>1.1130009334747537</v>
      </c>
      <c r="N461" s="340">
        <f t="shared" ref="N461:N524" si="197">ATAN(A461/pole4)</f>
        <v>0.45452005367565923</v>
      </c>
      <c r="O461" s="341">
        <f t="shared" ref="O461:O524" si="198">SQRT((1-(V461/pterm2))^2+(A461/pterm1)^2)</f>
        <v>1.0737567060145534</v>
      </c>
      <c r="P461" s="342">
        <f t="shared" ref="P461:P524" si="199">IF((ATAN((A461/pterm1)/(1-A461^2/pterm2))&gt;0),ATAN((A461/pterm1)/(1-A461^2/pterm2)),PI()+ATAN((A461/pterm1)/(1-A461^2/pterm2)))</f>
        <v>0.75413364416019657</v>
      </c>
      <c r="Q461" s="343">
        <f t="shared" ref="Q461:Q524" si="200">20*LOG10(((E461*K461*G461)/(C461*I461*O461*M461))*Adc)</f>
        <v>-9.1163574938551015</v>
      </c>
      <c r="R461" s="344">
        <f t="shared" ref="R461:R524" si="201">((F461+L461+H461)-(D461+J461+P461+N461))*radconv</f>
        <v>-151.82942210182873</v>
      </c>
      <c r="S461" s="346">
        <f t="shared" ref="S461:S524" si="202">IF(R461&gt;0,R461,R461+180)</f>
        <v>28.170577898171274</v>
      </c>
      <c r="U461" s="319">
        <f t="shared" si="182"/>
        <v>51286</v>
      </c>
      <c r="V461" s="319">
        <f t="shared" si="183"/>
        <v>2630253796</v>
      </c>
      <c r="X461" s="345">
        <f t="shared" ref="X461:X524" si="203">20*LOG10((K461/(I461*M461))*AEA)</f>
        <v>22.244962606999259</v>
      </c>
      <c r="Y461" s="346">
        <f t="shared" ref="Y461:Y524" si="204">(L461-(J461+N461))*radconv</f>
        <v>-28.685613873823122</v>
      </c>
      <c r="AA461" s="345">
        <f t="shared" ref="AA461:AA524" si="205">20*LOG10((E461*G461/(C461*O461))*Acs*Am)</f>
        <v>32.247801188308273</v>
      </c>
      <c r="AB461" s="346">
        <f t="shared" ref="AB461:AB524" si="206">(F461+H461-(D461+P461))*radconv</f>
        <v>-123.14380822800562</v>
      </c>
      <c r="AD461">
        <f t="shared" si="184"/>
        <v>0</v>
      </c>
      <c r="AE461">
        <f t="shared" si="187"/>
        <v>0</v>
      </c>
    </row>
    <row r="462" spans="1:31" x14ac:dyDescent="0.25">
      <c r="A462" s="347">
        <v>51584.75</v>
      </c>
      <c r="B462" s="364">
        <f t="shared" ref="B462:B525" si="207">A462/1000</f>
        <v>51.58475</v>
      </c>
      <c r="C462" s="337">
        <f t="shared" si="188"/>
        <v>22.388221623069178</v>
      </c>
      <c r="D462" s="338">
        <f t="shared" si="189"/>
        <v>1.5261151176559171</v>
      </c>
      <c r="E462" s="338">
        <f t="shared" si="190"/>
        <v>1.0087057541489786</v>
      </c>
      <c r="F462" s="339">
        <f t="shared" si="191"/>
        <v>0.13147670026329872</v>
      </c>
      <c r="G462" s="338">
        <f t="shared" si="192"/>
        <v>1</v>
      </c>
      <c r="H462" s="339">
        <f t="shared" si="193"/>
        <v>0</v>
      </c>
      <c r="I462" s="337">
        <f t="shared" si="194"/>
        <v>116185.14961284293</v>
      </c>
      <c r="J462" s="340">
        <f t="shared" si="195"/>
        <v>1.5707877198429467</v>
      </c>
      <c r="K462" s="348">
        <f t="shared" si="185"/>
        <v>21.8035757736546</v>
      </c>
      <c r="L462" s="349">
        <f t="shared" si="186"/>
        <v>1.524916195589133</v>
      </c>
      <c r="M462" s="337">
        <f t="shared" si="196"/>
        <v>1.1142535381967278</v>
      </c>
      <c r="N462" s="340">
        <f t="shared" si="197"/>
        <v>0.45681525495256292</v>
      </c>
      <c r="O462" s="341">
        <f t="shared" si="198"/>
        <v>1.074848444256008</v>
      </c>
      <c r="P462" s="342">
        <f t="shared" si="199"/>
        <v>0.75865546176822996</v>
      </c>
      <c r="Q462" s="343">
        <f t="shared" si="200"/>
        <v>-9.1845476217367796</v>
      </c>
      <c r="R462" s="344">
        <f t="shared" si="201"/>
        <v>-152.17648236670672</v>
      </c>
      <c r="S462" s="346">
        <f t="shared" si="202"/>
        <v>27.823517633293278</v>
      </c>
      <c r="U462" s="319">
        <f t="shared" ref="U462:U525" si="208">IF(Q462&lt;0,A462,1000000000)</f>
        <v>51584.75</v>
      </c>
      <c r="V462" s="319">
        <f t="shared" ref="V462:V525" si="209">A462^2</f>
        <v>2660986432.5625</v>
      </c>
      <c r="X462" s="345">
        <f t="shared" si="203"/>
        <v>22.235086002581902</v>
      </c>
      <c r="Y462" s="346">
        <f t="shared" si="204"/>
        <v>-28.801830898460931</v>
      </c>
      <c r="AA462" s="345">
        <f t="shared" si="205"/>
        <v>32.189487664843952</v>
      </c>
      <c r="AB462" s="346">
        <f t="shared" si="206"/>
        <v>-123.37465146824577</v>
      </c>
      <c r="AD462">
        <f t="shared" ref="AD462:AD525" si="210">SUM((Q463&lt;0)*(Q462&gt;0))*A462</f>
        <v>0</v>
      </c>
      <c r="AE462">
        <f t="shared" si="187"/>
        <v>0</v>
      </c>
    </row>
    <row r="463" spans="1:31" x14ac:dyDescent="0.25">
      <c r="A463" s="347">
        <v>51883.5</v>
      </c>
      <c r="B463" s="364">
        <f t="shared" si="207"/>
        <v>51.883499999999998</v>
      </c>
      <c r="C463" s="337">
        <f t="shared" si="188"/>
        <v>22.517623732834654</v>
      </c>
      <c r="D463" s="338">
        <f t="shared" si="189"/>
        <v>1.5263720568581949</v>
      </c>
      <c r="E463" s="338">
        <f t="shared" si="190"/>
        <v>1.0088064424263423</v>
      </c>
      <c r="F463" s="339">
        <f t="shared" si="191"/>
        <v>0.13222932006500965</v>
      </c>
      <c r="G463" s="338">
        <f t="shared" si="192"/>
        <v>1</v>
      </c>
      <c r="H463" s="339">
        <f t="shared" si="193"/>
        <v>0</v>
      </c>
      <c r="I463" s="337">
        <f t="shared" si="194"/>
        <v>116858.02897048785</v>
      </c>
      <c r="J463" s="340">
        <f t="shared" si="195"/>
        <v>1.5707877694025734</v>
      </c>
      <c r="K463" s="348">
        <f t="shared" si="185"/>
        <v>21.929585025366666</v>
      </c>
      <c r="L463" s="349">
        <f t="shared" si="186"/>
        <v>1.5251800102476245</v>
      </c>
      <c r="M463" s="337">
        <f t="shared" si="196"/>
        <v>1.1155119995489631</v>
      </c>
      <c r="N463" s="340">
        <f t="shared" si="197"/>
        <v>0.45910528962243002</v>
      </c>
      <c r="O463" s="341">
        <f t="shared" si="198"/>
        <v>1.0759514541679791</v>
      </c>
      <c r="P463" s="342">
        <f t="shared" si="199"/>
        <v>0.76317748811388775</v>
      </c>
      <c r="Q463" s="343">
        <f t="shared" si="200"/>
        <v>-9.2525581424045011</v>
      </c>
      <c r="R463" s="344">
        <f t="shared" si="201"/>
        <v>-152.5232716797963</v>
      </c>
      <c r="S463" s="346">
        <f t="shared" si="202"/>
        <v>27.476728320203705</v>
      </c>
      <c r="U463" s="319">
        <f t="shared" si="208"/>
        <v>51883.5</v>
      </c>
      <c r="V463" s="319">
        <f t="shared" si="209"/>
        <v>2691897572.25</v>
      </c>
      <c r="X463" s="345">
        <f t="shared" si="203"/>
        <v>22.225176608378966</v>
      </c>
      <c r="Y463" s="346">
        <f t="shared" si="204"/>
        <v>-28.917927593167818</v>
      </c>
      <c r="AA463" s="345">
        <f t="shared" si="205"/>
        <v>32.131386538379161</v>
      </c>
      <c r="AB463" s="346">
        <f t="shared" si="206"/>
        <v>-123.60534408662851</v>
      </c>
      <c r="AD463">
        <f t="shared" si="210"/>
        <v>0</v>
      </c>
      <c r="AE463">
        <f t="shared" si="187"/>
        <v>0</v>
      </c>
    </row>
    <row r="464" spans="1:31" x14ac:dyDescent="0.25">
      <c r="A464" s="347">
        <v>52182.25</v>
      </c>
      <c r="B464" s="364">
        <f t="shared" si="207"/>
        <v>52.182250000000003</v>
      </c>
      <c r="C464" s="337">
        <f t="shared" si="188"/>
        <v>22.647027312174966</v>
      </c>
      <c r="D464" s="338">
        <f t="shared" si="189"/>
        <v>1.5266260598107024</v>
      </c>
      <c r="E464" s="338">
        <f t="shared" si="190"/>
        <v>1.0089077020143187</v>
      </c>
      <c r="F464" s="339">
        <f t="shared" si="191"/>
        <v>0.13298178921865761</v>
      </c>
      <c r="G464" s="338">
        <f t="shared" si="192"/>
        <v>1</v>
      </c>
      <c r="H464" s="339">
        <f t="shared" si="193"/>
        <v>0</v>
      </c>
      <c r="I464" s="337">
        <f t="shared" si="194"/>
        <v>117530.90832813304</v>
      </c>
      <c r="J464" s="340">
        <f t="shared" si="195"/>
        <v>1.5707878183947299</v>
      </c>
      <c r="K464" s="348">
        <f t="shared" si="185"/>
        <v>22.055595785897935</v>
      </c>
      <c r="L464" s="349">
        <f t="shared" si="186"/>
        <v>1.5254408104069552</v>
      </c>
      <c r="M464" s="337">
        <f t="shared" si="196"/>
        <v>1.1167762977324827</v>
      </c>
      <c r="N464" s="340">
        <f t="shared" si="197"/>
        <v>0.46139015117313509</v>
      </c>
      <c r="O464" s="341">
        <f t="shared" si="198"/>
        <v>1.0770658060918767</v>
      </c>
      <c r="P464" s="342">
        <f t="shared" si="199"/>
        <v>0.76769967246797122</v>
      </c>
      <c r="Q464" s="343">
        <f t="shared" si="200"/>
        <v>-9.3203924287770619</v>
      </c>
      <c r="R464" s="344">
        <f t="shared" si="201"/>
        <v>-152.86978673055103</v>
      </c>
      <c r="S464" s="346">
        <f t="shared" si="202"/>
        <v>27.130213269448973</v>
      </c>
      <c r="U464" s="319">
        <f t="shared" si="208"/>
        <v>52182.25</v>
      </c>
      <c r="V464" s="319">
        <f t="shared" si="209"/>
        <v>2722987215.0625</v>
      </c>
      <c r="X464" s="345">
        <f t="shared" si="203"/>
        <v>22.215234666055487</v>
      </c>
      <c r="Y464" s="346">
        <f t="shared" si="204"/>
        <v>-29.033900575545257</v>
      </c>
      <c r="AA464" s="345">
        <f t="shared" si="205"/>
        <v>32.073494194330074</v>
      </c>
      <c r="AB464" s="346">
        <f t="shared" si="206"/>
        <v>-123.83588615500577</v>
      </c>
      <c r="AD464">
        <f t="shared" si="210"/>
        <v>0</v>
      </c>
      <c r="AE464">
        <f t="shared" si="187"/>
        <v>0</v>
      </c>
    </row>
    <row r="465" spans="1:31" x14ac:dyDescent="0.25">
      <c r="A465" s="347">
        <v>52481</v>
      </c>
      <c r="B465" s="364">
        <f t="shared" si="207"/>
        <v>52.481000000000002</v>
      </c>
      <c r="C465" s="337">
        <f t="shared" si="188"/>
        <v>22.776432336042081</v>
      </c>
      <c r="D465" s="338">
        <f t="shared" si="189"/>
        <v>1.526877176527571</v>
      </c>
      <c r="E465" s="338">
        <f t="shared" si="190"/>
        <v>1.009009532740905</v>
      </c>
      <c r="F465" s="339">
        <f t="shared" si="191"/>
        <v>0.13373410691761559</v>
      </c>
      <c r="G465" s="338">
        <f t="shared" si="192"/>
        <v>1</v>
      </c>
      <c r="H465" s="339">
        <f t="shared" si="193"/>
        <v>0</v>
      </c>
      <c r="I465" s="337">
        <f t="shared" si="194"/>
        <v>118203.7876857785</v>
      </c>
      <c r="J465" s="340">
        <f t="shared" si="195"/>
        <v>1.5707878668291071</v>
      </c>
      <c r="K465" s="348">
        <f t="shared" si="185"/>
        <v>22.181608029534196</v>
      </c>
      <c r="L465" s="349">
        <f t="shared" si="186"/>
        <v>1.5256986474068517</v>
      </c>
      <c r="M465" s="337">
        <f t="shared" si="196"/>
        <v>1.1180464129462431</v>
      </c>
      <c r="N465" s="340">
        <f t="shared" si="197"/>
        <v>0.46366983333799278</v>
      </c>
      <c r="O465" s="341">
        <f t="shared" si="198"/>
        <v>1.0781915703273928</v>
      </c>
      <c r="P465" s="342">
        <f t="shared" si="199"/>
        <v>0.77222196351991457</v>
      </c>
      <c r="Q465" s="343">
        <f t="shared" si="200"/>
        <v>-9.3880537925466374</v>
      </c>
      <c r="R465" s="344">
        <f t="shared" si="201"/>
        <v>-153.21602419085784</v>
      </c>
      <c r="S465" s="346">
        <f t="shared" si="202"/>
        <v>26.783975809142163</v>
      </c>
      <c r="U465" s="319">
        <f t="shared" si="208"/>
        <v>52481</v>
      </c>
      <c r="V465" s="319">
        <f t="shared" si="209"/>
        <v>2754255361</v>
      </c>
      <c r="X465" s="345">
        <f t="shared" si="203"/>
        <v>22.205260417881952</v>
      </c>
      <c r="Y465" s="346">
        <f t="shared" si="204"/>
        <v>-29.149746545544247</v>
      </c>
      <c r="AA465" s="345">
        <f t="shared" si="205"/>
        <v>32.015807078734035</v>
      </c>
      <c r="AB465" s="346">
        <f t="shared" si="206"/>
        <v>-124.0662776453136</v>
      </c>
      <c r="AD465">
        <f t="shared" si="210"/>
        <v>0</v>
      </c>
      <c r="AE465">
        <f t="shared" si="187"/>
        <v>0</v>
      </c>
    </row>
    <row r="466" spans="1:31" x14ac:dyDescent="0.25">
      <c r="A466" s="347">
        <v>52786.5</v>
      </c>
      <c r="B466" s="364">
        <f t="shared" si="207"/>
        <v>52.786499999999997</v>
      </c>
      <c r="C466" s="337">
        <f t="shared" si="188"/>
        <v>22.90876262377413</v>
      </c>
      <c r="D466" s="338">
        <f t="shared" si="189"/>
        <v>1.5271310331497969</v>
      </c>
      <c r="E466" s="338">
        <f t="shared" si="190"/>
        <v>1.009114254706228</v>
      </c>
      <c r="F466" s="339">
        <f t="shared" si="191"/>
        <v>0.13450326512396241</v>
      </c>
      <c r="G466" s="338">
        <f t="shared" si="192"/>
        <v>1</v>
      </c>
      <c r="H466" s="339">
        <f t="shared" si="193"/>
        <v>0</v>
      </c>
      <c r="I466" s="337">
        <f t="shared" si="194"/>
        <v>118891.87017535431</v>
      </c>
      <c r="J466" s="340">
        <f t="shared" si="195"/>
        <v>1.5707879157908595</v>
      </c>
      <c r="K466" s="348">
        <f t="shared" si="185"/>
        <v>22.310468919293275</v>
      </c>
      <c r="L466" s="349">
        <f t="shared" si="186"/>
        <v>1.5259592979507182</v>
      </c>
      <c r="M466" s="337">
        <f t="shared" si="196"/>
        <v>1.1193512203525982</v>
      </c>
      <c r="N466" s="340">
        <f t="shared" si="197"/>
        <v>0.46599566044832547</v>
      </c>
      <c r="O466" s="341">
        <f t="shared" si="198"/>
        <v>1.0793546454382936</v>
      </c>
      <c r="P466" s="342">
        <f t="shared" si="199"/>
        <v>0.77684648813610613</v>
      </c>
      <c r="Q466" s="343">
        <f t="shared" si="200"/>
        <v>-9.4570684672153575</v>
      </c>
      <c r="R466" s="344">
        <f t="shared" si="201"/>
        <v>-153.56979403458729</v>
      </c>
      <c r="S466" s="346">
        <f t="shared" si="202"/>
        <v>26.430205965412711</v>
      </c>
      <c r="U466" s="319">
        <f t="shared" si="208"/>
        <v>52786.5</v>
      </c>
      <c r="V466" s="319">
        <f t="shared" si="209"/>
        <v>2786414582.25</v>
      </c>
      <c r="X466" s="345">
        <f t="shared" si="203"/>
        <v>22.195027654150458</v>
      </c>
      <c r="Y466" s="346">
        <f t="shared" si="204"/>
        <v>-29.268075252189053</v>
      </c>
      <c r="AA466" s="345">
        <f t="shared" si="205"/>
        <v>31.957025167796811</v>
      </c>
      <c r="AB466" s="346">
        <f t="shared" si="206"/>
        <v>-124.30171878239824</v>
      </c>
      <c r="AD466">
        <f t="shared" si="210"/>
        <v>0</v>
      </c>
      <c r="AE466">
        <f t="shared" si="187"/>
        <v>0</v>
      </c>
    </row>
    <row r="467" spans="1:31" x14ac:dyDescent="0.25">
      <c r="A467" s="347">
        <v>53092</v>
      </c>
      <c r="B467" s="364">
        <f t="shared" si="207"/>
        <v>53.091999999999999</v>
      </c>
      <c r="C467" s="337">
        <f t="shared" si="188"/>
        <v>23.041094370862126</v>
      </c>
      <c r="D467" s="338">
        <f t="shared" si="189"/>
        <v>1.5273819738423136</v>
      </c>
      <c r="E467" s="338">
        <f t="shared" si="190"/>
        <v>1.009219573543829</v>
      </c>
      <c r="F467" s="339">
        <f t="shared" si="191"/>
        <v>0.13527226325152822</v>
      </c>
      <c r="G467" s="338">
        <f t="shared" si="192"/>
        <v>1</v>
      </c>
      <c r="H467" s="339">
        <f t="shared" si="193"/>
        <v>0</v>
      </c>
      <c r="I467" s="337">
        <f t="shared" si="194"/>
        <v>119579.9526649304</v>
      </c>
      <c r="J467" s="340">
        <f t="shared" si="195"/>
        <v>1.5707879641891445</v>
      </c>
      <c r="K467" s="348">
        <f t="shared" si="185"/>
        <v>22.439331307387949</v>
      </c>
      <c r="L467" s="349">
        <f t="shared" si="186"/>
        <v>1.526216954835232</v>
      </c>
      <c r="M467" s="337">
        <f t="shared" si="196"/>
        <v>1.1206620687385485</v>
      </c>
      <c r="N467" s="340">
        <f t="shared" si="197"/>
        <v>0.468316059005079</v>
      </c>
      <c r="O467" s="341">
        <f t="shared" si="198"/>
        <v>1.0805298029106487</v>
      </c>
      <c r="P467" s="342">
        <f t="shared" si="199"/>
        <v>0.78147101397162999</v>
      </c>
      <c r="Q467" s="343">
        <f t="shared" si="200"/>
        <v>-9.5259091305774994</v>
      </c>
      <c r="R467" s="344">
        <f t="shared" si="201"/>
        <v>-153.92326650810477</v>
      </c>
      <c r="S467" s="346">
        <f t="shared" si="202"/>
        <v>26.076733491895226</v>
      </c>
      <c r="U467" s="319">
        <f t="shared" si="208"/>
        <v>53092</v>
      </c>
      <c r="V467" s="319">
        <f t="shared" si="209"/>
        <v>2818760464</v>
      </c>
      <c r="X467" s="345">
        <f t="shared" si="203"/>
        <v>22.184761622334491</v>
      </c>
      <c r="Y467" s="346">
        <f t="shared" si="204"/>
        <v>-29.386264417386656</v>
      </c>
      <c r="AA467" s="345">
        <f t="shared" si="205"/>
        <v>31.898450536250635</v>
      </c>
      <c r="AB467" s="346">
        <f t="shared" si="206"/>
        <v>-124.53700209071812</v>
      </c>
      <c r="AD467">
        <f t="shared" si="210"/>
        <v>0</v>
      </c>
      <c r="AE467">
        <f t="shared" si="187"/>
        <v>0</v>
      </c>
    </row>
    <row r="468" spans="1:31" x14ac:dyDescent="0.25">
      <c r="A468" s="347">
        <v>53397.5</v>
      </c>
      <c r="B468" s="364">
        <f t="shared" si="207"/>
        <v>53.397500000000001</v>
      </c>
      <c r="C468" s="337">
        <f t="shared" si="188"/>
        <v>23.173427552305135</v>
      </c>
      <c r="D468" s="338">
        <f t="shared" si="189"/>
        <v>1.5276300485279926</v>
      </c>
      <c r="E468" s="338">
        <f t="shared" si="190"/>
        <v>1.0093254890668648</v>
      </c>
      <c r="F468" s="339">
        <f t="shared" si="191"/>
        <v>0.13604110044106008</v>
      </c>
      <c r="G468" s="338">
        <f t="shared" si="192"/>
        <v>1</v>
      </c>
      <c r="H468" s="339">
        <f t="shared" si="193"/>
        <v>0</v>
      </c>
      <c r="I468" s="337">
        <f t="shared" si="194"/>
        <v>120268.03515450678</v>
      </c>
      <c r="J468" s="340">
        <f t="shared" si="195"/>
        <v>1.5707880120336326</v>
      </c>
      <c r="K468" s="348">
        <f t="shared" si="185"/>
        <v>22.56819516815213</v>
      </c>
      <c r="L468" s="349">
        <f t="shared" si="186"/>
        <v>1.526471669307059</v>
      </c>
      <c r="M468" s="337">
        <f t="shared" si="196"/>
        <v>1.1219789369304121</v>
      </c>
      <c r="N468" s="340">
        <f t="shared" si="197"/>
        <v>0.47063102309202309</v>
      </c>
      <c r="O468" s="341">
        <f t="shared" si="198"/>
        <v>1.0817171177352742</v>
      </c>
      <c r="P468" s="342">
        <f t="shared" si="199"/>
        <v>0.78609548431768017</v>
      </c>
      <c r="Q468" s="343">
        <f t="shared" si="200"/>
        <v>-9.5945791332391046</v>
      </c>
      <c r="R468" s="344">
        <f t="shared" si="201"/>
        <v>-154.27643799719792</v>
      </c>
      <c r="S468" s="346">
        <f t="shared" si="202"/>
        <v>25.723562002802083</v>
      </c>
      <c r="U468" s="319">
        <f t="shared" si="208"/>
        <v>53397.5</v>
      </c>
      <c r="V468" s="319">
        <f t="shared" si="209"/>
        <v>2851293006.25</v>
      </c>
      <c r="X468" s="345">
        <f t="shared" si="203"/>
        <v>22.17446258310034</v>
      </c>
      <c r="Y468" s="346">
        <f t="shared" si="204"/>
        <v>-29.504310766498442</v>
      </c>
      <c r="AA468" s="345">
        <f t="shared" si="205"/>
        <v>31.840079572823186</v>
      </c>
      <c r="AB468" s="346">
        <f t="shared" si="206"/>
        <v>-124.77212723069945</v>
      </c>
      <c r="AD468">
        <f t="shared" si="210"/>
        <v>0</v>
      </c>
      <c r="AE468">
        <f t="shared" si="187"/>
        <v>0</v>
      </c>
    </row>
    <row r="469" spans="1:31" x14ac:dyDescent="0.25">
      <c r="A469" s="347">
        <v>53703</v>
      </c>
      <c r="B469" s="364">
        <f t="shared" si="207"/>
        <v>53.703000000000003</v>
      </c>
      <c r="C469" s="337">
        <f t="shared" si="188"/>
        <v>23.305762143669792</v>
      </c>
      <c r="D469" s="338">
        <f t="shared" si="189"/>
        <v>1.5278753059972479</v>
      </c>
      <c r="E469" s="338">
        <f t="shared" si="190"/>
        <v>1.0094320010875122</v>
      </c>
      <c r="F469" s="339">
        <f t="shared" si="191"/>
        <v>0.13680977583442575</v>
      </c>
      <c r="G469" s="338">
        <f t="shared" si="192"/>
        <v>1</v>
      </c>
      <c r="H469" s="339">
        <f t="shared" si="193"/>
        <v>0</v>
      </c>
      <c r="I469" s="337">
        <f t="shared" si="194"/>
        <v>120956.11764408342</v>
      </c>
      <c r="J469" s="340">
        <f t="shared" si="195"/>
        <v>1.5707880593337753</v>
      </c>
      <c r="K469" s="348">
        <f t="shared" si="185"/>
        <v>22.697060476502319</v>
      </c>
      <c r="L469" s="349">
        <f t="shared" si="186"/>
        <v>1.5267234914505754</v>
      </c>
      <c r="M469" s="337">
        <f t="shared" si="196"/>
        <v>1.1233018037567881</v>
      </c>
      <c r="N469" s="340">
        <f t="shared" si="197"/>
        <v>0.47294054705359423</v>
      </c>
      <c r="O469" s="341">
        <f t="shared" si="198"/>
        <v>1.0829166648255963</v>
      </c>
      <c r="P469" s="342">
        <f t="shared" si="199"/>
        <v>0.79071984186071032</v>
      </c>
      <c r="Q469" s="343">
        <f t="shared" si="200"/>
        <v>-9.6630817641024507</v>
      </c>
      <c r="R469" s="344">
        <f t="shared" si="201"/>
        <v>-154.62930486957265</v>
      </c>
      <c r="S469" s="346">
        <f t="shared" si="202"/>
        <v>25.37069513042735</v>
      </c>
      <c r="U469" s="319">
        <f t="shared" si="208"/>
        <v>53703</v>
      </c>
      <c r="V469" s="319">
        <f t="shared" si="209"/>
        <v>2884012209</v>
      </c>
      <c r="X469" s="345">
        <f t="shared" si="203"/>
        <v>22.164130797537137</v>
      </c>
      <c r="Y469" s="346">
        <f t="shared" si="204"/>
        <v>-29.622211106402645</v>
      </c>
      <c r="AA469" s="345">
        <f t="shared" si="205"/>
        <v>31.781908727523035</v>
      </c>
      <c r="AB469" s="346">
        <f t="shared" si="206"/>
        <v>-125.00709376317003</v>
      </c>
      <c r="AD469">
        <f t="shared" si="210"/>
        <v>0</v>
      </c>
      <c r="AE469">
        <f t="shared" si="187"/>
        <v>0</v>
      </c>
    </row>
    <row r="470" spans="1:31" x14ac:dyDescent="0.25">
      <c r="A470" s="347">
        <v>54015.75</v>
      </c>
      <c r="B470" s="364">
        <f t="shared" si="207"/>
        <v>54.015749999999997</v>
      </c>
      <c r="C470" s="337">
        <f t="shared" si="188"/>
        <v>23.441238680553983</v>
      </c>
      <c r="D470" s="338">
        <f t="shared" si="189"/>
        <v>1.5281235153054038</v>
      </c>
      <c r="E470" s="338">
        <f t="shared" si="190"/>
        <v>1.0095416585097101</v>
      </c>
      <c r="F470" s="339">
        <f t="shared" si="191"/>
        <v>0.13759652461917796</v>
      </c>
      <c r="G470" s="338">
        <f t="shared" si="192"/>
        <v>1</v>
      </c>
      <c r="H470" s="339">
        <f t="shared" si="193"/>
        <v>0</v>
      </c>
      <c r="I470" s="337">
        <f t="shared" si="194"/>
        <v>121660.52942351118</v>
      </c>
      <c r="J470" s="340">
        <f t="shared" si="195"/>
        <v>1.5707881072021928</v>
      </c>
      <c r="K470" s="348">
        <f t="shared" si="185"/>
        <v>22.82898543713069</v>
      </c>
      <c r="L470" s="349">
        <f t="shared" si="186"/>
        <v>1.5269783447368492</v>
      </c>
      <c r="M470" s="337">
        <f t="shared" si="196"/>
        <v>1.1246622560715402</v>
      </c>
      <c r="N470" s="340">
        <f t="shared" si="197"/>
        <v>0.47529923874064178</v>
      </c>
      <c r="O470" s="341">
        <f t="shared" si="198"/>
        <v>1.0841574283449678</v>
      </c>
      <c r="P470" s="342">
        <f t="shared" si="199"/>
        <v>0.79545376543347279</v>
      </c>
      <c r="Q470" s="343">
        <f t="shared" si="200"/>
        <v>-9.733040064569785</v>
      </c>
      <c r="R470" s="344">
        <f t="shared" si="201"/>
        <v>-154.99022647593191</v>
      </c>
      <c r="S470" s="346">
        <f t="shared" si="202"/>
        <v>25.009773524068095</v>
      </c>
      <c r="U470" s="319">
        <f t="shared" si="208"/>
        <v>54015.75</v>
      </c>
      <c r="V470" s="319">
        <f t="shared" si="209"/>
        <v>2917701248.0625</v>
      </c>
      <c r="X470" s="345">
        <f t="shared" si="203"/>
        <v>22.153520174047987</v>
      </c>
      <c r="Y470" s="346">
        <f t="shared" si="204"/>
        <v>-29.742754910340562</v>
      </c>
      <c r="AA470" s="345">
        <f t="shared" si="205"/>
        <v>31.722561050544854</v>
      </c>
      <c r="AB470" s="346">
        <f t="shared" si="206"/>
        <v>-125.24747156559133</v>
      </c>
      <c r="AD470">
        <f t="shared" si="210"/>
        <v>0</v>
      </c>
      <c r="AE470">
        <f t="shared" si="187"/>
        <v>0</v>
      </c>
    </row>
    <row r="471" spans="1:31" x14ac:dyDescent="0.25">
      <c r="A471" s="347">
        <v>54328.5</v>
      </c>
      <c r="B471" s="364">
        <f t="shared" si="207"/>
        <v>54.328499999999998</v>
      </c>
      <c r="C471" s="337">
        <f t="shared" si="188"/>
        <v>23.576716645005774</v>
      </c>
      <c r="D471" s="338">
        <f t="shared" si="189"/>
        <v>1.528368872077658</v>
      </c>
      <c r="E471" s="338">
        <f t="shared" si="190"/>
        <v>1.0096519406756324</v>
      </c>
      <c r="F471" s="339">
        <f t="shared" si="191"/>
        <v>0.13838310202086992</v>
      </c>
      <c r="G471" s="338">
        <f t="shared" si="192"/>
        <v>1</v>
      </c>
      <c r="H471" s="339">
        <f t="shared" si="193"/>
        <v>0</v>
      </c>
      <c r="I471" s="337">
        <f t="shared" si="194"/>
        <v>122364.94120293921</v>
      </c>
      <c r="J471" s="340">
        <f t="shared" si="195"/>
        <v>1.5707881545194868</v>
      </c>
      <c r="K471" s="348">
        <f t="shared" ref="K471:K534" si="211">SQRT(1+(A471/Zero2)^2)</f>
        <v>22.960911863467484</v>
      </c>
      <c r="L471" s="349">
        <f t="shared" ref="L471:L534" si="212">ATAN(A471/Zero2)</f>
        <v>1.5272302694201614</v>
      </c>
      <c r="M471" s="337">
        <f t="shared" si="196"/>
        <v>1.1260289502226053</v>
      </c>
      <c r="N471" s="340">
        <f t="shared" si="197"/>
        <v>0.47765221786622941</v>
      </c>
      <c r="O471" s="341">
        <f t="shared" si="198"/>
        <v>1.0854111702039766</v>
      </c>
      <c r="P471" s="342">
        <f t="shared" si="199"/>
        <v>0.80018744732229463</v>
      </c>
      <c r="Q471" s="343">
        <f t="shared" si="200"/>
        <v>-9.8028297376461797</v>
      </c>
      <c r="R471" s="344">
        <f t="shared" si="201"/>
        <v>-155.35082107542959</v>
      </c>
      <c r="S471" s="346">
        <f t="shared" si="202"/>
        <v>24.649178924570407</v>
      </c>
      <c r="U471" s="319">
        <f t="shared" si="208"/>
        <v>54328.5</v>
      </c>
      <c r="V471" s="319">
        <f t="shared" si="209"/>
        <v>2951585912.25</v>
      </c>
      <c r="X471" s="345">
        <f t="shared" si="203"/>
        <v>22.142875786412546</v>
      </c>
      <c r="Y471" s="346">
        <f t="shared" si="204"/>
        <v>-29.86313917362898</v>
      </c>
      <c r="AA471" s="345">
        <f t="shared" si="205"/>
        <v>31.663415765103903</v>
      </c>
      <c r="AB471" s="346">
        <f t="shared" si="206"/>
        <v>-125.4876819018006</v>
      </c>
      <c r="AD471">
        <f t="shared" si="210"/>
        <v>0</v>
      </c>
      <c r="AE471">
        <f t="shared" si="187"/>
        <v>0</v>
      </c>
    </row>
    <row r="472" spans="1:31" x14ac:dyDescent="0.25">
      <c r="A472" s="347">
        <v>54641.25</v>
      </c>
      <c r="B472" s="364">
        <f t="shared" si="207"/>
        <v>54.641249999999999</v>
      </c>
      <c r="C472" s="337">
        <f t="shared" si="188"/>
        <v>23.712196012556234</v>
      </c>
      <c r="D472" s="338">
        <f t="shared" si="189"/>
        <v>1.5286114251780094</v>
      </c>
      <c r="E472" s="338">
        <f t="shared" si="190"/>
        <v>1.0097628473805838</v>
      </c>
      <c r="F472" s="339">
        <f t="shared" si="191"/>
        <v>0.13916950712249795</v>
      </c>
      <c r="G472" s="338">
        <f t="shared" si="192"/>
        <v>1</v>
      </c>
      <c r="H472" s="339">
        <f t="shared" si="193"/>
        <v>0</v>
      </c>
      <c r="I472" s="337">
        <f t="shared" si="194"/>
        <v>123069.35298236752</v>
      </c>
      <c r="J472" s="340">
        <f t="shared" si="195"/>
        <v>1.5707882012951213</v>
      </c>
      <c r="K472" s="348">
        <f t="shared" si="211"/>
        <v>23.092839730392477</v>
      </c>
      <c r="L472" s="349">
        <f t="shared" si="212"/>
        <v>1.5274793156610027</v>
      </c>
      <c r="M472" s="337">
        <f t="shared" si="196"/>
        <v>1.1274018635099641</v>
      </c>
      <c r="N472" s="340">
        <f t="shared" si="197"/>
        <v>0.47999947919838687</v>
      </c>
      <c r="O472" s="341">
        <f t="shared" si="198"/>
        <v>1.0866779704724421</v>
      </c>
      <c r="P472" s="342">
        <f t="shared" si="199"/>
        <v>0.80492082412135113</v>
      </c>
      <c r="Q472" s="343">
        <f t="shared" si="200"/>
        <v>-9.8724541189629349</v>
      </c>
      <c r="R472" s="344">
        <f t="shared" si="201"/>
        <v>-155.71108471420899</v>
      </c>
      <c r="S472" s="346">
        <f t="shared" si="202"/>
        <v>24.288915285791006</v>
      </c>
      <c r="U472" s="319">
        <f t="shared" si="208"/>
        <v>54641.25</v>
      </c>
      <c r="V472" s="319">
        <f t="shared" si="209"/>
        <v>2985666201.5625</v>
      </c>
      <c r="X472" s="345">
        <f t="shared" si="203"/>
        <v>22.132197915771805</v>
      </c>
      <c r="Y472" s="346">
        <f t="shared" si="204"/>
        <v>-29.983360723055871</v>
      </c>
      <c r="AA472" s="345">
        <f t="shared" si="205"/>
        <v>31.604469254427894</v>
      </c>
      <c r="AB472" s="346">
        <f t="shared" si="206"/>
        <v>-125.72772399115308</v>
      </c>
      <c r="AD472">
        <f t="shared" si="210"/>
        <v>0</v>
      </c>
      <c r="AE472">
        <f t="shared" si="187"/>
        <v>0</v>
      </c>
    </row>
    <row r="473" spans="1:31" x14ac:dyDescent="0.25">
      <c r="A473" s="347">
        <v>54954</v>
      </c>
      <c r="B473" s="364">
        <f t="shared" si="207"/>
        <v>54.954000000000001</v>
      </c>
      <c r="C473" s="337">
        <f t="shared" si="188"/>
        <v>23.847676759292238</v>
      </c>
      <c r="D473" s="338">
        <f t="shared" si="189"/>
        <v>1.5288512223613917</v>
      </c>
      <c r="E473" s="338">
        <f t="shared" si="190"/>
        <v>1.0098743784187989</v>
      </c>
      <c r="F473" s="339">
        <f t="shared" si="191"/>
        <v>0.13995573900831237</v>
      </c>
      <c r="G473" s="338">
        <f t="shared" si="192"/>
        <v>1</v>
      </c>
      <c r="H473" s="339">
        <f t="shared" si="193"/>
        <v>0</v>
      </c>
      <c r="I473" s="337">
        <f t="shared" si="194"/>
        <v>123773.76476179609</v>
      </c>
      <c r="J473" s="340">
        <f t="shared" si="195"/>
        <v>1.5707882475383439</v>
      </c>
      <c r="K473" s="348">
        <f t="shared" si="211"/>
        <v>23.224769013355981</v>
      </c>
      <c r="L473" s="349">
        <f t="shared" si="212"/>
        <v>1.5277255324815557</v>
      </c>
      <c r="M473" s="337">
        <f t="shared" si="196"/>
        <v>1.128780973240991</v>
      </c>
      <c r="N473" s="340">
        <f t="shared" si="197"/>
        <v>0.48234101778256255</v>
      </c>
      <c r="O473" s="341">
        <f t="shared" si="198"/>
        <v>1.0879579090997187</v>
      </c>
      <c r="P473" s="342">
        <f t="shared" si="199"/>
        <v>0.8096538317986498</v>
      </c>
      <c r="Q473" s="343">
        <f t="shared" si="200"/>
        <v>-9.9419164816130188</v>
      </c>
      <c r="R473" s="344">
        <f t="shared" si="201"/>
        <v>-156.07101342002261</v>
      </c>
      <c r="S473" s="346">
        <f t="shared" si="202"/>
        <v>23.928986579977391</v>
      </c>
      <c r="U473" s="319">
        <f t="shared" si="208"/>
        <v>54954</v>
      </c>
      <c r="V473" s="319">
        <f t="shared" si="209"/>
        <v>3019942116</v>
      </c>
      <c r="X473" s="345">
        <f t="shared" si="203"/>
        <v>22.121486843495614</v>
      </c>
      <c r="Y473" s="346">
        <f t="shared" si="204"/>
        <v>-30.103416466512009</v>
      </c>
      <c r="AA473" s="345">
        <f t="shared" si="205"/>
        <v>31.545717964053992</v>
      </c>
      <c r="AB473" s="346">
        <f t="shared" si="206"/>
        <v>-125.96759695351057</v>
      </c>
      <c r="AD473">
        <f t="shared" si="210"/>
        <v>0</v>
      </c>
      <c r="AE473">
        <f t="shared" si="187"/>
        <v>0</v>
      </c>
    </row>
    <row r="474" spans="1:31" x14ac:dyDescent="0.25">
      <c r="A474" s="347">
        <v>55274</v>
      </c>
      <c r="B474" s="364">
        <f t="shared" si="207"/>
        <v>55.274000000000001</v>
      </c>
      <c r="C474" s="337">
        <f t="shared" si="188"/>
        <v>23.986299549977474</v>
      </c>
      <c r="D474" s="338">
        <f t="shared" si="189"/>
        <v>1.5290937745853443</v>
      </c>
      <c r="E474" s="338">
        <f t="shared" si="190"/>
        <v>1.0099891409034447</v>
      </c>
      <c r="F474" s="339">
        <f t="shared" si="191"/>
        <v>0.14076001665379129</v>
      </c>
      <c r="G474" s="338">
        <f t="shared" si="192"/>
        <v>1</v>
      </c>
      <c r="H474" s="339">
        <f t="shared" si="193"/>
        <v>0</v>
      </c>
      <c r="I474" s="337">
        <f t="shared" si="194"/>
        <v>124494.5058310758</v>
      </c>
      <c r="J474" s="340">
        <f t="shared" si="195"/>
        <v>1.57078829431191</v>
      </c>
      <c r="K474" s="348">
        <f t="shared" si="211"/>
        <v>23.359758049667043</v>
      </c>
      <c r="L474" s="349">
        <f t="shared" si="212"/>
        <v>1.527974578372244</v>
      </c>
      <c r="M474" s="337">
        <f t="shared" si="196"/>
        <v>1.1301984426541538</v>
      </c>
      <c r="N474" s="340">
        <f t="shared" si="197"/>
        <v>0.48473090848045713</v>
      </c>
      <c r="O474" s="341">
        <f t="shared" si="198"/>
        <v>1.0892812005593455</v>
      </c>
      <c r="P474" s="342">
        <f t="shared" si="199"/>
        <v>0.81449610798947047</v>
      </c>
      <c r="Q474" s="343">
        <f t="shared" si="200"/>
        <v>-10.012824736593767</v>
      </c>
      <c r="R474" s="344">
        <f t="shared" si="201"/>
        <v>-156.43893496548839</v>
      </c>
      <c r="S474" s="346">
        <f t="shared" si="202"/>
        <v>23.561065034511614</v>
      </c>
      <c r="U474" s="319">
        <f t="shared" si="208"/>
        <v>55274</v>
      </c>
      <c r="V474" s="319">
        <f t="shared" si="209"/>
        <v>3055215076</v>
      </c>
      <c r="X474" s="345">
        <f t="shared" si="203"/>
        <v>22.110493401593516</v>
      </c>
      <c r="Y474" s="346">
        <f t="shared" si="204"/>
        <v>-30.226080518625533</v>
      </c>
      <c r="AA474" s="345">
        <f t="shared" si="205"/>
        <v>31.485803150975343</v>
      </c>
      <c r="AB474" s="346">
        <f t="shared" si="206"/>
        <v>-126.21285444686285</v>
      </c>
      <c r="AD474">
        <f t="shared" si="210"/>
        <v>0</v>
      </c>
      <c r="AE474">
        <f t="shared" ref="AE474:AE537" si="213">IF(AD474&gt;0,S474,0)</f>
        <v>0</v>
      </c>
    </row>
    <row r="475" spans="1:31" x14ac:dyDescent="0.25">
      <c r="A475" s="347">
        <v>55594</v>
      </c>
      <c r="B475" s="364">
        <f t="shared" si="207"/>
        <v>55.594000000000001</v>
      </c>
      <c r="C475" s="337">
        <f t="shared" si="188"/>
        <v>24.124923735597527</v>
      </c>
      <c r="D475" s="338">
        <f t="shared" si="189"/>
        <v>1.5293335393653773</v>
      </c>
      <c r="E475" s="338">
        <f t="shared" si="190"/>
        <v>1.010104556563522</v>
      </c>
      <c r="F475" s="339">
        <f t="shared" si="191"/>
        <v>0.1415641110240092</v>
      </c>
      <c r="G475" s="338">
        <f t="shared" si="192"/>
        <v>1</v>
      </c>
      <c r="H475" s="339">
        <f t="shared" si="193"/>
        <v>0</v>
      </c>
      <c r="I475" s="337">
        <f t="shared" si="194"/>
        <v>125215.24690035576</v>
      </c>
      <c r="J475" s="340">
        <f t="shared" si="195"/>
        <v>1.5707883405470173</v>
      </c>
      <c r="K475" s="348">
        <f t="shared" si="211"/>
        <v>23.494748518191447</v>
      </c>
      <c r="L475" s="349">
        <f t="shared" si="212"/>
        <v>1.5282207624622384</v>
      </c>
      <c r="M475" s="337">
        <f t="shared" si="196"/>
        <v>1.1316223510902912</v>
      </c>
      <c r="N475" s="340">
        <f t="shared" si="197"/>
        <v>0.48711479841726341</v>
      </c>
      <c r="O475" s="341">
        <f t="shared" si="198"/>
        <v>1.0906184154843559</v>
      </c>
      <c r="P475" s="342">
        <f t="shared" si="199"/>
        <v>0.81933786015891008</v>
      </c>
      <c r="Q475" s="343">
        <f t="shared" si="200"/>
        <v>-10.083570111593509</v>
      </c>
      <c r="R475" s="344">
        <f t="shared" si="201"/>
        <v>-156.80649739883287</v>
      </c>
      <c r="S475" s="346">
        <f t="shared" si="202"/>
        <v>23.193502601167125</v>
      </c>
      <c r="U475" s="319">
        <f t="shared" si="208"/>
        <v>55594</v>
      </c>
      <c r="V475" s="319">
        <f t="shared" si="209"/>
        <v>3090692836</v>
      </c>
      <c r="X475" s="345">
        <f t="shared" si="203"/>
        <v>22.099465797350092</v>
      </c>
      <c r="Y475" s="346">
        <f t="shared" si="204"/>
        <v>-30.348564690704755</v>
      </c>
      <c r="AA475" s="345">
        <f t="shared" si="205"/>
        <v>31.426085380219028</v>
      </c>
      <c r="AB475" s="346">
        <f t="shared" si="206"/>
        <v>-126.45793270812815</v>
      </c>
      <c r="AD475">
        <f t="shared" si="210"/>
        <v>0</v>
      </c>
      <c r="AE475">
        <f t="shared" si="213"/>
        <v>0</v>
      </c>
    </row>
    <row r="476" spans="1:31" x14ac:dyDescent="0.25">
      <c r="A476" s="347">
        <v>55914</v>
      </c>
      <c r="B476" s="364">
        <f t="shared" si="207"/>
        <v>55.914000000000001</v>
      </c>
      <c r="C476" s="337">
        <f t="shared" si="188"/>
        <v>24.263549292243479</v>
      </c>
      <c r="D476" s="338">
        <f t="shared" si="189"/>
        <v>1.5295705644504085</v>
      </c>
      <c r="E476" s="338">
        <f t="shared" si="190"/>
        <v>1.0102206251751589</v>
      </c>
      <c r="F476" s="339">
        <f t="shared" si="191"/>
        <v>0.14236802114215871</v>
      </c>
      <c r="G476" s="338">
        <f t="shared" si="192"/>
        <v>1</v>
      </c>
      <c r="H476" s="339">
        <f t="shared" si="193"/>
        <v>0</v>
      </c>
      <c r="I476" s="337">
        <f t="shared" si="194"/>
        <v>125935.98796963601</v>
      </c>
      <c r="J476" s="340">
        <f t="shared" si="195"/>
        <v>1.5707883862529106</v>
      </c>
      <c r="K476" s="348">
        <f t="shared" si="211"/>
        <v>23.629740394383614</v>
      </c>
      <c r="L476" s="349">
        <f t="shared" si="212"/>
        <v>1.528464133768086</v>
      </c>
      <c r="M476" s="337">
        <f t="shared" si="196"/>
        <v>1.1330526742736236</v>
      </c>
      <c r="N476" s="340">
        <f t="shared" si="197"/>
        <v>0.48949268317264261</v>
      </c>
      <c r="O476" s="341">
        <f t="shared" si="198"/>
        <v>1.0919696390640308</v>
      </c>
      <c r="P476" s="342">
        <f t="shared" si="199"/>
        <v>0.82417901774972269</v>
      </c>
      <c r="Q476" s="343">
        <f t="shared" si="200"/>
        <v>-10.154155917260857</v>
      </c>
      <c r="R476" s="344">
        <f t="shared" si="201"/>
        <v>-157.17369640802386</v>
      </c>
      <c r="S476" s="346">
        <f t="shared" si="202"/>
        <v>22.826303591976142</v>
      </c>
      <c r="U476" s="319">
        <f t="shared" si="208"/>
        <v>55914</v>
      </c>
      <c r="V476" s="319">
        <f t="shared" si="209"/>
        <v>3126375396</v>
      </c>
      <c r="X476" s="345">
        <f t="shared" si="203"/>
        <v>22.088404332551889</v>
      </c>
      <c r="Y476" s="346">
        <f t="shared" si="204"/>
        <v>-30.470865921571363</v>
      </c>
      <c r="AA476" s="345">
        <f t="shared" si="205"/>
        <v>31.366561039349886</v>
      </c>
      <c r="AB476" s="346">
        <f t="shared" si="206"/>
        <v>-126.70283048645248</v>
      </c>
      <c r="AD476">
        <f t="shared" si="210"/>
        <v>0</v>
      </c>
      <c r="AE476">
        <f t="shared" si="213"/>
        <v>0</v>
      </c>
    </row>
    <row r="477" spans="1:31" x14ac:dyDescent="0.25">
      <c r="A477" s="347">
        <v>56234</v>
      </c>
      <c r="B477" s="364">
        <f t="shared" si="207"/>
        <v>56.234000000000002</v>
      </c>
      <c r="C477" s="337">
        <f t="shared" si="188"/>
        <v>24.402176196549469</v>
      </c>
      <c r="D477" s="338">
        <f t="shared" si="189"/>
        <v>1.5298048965055715</v>
      </c>
      <c r="E477" s="338">
        <f t="shared" si="190"/>
        <v>1.0103373465133196</v>
      </c>
      <c r="F477" s="339">
        <f t="shared" si="191"/>
        <v>0.14317174603283245</v>
      </c>
      <c r="G477" s="338">
        <f t="shared" si="192"/>
        <v>1</v>
      </c>
      <c r="H477" s="339">
        <f t="shared" si="193"/>
        <v>0</v>
      </c>
      <c r="I477" s="337">
        <f t="shared" si="194"/>
        <v>126656.7290389165</v>
      </c>
      <c r="J477" s="340">
        <f t="shared" si="195"/>
        <v>1.5707884314386247</v>
      </c>
      <c r="K477" s="348">
        <f t="shared" si="211"/>
        <v>23.764733654255441</v>
      </c>
      <c r="L477" s="349">
        <f t="shared" si="212"/>
        <v>1.52870474019395</v>
      </c>
      <c r="M477" s="337">
        <f t="shared" si="196"/>
        <v>1.1344893879417077</v>
      </c>
      <c r="N477" s="340">
        <f t="shared" si="197"/>
        <v>0.49186455862013817</v>
      </c>
      <c r="O477" s="341">
        <f t="shared" si="198"/>
        <v>1.0933349563162884</v>
      </c>
      <c r="P477" s="342">
        <f t="shared" si="199"/>
        <v>0.82901950956461867</v>
      </c>
      <c r="Q477" s="343">
        <f t="shared" si="200"/>
        <v>-10.224585400917457</v>
      </c>
      <c r="R477" s="344">
        <f t="shared" si="201"/>
        <v>-157.5405276627416</v>
      </c>
      <c r="S477" s="346">
        <f t="shared" si="202"/>
        <v>22.459472337258404</v>
      </c>
      <c r="U477" s="319">
        <f t="shared" si="208"/>
        <v>56234</v>
      </c>
      <c r="V477" s="319">
        <f t="shared" si="209"/>
        <v>3162262756</v>
      </c>
      <c r="X477" s="345">
        <f t="shared" si="203"/>
        <v>22.0773093090048</v>
      </c>
      <c r="Y477" s="346">
        <f t="shared" si="204"/>
        <v>-30.592981230608085</v>
      </c>
      <c r="AA477" s="345">
        <f t="shared" si="205"/>
        <v>31.307226579240375</v>
      </c>
      <c r="AB477" s="346">
        <f t="shared" si="206"/>
        <v>-126.94754643213349</v>
      </c>
      <c r="AD477">
        <f t="shared" si="210"/>
        <v>0</v>
      </c>
      <c r="AE477">
        <f t="shared" si="213"/>
        <v>0</v>
      </c>
    </row>
    <row r="478" spans="1:31" x14ac:dyDescent="0.25">
      <c r="A478" s="347">
        <v>56561.5</v>
      </c>
      <c r="B478" s="364">
        <f t="shared" si="207"/>
        <v>56.561500000000002</v>
      </c>
      <c r="C478" s="337">
        <f t="shared" si="188"/>
        <v>24.544053540505114</v>
      </c>
      <c r="D478" s="338">
        <f t="shared" si="189"/>
        <v>1.5300419798625697</v>
      </c>
      <c r="E478" s="338">
        <f t="shared" si="190"/>
        <v>1.0104574791250138</v>
      </c>
      <c r="F478" s="339">
        <f t="shared" si="191"/>
        <v>0.1439941154189972</v>
      </c>
      <c r="G478" s="338">
        <f t="shared" si="192"/>
        <v>1</v>
      </c>
      <c r="H478" s="339">
        <f t="shared" si="193"/>
        <v>0</v>
      </c>
      <c r="I478" s="337">
        <f t="shared" si="194"/>
        <v>127394.36247700854</v>
      </c>
      <c r="J478" s="340">
        <f t="shared" si="195"/>
        <v>1.570788477153982</v>
      </c>
      <c r="K478" s="348">
        <f t="shared" si="211"/>
        <v>23.90289222689665</v>
      </c>
      <c r="L478" s="349">
        <f t="shared" si="212"/>
        <v>1.5289481718451581</v>
      </c>
      <c r="M478" s="337">
        <f t="shared" si="196"/>
        <v>1.1359663661888197</v>
      </c>
      <c r="N478" s="340">
        <f t="shared" si="197"/>
        <v>0.49428579867500388</v>
      </c>
      <c r="O478" s="341">
        <f t="shared" si="198"/>
        <v>1.094746954743504</v>
      </c>
      <c r="P478" s="342">
        <f t="shared" si="199"/>
        <v>0.83397268608674535</v>
      </c>
      <c r="Q478" s="343">
        <f t="shared" si="200"/>
        <v>-10.296507038422595</v>
      </c>
      <c r="R478" s="344">
        <f t="shared" si="201"/>
        <v>-157.91557120320678</v>
      </c>
      <c r="S478" s="346">
        <f t="shared" si="202"/>
        <v>22.084428796793219</v>
      </c>
      <c r="U478" s="319">
        <f t="shared" si="208"/>
        <v>56561.5</v>
      </c>
      <c r="V478" s="319">
        <f t="shared" si="209"/>
        <v>3199203282.25</v>
      </c>
      <c r="X478" s="345">
        <f t="shared" si="203"/>
        <v>22.065919812981512</v>
      </c>
      <c r="Y478" s="346">
        <f t="shared" si="204"/>
        <v>-30.717763080165408</v>
      </c>
      <c r="AA478" s="345">
        <f t="shared" si="205"/>
        <v>31.246694437758521</v>
      </c>
      <c r="AB478" s="346">
        <f t="shared" si="206"/>
        <v>-127.19780812304141</v>
      </c>
      <c r="AD478">
        <f t="shared" si="210"/>
        <v>0</v>
      </c>
      <c r="AE478">
        <f t="shared" si="213"/>
        <v>0</v>
      </c>
    </row>
    <row r="479" spans="1:31" x14ac:dyDescent="0.25">
      <c r="A479" s="347">
        <v>56889</v>
      </c>
      <c r="B479" s="364">
        <f t="shared" si="207"/>
        <v>56.889000000000003</v>
      </c>
      <c r="C479" s="337">
        <f t="shared" si="188"/>
        <v>24.685932248187829</v>
      </c>
      <c r="D479" s="338">
        <f t="shared" si="189"/>
        <v>1.5302763380302633</v>
      </c>
      <c r="E479" s="338">
        <f t="shared" si="190"/>
        <v>1.0105782949376791</v>
      </c>
      <c r="F479" s="339">
        <f t="shared" si="191"/>
        <v>0.14481628873064353</v>
      </c>
      <c r="G479" s="338">
        <f t="shared" si="192"/>
        <v>1</v>
      </c>
      <c r="H479" s="339">
        <f t="shared" si="193"/>
        <v>0</v>
      </c>
      <c r="I479" s="337">
        <f t="shared" si="194"/>
        <v>128131.99591510082</v>
      </c>
      <c r="J479" s="340">
        <f t="shared" si="195"/>
        <v>1.5707885223429885</v>
      </c>
      <c r="K479" s="348">
        <f t="shared" si="211"/>
        <v>24.041052199718386</v>
      </c>
      <c r="L479" s="349">
        <f t="shared" si="212"/>
        <v>1.5291888055871679</v>
      </c>
      <c r="M479" s="337">
        <f t="shared" si="196"/>
        <v>1.1374499866115859</v>
      </c>
      <c r="N479" s="340">
        <f t="shared" si="197"/>
        <v>0.49670073662065728</v>
      </c>
      <c r="O479" s="341">
        <f t="shared" si="198"/>
        <v>1.0961738948206996</v>
      </c>
      <c r="P479" s="342">
        <f t="shared" si="199"/>
        <v>0.83892501236327921</v>
      </c>
      <c r="Q479" s="343">
        <f t="shared" si="200"/>
        <v>-10.368271624899032</v>
      </c>
      <c r="R479" s="344">
        <f t="shared" si="201"/>
        <v>-158.29022031455534</v>
      </c>
      <c r="S479" s="346">
        <f t="shared" si="202"/>
        <v>21.709779685444659</v>
      </c>
      <c r="U479" s="319">
        <f t="shared" si="208"/>
        <v>56889</v>
      </c>
      <c r="V479" s="319">
        <f t="shared" si="209"/>
        <v>3236358321</v>
      </c>
      <c r="X479" s="345">
        <f t="shared" si="203"/>
        <v>22.054495806187127</v>
      </c>
      <c r="Y479" s="346">
        <f t="shared" si="204"/>
        <v>-30.842344123693444</v>
      </c>
      <c r="AA479" s="345">
        <f t="shared" si="205"/>
        <v>31.186353858076465</v>
      </c>
      <c r="AB479" s="346">
        <f t="shared" si="206"/>
        <v>-127.44787619086192</v>
      </c>
      <c r="AD479">
        <f t="shared" si="210"/>
        <v>0</v>
      </c>
      <c r="AE479">
        <f t="shared" si="213"/>
        <v>0</v>
      </c>
    </row>
    <row r="480" spans="1:31" x14ac:dyDescent="0.25">
      <c r="A480" s="347">
        <v>57216.5</v>
      </c>
      <c r="B480" s="364">
        <f t="shared" si="207"/>
        <v>57.216500000000003</v>
      </c>
      <c r="C480" s="337">
        <f t="shared" si="188"/>
        <v>24.827812296218532</v>
      </c>
      <c r="D480" s="338">
        <f t="shared" si="189"/>
        <v>1.5305080177024675</v>
      </c>
      <c r="E480" s="338">
        <f t="shared" si="190"/>
        <v>1.0106997937063125</v>
      </c>
      <c r="F480" s="339">
        <f t="shared" si="191"/>
        <v>0.14563826492675877</v>
      </c>
      <c r="G480" s="338">
        <f t="shared" si="192"/>
        <v>1</v>
      </c>
      <c r="H480" s="339">
        <f t="shared" si="193"/>
        <v>0</v>
      </c>
      <c r="I480" s="337">
        <f t="shared" si="194"/>
        <v>128869.62935319336</v>
      </c>
      <c r="J480" s="340">
        <f t="shared" si="195"/>
        <v>1.5707885670146828</v>
      </c>
      <c r="K480" s="348">
        <f t="shared" si="211"/>
        <v>24.179213548718767</v>
      </c>
      <c r="L480" s="349">
        <f t="shared" si="212"/>
        <v>1.5294266893540884</v>
      </c>
      <c r="M480" s="337">
        <f t="shared" si="196"/>
        <v>1.1389402232530677</v>
      </c>
      <c r="N480" s="340">
        <f t="shared" si="197"/>
        <v>0.49910936897271652</v>
      </c>
      <c r="O480" s="341">
        <f t="shared" si="198"/>
        <v>1.0976158670627085</v>
      </c>
      <c r="P480" s="342">
        <f t="shared" si="199"/>
        <v>0.84387641007152181</v>
      </c>
      <c r="Q480" s="343">
        <f t="shared" si="200"/>
        <v>-10.439882443238231</v>
      </c>
      <c r="R480" s="344">
        <f t="shared" si="201"/>
        <v>-158.66447029868667</v>
      </c>
      <c r="S480" s="346">
        <f t="shared" si="202"/>
        <v>21.335529701313334</v>
      </c>
      <c r="U480" s="319">
        <f t="shared" si="208"/>
        <v>57216.5</v>
      </c>
      <c r="V480" s="319">
        <f t="shared" si="209"/>
        <v>3273727872.25</v>
      </c>
      <c r="X480" s="345">
        <f t="shared" si="203"/>
        <v>22.043037611866197</v>
      </c>
      <c r="Y480" s="346">
        <f t="shared" si="204"/>
        <v>-30.966721415647548</v>
      </c>
      <c r="AA480" s="345">
        <f t="shared" si="205"/>
        <v>31.1262012340582</v>
      </c>
      <c r="AB480" s="346">
        <f t="shared" si="206"/>
        <v>-127.69774888303913</v>
      </c>
      <c r="AD480">
        <f t="shared" si="210"/>
        <v>0</v>
      </c>
      <c r="AE480">
        <f t="shared" si="213"/>
        <v>0</v>
      </c>
    </row>
    <row r="481" spans="1:31" x14ac:dyDescent="0.25">
      <c r="A481" s="347">
        <v>57544</v>
      </c>
      <c r="B481" s="364">
        <f t="shared" si="207"/>
        <v>57.543999999999997</v>
      </c>
      <c r="C481" s="337">
        <f t="shared" si="188"/>
        <v>24.969693661749286</v>
      </c>
      <c r="D481" s="338">
        <f t="shared" si="189"/>
        <v>1.5307370645128782</v>
      </c>
      <c r="E481" s="338">
        <f t="shared" si="190"/>
        <v>1.0108219751846441</v>
      </c>
      <c r="F481" s="339">
        <f t="shared" si="191"/>
        <v>0.14646004296789472</v>
      </c>
      <c r="G481" s="338">
        <f t="shared" si="192"/>
        <v>1</v>
      </c>
      <c r="H481" s="339">
        <f t="shared" si="193"/>
        <v>0</v>
      </c>
      <c r="I481" s="337">
        <f t="shared" si="194"/>
        <v>129607.26279128618</v>
      </c>
      <c r="J481" s="340">
        <f t="shared" si="195"/>
        <v>1.5707886111778975</v>
      </c>
      <c r="K481" s="348">
        <f t="shared" si="211"/>
        <v>24.317376250441143</v>
      </c>
      <c r="L481" s="349">
        <f t="shared" si="212"/>
        <v>1.5296618699919127</v>
      </c>
      <c r="M481" s="337">
        <f t="shared" si="196"/>
        <v>1.1404370501765468</v>
      </c>
      <c r="N481" s="340">
        <f t="shared" si="197"/>
        <v>0.50151169255762562</v>
      </c>
      <c r="O481" s="341">
        <f t="shared" si="198"/>
        <v>1.099072961752908</v>
      </c>
      <c r="P481" s="342">
        <f t="shared" si="199"/>
        <v>0.8488268002423337</v>
      </c>
      <c r="Q481" s="343">
        <f t="shared" si="200"/>
        <v>-10.511342712059664</v>
      </c>
      <c r="R481" s="344">
        <f t="shared" si="201"/>
        <v>-159.03831643977358</v>
      </c>
      <c r="S481" s="346">
        <f t="shared" si="202"/>
        <v>20.961683560226419</v>
      </c>
      <c r="U481" s="319">
        <f t="shared" si="208"/>
        <v>57544</v>
      </c>
      <c r="V481" s="319">
        <f t="shared" si="209"/>
        <v>3311311936</v>
      </c>
      <c r="X481" s="345">
        <f t="shared" si="203"/>
        <v>22.031545553056926</v>
      </c>
      <c r="Y481" s="346">
        <f t="shared" si="204"/>
        <v>-31.090892090624763</v>
      </c>
      <c r="AA481" s="345">
        <f t="shared" si="205"/>
        <v>31.066233024046035</v>
      </c>
      <c r="AB481" s="346">
        <f t="shared" si="206"/>
        <v>-127.94742434914885</v>
      </c>
      <c r="AD481">
        <f t="shared" si="210"/>
        <v>0</v>
      </c>
      <c r="AE481">
        <f t="shared" si="213"/>
        <v>0</v>
      </c>
    </row>
    <row r="482" spans="1:31" x14ac:dyDescent="0.25">
      <c r="A482" s="347">
        <v>57879</v>
      </c>
      <c r="B482" s="364">
        <f t="shared" si="207"/>
        <v>57.878999999999998</v>
      </c>
      <c r="C482" s="337">
        <f t="shared" si="188"/>
        <v>25.114825558682131</v>
      </c>
      <c r="D482" s="338">
        <f t="shared" si="189"/>
        <v>1.5309686791697008</v>
      </c>
      <c r="E482" s="338">
        <f t="shared" si="190"/>
        <v>1.0109476607946135</v>
      </c>
      <c r="F482" s="339">
        <f t="shared" si="191"/>
        <v>0.14730043425770523</v>
      </c>
      <c r="G482" s="338">
        <f t="shared" si="192"/>
        <v>1</v>
      </c>
      <c r="H482" s="339">
        <f t="shared" si="193"/>
        <v>0</v>
      </c>
      <c r="I482" s="337">
        <f t="shared" si="194"/>
        <v>130361.78859819051</v>
      </c>
      <c r="J482" s="340">
        <f t="shared" si="195"/>
        <v>1.5707886558354018</v>
      </c>
      <c r="K482" s="348">
        <f t="shared" si="211"/>
        <v>24.458704359146584</v>
      </c>
      <c r="L482" s="349">
        <f t="shared" si="212"/>
        <v>1.5298996874812898</v>
      </c>
      <c r="M482" s="337">
        <f t="shared" si="196"/>
        <v>1.1419749469563629</v>
      </c>
      <c r="N482" s="340">
        <f t="shared" si="197"/>
        <v>0.50396250106595297</v>
      </c>
      <c r="O482" s="341">
        <f t="shared" si="198"/>
        <v>1.1005791647781722</v>
      </c>
      <c r="P482" s="342">
        <f t="shared" si="199"/>
        <v>0.85388943272676088</v>
      </c>
      <c r="Q482" s="343">
        <f t="shared" si="200"/>
        <v>-10.584287004390244</v>
      </c>
      <c r="R482" s="344">
        <f t="shared" si="201"/>
        <v>-159.42030118722991</v>
      </c>
      <c r="S482" s="346">
        <f t="shared" si="202"/>
        <v>20.57969881277009</v>
      </c>
      <c r="U482" s="319">
        <f t="shared" si="208"/>
        <v>57879</v>
      </c>
      <c r="V482" s="319">
        <f t="shared" si="209"/>
        <v>3349978641</v>
      </c>
      <c r="X482" s="345">
        <f t="shared" si="203"/>
        <v>22.019755617174845</v>
      </c>
      <c r="Y482" s="346">
        <f t="shared" si="204"/>
        <v>-31.217689694942383</v>
      </c>
      <c r="AA482" s="345">
        <f t="shared" si="205"/>
        <v>31.00507866759753</v>
      </c>
      <c r="AB482" s="346">
        <f t="shared" si="206"/>
        <v>-128.20261149228756</v>
      </c>
      <c r="AD482">
        <f t="shared" si="210"/>
        <v>0</v>
      </c>
      <c r="AE482">
        <f t="shared" si="213"/>
        <v>0</v>
      </c>
    </row>
    <row r="483" spans="1:31" x14ac:dyDescent="0.25">
      <c r="A483" s="347">
        <v>58214</v>
      </c>
      <c r="B483" s="364">
        <f t="shared" si="207"/>
        <v>58.213999999999999</v>
      </c>
      <c r="C483" s="337">
        <f t="shared" si="188"/>
        <v>25.25995878742669</v>
      </c>
      <c r="D483" s="338">
        <f t="shared" si="189"/>
        <v>1.5311976323155043</v>
      </c>
      <c r="E483" s="338">
        <f t="shared" si="190"/>
        <v>1.0110740602161656</v>
      </c>
      <c r="F483" s="339">
        <f t="shared" si="191"/>
        <v>0.14814061601774642</v>
      </c>
      <c r="G483" s="338">
        <f t="shared" si="192"/>
        <v>1</v>
      </c>
      <c r="H483" s="339">
        <f t="shared" si="193"/>
        <v>0</v>
      </c>
      <c r="I483" s="337">
        <f t="shared" si="194"/>
        <v>131116.31440509509</v>
      </c>
      <c r="J483" s="340">
        <f t="shared" si="195"/>
        <v>1.5707886999789313</v>
      </c>
      <c r="K483" s="348">
        <f t="shared" si="211"/>
        <v>24.600033835272402</v>
      </c>
      <c r="L483" s="349">
        <f t="shared" si="212"/>
        <v>1.5301347724167655</v>
      </c>
      <c r="M483" s="337">
        <f t="shared" si="196"/>
        <v>1.1435196844920188</v>
      </c>
      <c r="N483" s="340">
        <f t="shared" si="197"/>
        <v>0.50640670281308864</v>
      </c>
      <c r="O483" s="341">
        <f t="shared" si="198"/>
        <v>1.1021013811207445</v>
      </c>
      <c r="P483" s="342">
        <f t="shared" si="199"/>
        <v>0.8589508418441868</v>
      </c>
      <c r="Q483" s="343">
        <f t="shared" si="200"/>
        <v>-10.657080384770888</v>
      </c>
      <c r="R483" s="344">
        <f t="shared" si="201"/>
        <v>-159.80185334756743</v>
      </c>
      <c r="S483" s="346">
        <f t="shared" si="202"/>
        <v>20.19814665243257</v>
      </c>
      <c r="U483" s="319">
        <f t="shared" si="208"/>
        <v>58214</v>
      </c>
      <c r="V483" s="319">
        <f t="shared" si="209"/>
        <v>3388869796</v>
      </c>
      <c r="X483" s="345">
        <f t="shared" si="203"/>
        <v>22.007930930859342</v>
      </c>
      <c r="Y483" s="346">
        <f t="shared" si="204"/>
        <v>-31.34426529408444</v>
      </c>
      <c r="AA483" s="345">
        <f t="shared" si="205"/>
        <v>30.944109973532395</v>
      </c>
      <c r="AB483" s="346">
        <f t="shared" si="206"/>
        <v>-128.45758805348299</v>
      </c>
      <c r="AD483">
        <f t="shared" si="210"/>
        <v>0</v>
      </c>
      <c r="AE483">
        <f t="shared" si="213"/>
        <v>0</v>
      </c>
    </row>
    <row r="484" spans="1:31" x14ac:dyDescent="0.25">
      <c r="A484" s="347">
        <v>58549</v>
      </c>
      <c r="B484" s="364">
        <f t="shared" si="207"/>
        <v>58.548999999999999</v>
      </c>
      <c r="C484" s="337">
        <f t="shared" si="188"/>
        <v>25.405093325157988</v>
      </c>
      <c r="D484" s="338">
        <f t="shared" si="189"/>
        <v>1.5314239695402188</v>
      </c>
      <c r="E484" s="338">
        <f t="shared" si="190"/>
        <v>1.0112011731816233</v>
      </c>
      <c r="F484" s="339">
        <f t="shared" si="191"/>
        <v>0.14898058714063717</v>
      </c>
      <c r="G484" s="338">
        <f t="shared" si="192"/>
        <v>1</v>
      </c>
      <c r="H484" s="339">
        <f t="shared" si="193"/>
        <v>0</v>
      </c>
      <c r="I484" s="337">
        <f t="shared" si="194"/>
        <v>131870.84021199998</v>
      </c>
      <c r="J484" s="340">
        <f t="shared" si="195"/>
        <v>1.5707887436173087</v>
      </c>
      <c r="K484" s="348">
        <f t="shared" si="211"/>
        <v>24.74136465538535</v>
      </c>
      <c r="L484" s="349">
        <f t="shared" si="212"/>
        <v>1.5303671715998737</v>
      </c>
      <c r="M484" s="337">
        <f t="shared" si="196"/>
        <v>1.1450712350983228</v>
      </c>
      <c r="N484" s="340">
        <f t="shared" si="197"/>
        <v>0.50884429539245901</v>
      </c>
      <c r="O484" s="341">
        <f t="shared" si="198"/>
        <v>1.1036397065872467</v>
      </c>
      <c r="P484" s="342">
        <f t="shared" si="199"/>
        <v>0.86401094107278664</v>
      </c>
      <c r="Q484" s="343">
        <f t="shared" si="200"/>
        <v>-10.729726097183342</v>
      </c>
      <c r="R484" s="344">
        <f t="shared" si="201"/>
        <v>-160.18296782009827</v>
      </c>
      <c r="S484" s="346">
        <f t="shared" si="202"/>
        <v>19.81703217990173</v>
      </c>
      <c r="U484" s="319">
        <f t="shared" si="208"/>
        <v>58549</v>
      </c>
      <c r="V484" s="319">
        <f t="shared" si="209"/>
        <v>3427985401</v>
      </c>
      <c r="X484" s="345">
        <f t="shared" si="203"/>
        <v>21.996071838844667</v>
      </c>
      <c r="Y484" s="346">
        <f t="shared" si="204"/>
        <v>-31.470616069139616</v>
      </c>
      <c r="AA484" s="345">
        <f t="shared" si="205"/>
        <v>30.883323353134621</v>
      </c>
      <c r="AB484" s="346">
        <f t="shared" si="206"/>
        <v>-128.71235175095862</v>
      </c>
      <c r="AD484">
        <f t="shared" si="210"/>
        <v>0</v>
      </c>
      <c r="AE484">
        <f t="shared" si="213"/>
        <v>0</v>
      </c>
    </row>
    <row r="485" spans="1:31" x14ac:dyDescent="0.25">
      <c r="A485" s="347">
        <v>58884</v>
      </c>
      <c r="B485" s="364">
        <f t="shared" si="207"/>
        <v>58.884</v>
      </c>
      <c r="C485" s="337">
        <f t="shared" si="188"/>
        <v>25.550229149569482</v>
      </c>
      <c r="D485" s="338">
        <f t="shared" si="189"/>
        <v>1.5316477353989817</v>
      </c>
      <c r="E485" s="338">
        <f t="shared" si="190"/>
        <v>1.0113289994219321</v>
      </c>
      <c r="F485" s="339">
        <f t="shared" si="191"/>
        <v>0.14982034652074058</v>
      </c>
      <c r="G485" s="338">
        <f t="shared" si="192"/>
        <v>1</v>
      </c>
      <c r="H485" s="339">
        <f t="shared" si="193"/>
        <v>0</v>
      </c>
      <c r="I485" s="337">
        <f t="shared" si="194"/>
        <v>132625.36601890507</v>
      </c>
      <c r="J485" s="340">
        <f t="shared" si="195"/>
        <v>1.5707887867591552</v>
      </c>
      <c r="K485" s="348">
        <f t="shared" si="211"/>
        <v>24.882696796584362</v>
      </c>
      <c r="L485" s="349">
        <f t="shared" si="212"/>
        <v>1.530596930770004</v>
      </c>
      <c r="M485" s="337">
        <f t="shared" si="196"/>
        <v>1.1466295711181553</v>
      </c>
      <c r="N485" s="340">
        <f t="shared" si="197"/>
        <v>0.51127527672465178</v>
      </c>
      <c r="O485" s="341">
        <f t="shared" si="198"/>
        <v>1.1051942366832679</v>
      </c>
      <c r="P485" s="342">
        <f t="shared" si="199"/>
        <v>0.86906964324953928</v>
      </c>
      <c r="Q485" s="343">
        <f t="shared" si="200"/>
        <v>-10.802227320431273</v>
      </c>
      <c r="R485" s="344">
        <f t="shared" si="201"/>
        <v>-160.56363948759716</v>
      </c>
      <c r="S485" s="346">
        <f t="shared" si="202"/>
        <v>19.436360512402842</v>
      </c>
      <c r="U485" s="319">
        <f t="shared" si="208"/>
        <v>58884</v>
      </c>
      <c r="V485" s="319">
        <f t="shared" si="209"/>
        <v>3467325456</v>
      </c>
      <c r="X485" s="345">
        <f t="shared" si="203"/>
        <v>21.984178685416239</v>
      </c>
      <c r="Y485" s="346">
        <f t="shared" si="204"/>
        <v>-31.596739280786299</v>
      </c>
      <c r="AA485" s="345">
        <f t="shared" si="205"/>
        <v>30.822715283315109</v>
      </c>
      <c r="AB485" s="346">
        <f t="shared" si="206"/>
        <v>-128.96690020681083</v>
      </c>
      <c r="AD485">
        <f t="shared" si="210"/>
        <v>0</v>
      </c>
      <c r="AE485">
        <f t="shared" si="213"/>
        <v>0</v>
      </c>
    </row>
    <row r="486" spans="1:31" x14ac:dyDescent="0.25">
      <c r="A486" s="347">
        <v>59227</v>
      </c>
      <c r="B486" s="364">
        <f t="shared" si="207"/>
        <v>59.226999999999997</v>
      </c>
      <c r="C486" s="337">
        <f t="shared" si="188"/>
        <v>25.698832214486547</v>
      </c>
      <c r="D486" s="338">
        <f t="shared" si="189"/>
        <v>1.5318742261872349</v>
      </c>
      <c r="E486" s="338">
        <f t="shared" si="190"/>
        <v>1.0114606169751226</v>
      </c>
      <c r="F486" s="339">
        <f t="shared" si="191"/>
        <v>0.15067993931537405</v>
      </c>
      <c r="G486" s="338">
        <f t="shared" si="192"/>
        <v>1</v>
      </c>
      <c r="H486" s="339">
        <f t="shared" si="193"/>
        <v>0</v>
      </c>
      <c r="I486" s="337">
        <f t="shared" si="194"/>
        <v>133397.9103525425</v>
      </c>
      <c r="J486" s="340">
        <f t="shared" si="195"/>
        <v>1.5707888304255955</v>
      </c>
      <c r="K486" s="348">
        <f t="shared" si="211"/>
        <v>25.02740537910428</v>
      </c>
      <c r="L486" s="349">
        <f t="shared" si="212"/>
        <v>1.5308294880767317</v>
      </c>
      <c r="M486" s="337">
        <f t="shared" si="196"/>
        <v>1.1482321226876184</v>
      </c>
      <c r="N486" s="340">
        <f t="shared" si="197"/>
        <v>0.51375745955782404</v>
      </c>
      <c r="O486" s="341">
        <f t="shared" si="198"/>
        <v>1.1068027790133708</v>
      </c>
      <c r="P486" s="342">
        <f t="shared" si="199"/>
        <v>0.87424761107628668</v>
      </c>
      <c r="Q486" s="343">
        <f t="shared" si="200"/>
        <v>-10.876313462686189</v>
      </c>
      <c r="R486" s="344">
        <f t="shared" si="201"/>
        <v>-160.9529376680552</v>
      </c>
      <c r="S486" s="346">
        <f t="shared" si="202"/>
        <v>19.047062331944801</v>
      </c>
      <c r="U486" s="319">
        <f t="shared" si="208"/>
        <v>59227</v>
      </c>
      <c r="V486" s="319">
        <f t="shared" si="209"/>
        <v>3507837529</v>
      </c>
      <c r="X486" s="345">
        <f t="shared" si="203"/>
        <v>21.971966584176698</v>
      </c>
      <c r="Y486" s="346">
        <f t="shared" si="204"/>
        <v>-31.725635830986487</v>
      </c>
      <c r="AA486" s="345">
        <f t="shared" si="205"/>
        <v>30.76084124229974</v>
      </c>
      <c r="AB486" s="346">
        <f t="shared" si="206"/>
        <v>-129.22730183706867</v>
      </c>
      <c r="AD486">
        <f t="shared" si="210"/>
        <v>0</v>
      </c>
      <c r="AE486">
        <f t="shared" si="213"/>
        <v>0</v>
      </c>
    </row>
    <row r="487" spans="1:31" x14ac:dyDescent="0.25">
      <c r="A487" s="347">
        <v>59570</v>
      </c>
      <c r="B487" s="364">
        <f t="shared" si="207"/>
        <v>59.57</v>
      </c>
      <c r="C487" s="337">
        <f t="shared" si="188"/>
        <v>25.847436582545811</v>
      </c>
      <c r="D487" s="338">
        <f t="shared" si="189"/>
        <v>1.5320981126651272</v>
      </c>
      <c r="E487" s="338">
        <f t="shared" si="190"/>
        <v>1.0115929817015323</v>
      </c>
      <c r="F487" s="339">
        <f t="shared" si="191"/>
        <v>0.15153930779318703</v>
      </c>
      <c r="G487" s="338">
        <f t="shared" si="192"/>
        <v>1</v>
      </c>
      <c r="H487" s="339">
        <f t="shared" si="193"/>
        <v>0</v>
      </c>
      <c r="I487" s="337">
        <f t="shared" si="194"/>
        <v>134170.45468618016</v>
      </c>
      <c r="J487" s="340">
        <f t="shared" si="195"/>
        <v>1.5707888735891788</v>
      </c>
      <c r="K487" s="348">
        <f t="shared" si="211"/>
        <v>25.172115299616308</v>
      </c>
      <c r="L487" s="349">
        <f t="shared" si="212"/>
        <v>1.5310593715363088</v>
      </c>
      <c r="M487" s="337">
        <f t="shared" si="196"/>
        <v>1.149841729036015</v>
      </c>
      <c r="N487" s="340">
        <f t="shared" si="197"/>
        <v>0.51623270823706358</v>
      </c>
      <c r="O487" s="341">
        <f t="shared" si="198"/>
        <v>1.1084285107826715</v>
      </c>
      <c r="P487" s="342">
        <f t="shared" si="199"/>
        <v>0.87942392741190611</v>
      </c>
      <c r="Q487" s="343">
        <f t="shared" si="200"/>
        <v>-10.950254672728724</v>
      </c>
      <c r="R487" s="344">
        <f t="shared" si="201"/>
        <v>-161.34176073504636</v>
      </c>
      <c r="S487" s="346">
        <f t="shared" si="202"/>
        <v>18.658239264953636</v>
      </c>
      <c r="U487" s="319">
        <f t="shared" si="208"/>
        <v>59570</v>
      </c>
      <c r="V487" s="319">
        <f t="shared" si="209"/>
        <v>3548584900</v>
      </c>
      <c r="X487" s="345">
        <f t="shared" si="203"/>
        <v>21.959719504091417</v>
      </c>
      <c r="Y487" s="346">
        <f t="shared" si="204"/>
        <v>-31.854288254776769</v>
      </c>
      <c r="AA487" s="345">
        <f t="shared" si="205"/>
        <v>30.699147112342487</v>
      </c>
      <c r="AB487" s="346">
        <f t="shared" si="206"/>
        <v>-129.48747248026962</v>
      </c>
      <c r="AD487">
        <f t="shared" si="210"/>
        <v>0</v>
      </c>
      <c r="AE487">
        <f t="shared" si="213"/>
        <v>0</v>
      </c>
    </row>
    <row r="488" spans="1:31" x14ac:dyDescent="0.25">
      <c r="A488" s="347">
        <v>59913</v>
      </c>
      <c r="B488" s="364">
        <f t="shared" si="207"/>
        <v>59.912999999999997</v>
      </c>
      <c r="C488" s="337">
        <f t="shared" si="188"/>
        <v>25.996042231399326</v>
      </c>
      <c r="D488" s="338">
        <f t="shared" si="189"/>
        <v>1.5323194394724209</v>
      </c>
      <c r="E488" s="338">
        <f t="shared" si="190"/>
        <v>1.0117260933079013</v>
      </c>
      <c r="F488" s="339">
        <f t="shared" si="191"/>
        <v>0.15239845077316053</v>
      </c>
      <c r="G488" s="338">
        <f t="shared" si="192"/>
        <v>1</v>
      </c>
      <c r="H488" s="339">
        <f t="shared" si="193"/>
        <v>0</v>
      </c>
      <c r="I488" s="337">
        <f t="shared" si="194"/>
        <v>134942.99901981806</v>
      </c>
      <c r="J488" s="340">
        <f t="shared" si="195"/>
        <v>1.5707889162585422</v>
      </c>
      <c r="K488" s="348">
        <f t="shared" si="211"/>
        <v>25.316826535176716</v>
      </c>
      <c r="L488" s="349">
        <f t="shared" si="212"/>
        <v>1.5312866269754388</v>
      </c>
      <c r="M488" s="337">
        <f t="shared" si="196"/>
        <v>1.1514583605780369</v>
      </c>
      <c r="N488" s="340">
        <f t="shared" si="197"/>
        <v>0.51870102157448672</v>
      </c>
      <c r="O488" s="341">
        <f t="shared" si="198"/>
        <v>1.1100715334451097</v>
      </c>
      <c r="P488" s="342">
        <f t="shared" si="199"/>
        <v>0.88459849672493052</v>
      </c>
      <c r="Q488" s="343">
        <f t="shared" si="200"/>
        <v>-11.024054158068701</v>
      </c>
      <c r="R488" s="344">
        <f t="shared" si="201"/>
        <v>-161.73010314711567</v>
      </c>
      <c r="S488" s="346">
        <f t="shared" si="202"/>
        <v>18.26989685288433</v>
      </c>
      <c r="U488" s="319">
        <f t="shared" si="208"/>
        <v>59913</v>
      </c>
      <c r="V488" s="319">
        <f t="shared" si="209"/>
        <v>3589567569</v>
      </c>
      <c r="X488" s="345">
        <f t="shared" si="203"/>
        <v>21.947437812909211</v>
      </c>
      <c r="Y488" s="346">
        <f t="shared" si="204"/>
        <v>-31.98269385891459</v>
      </c>
      <c r="AA488" s="345">
        <f t="shared" si="205"/>
        <v>30.637629318184715</v>
      </c>
      <c r="AB488" s="346">
        <f t="shared" si="206"/>
        <v>-129.74740928820111</v>
      </c>
      <c r="AD488">
        <f t="shared" si="210"/>
        <v>0</v>
      </c>
      <c r="AE488">
        <f t="shared" si="213"/>
        <v>0</v>
      </c>
    </row>
    <row r="489" spans="1:31" x14ac:dyDescent="0.25">
      <c r="A489" s="347">
        <v>60256</v>
      </c>
      <c r="B489" s="364">
        <f t="shared" si="207"/>
        <v>60.256</v>
      </c>
      <c r="C489" s="337">
        <f t="shared" si="188"/>
        <v>26.144649139207072</v>
      </c>
      <c r="D489" s="338">
        <f t="shared" si="189"/>
        <v>1.5325382502349607</v>
      </c>
      <c r="E489" s="338">
        <f t="shared" si="190"/>
        <v>1.0118599514994704</v>
      </c>
      <c r="F489" s="339">
        <f t="shared" si="191"/>
        <v>0.153257367076227</v>
      </c>
      <c r="G489" s="338">
        <f t="shared" si="192"/>
        <v>1</v>
      </c>
      <c r="H489" s="339">
        <f t="shared" si="193"/>
        <v>0</v>
      </c>
      <c r="I489" s="337">
        <f t="shared" si="194"/>
        <v>135715.54335345622</v>
      </c>
      <c r="J489" s="340">
        <f t="shared" si="195"/>
        <v>1.5707889584421251</v>
      </c>
      <c r="K489" s="348">
        <f t="shared" si="211"/>
        <v>25.461539063363194</v>
      </c>
      <c r="L489" s="349">
        <f t="shared" si="212"/>
        <v>1.5315112991800881</v>
      </c>
      <c r="M489" s="337">
        <f t="shared" si="196"/>
        <v>1.1530819877655263</v>
      </c>
      <c r="N489" s="340">
        <f t="shared" si="197"/>
        <v>0.52116239872688741</v>
      </c>
      <c r="O489" s="341">
        <f t="shared" si="198"/>
        <v>1.1117319480716765</v>
      </c>
      <c r="P489" s="342">
        <f t="shared" si="199"/>
        <v>0.88977122285829591</v>
      </c>
      <c r="Q489" s="343">
        <f t="shared" si="200"/>
        <v>-11.097715059783679</v>
      </c>
      <c r="R489" s="344">
        <f t="shared" si="201"/>
        <v>-162.11795934812605</v>
      </c>
      <c r="S489" s="346">
        <f t="shared" si="202"/>
        <v>17.88204065187395</v>
      </c>
      <c r="U489" s="319">
        <f t="shared" si="208"/>
        <v>60256</v>
      </c>
      <c r="V489" s="319">
        <f t="shared" si="209"/>
        <v>3630785536</v>
      </c>
      <c r="X489" s="345">
        <f t="shared" si="203"/>
        <v>21.935121877666887</v>
      </c>
      <c r="Y489" s="346">
        <f t="shared" si="204"/>
        <v>-32.110850029524478</v>
      </c>
      <c r="AA489" s="345">
        <f t="shared" si="205"/>
        <v>30.576284351712061</v>
      </c>
      <c r="AB489" s="346">
        <f t="shared" si="206"/>
        <v>-130.00710931860158</v>
      </c>
      <c r="AD489">
        <f t="shared" si="210"/>
        <v>0</v>
      </c>
      <c r="AE489">
        <f t="shared" si="213"/>
        <v>0</v>
      </c>
    </row>
    <row r="490" spans="1:31" x14ac:dyDescent="0.25">
      <c r="A490" s="347">
        <v>60607</v>
      </c>
      <c r="B490" s="364">
        <f t="shared" si="207"/>
        <v>60.606999999999999</v>
      </c>
      <c r="C490" s="337">
        <f t="shared" si="188"/>
        <v>26.296723378416445</v>
      </c>
      <c r="D490" s="338">
        <f t="shared" si="189"/>
        <v>1.5327596041827953</v>
      </c>
      <c r="E490" s="338">
        <f t="shared" si="190"/>
        <v>1.0119977043467578</v>
      </c>
      <c r="F490" s="339">
        <f t="shared" si="191"/>
        <v>0.15413608051557992</v>
      </c>
      <c r="G490" s="338">
        <f t="shared" si="192"/>
        <v>1</v>
      </c>
      <c r="H490" s="339">
        <f t="shared" si="193"/>
        <v>0</v>
      </c>
      <c r="I490" s="337">
        <f t="shared" si="194"/>
        <v>136506.10621382672</v>
      </c>
      <c r="J490" s="340">
        <f t="shared" si="195"/>
        <v>1.5707890011152787</v>
      </c>
      <c r="K490" s="348">
        <f t="shared" si="211"/>
        <v>25.609628126204974</v>
      </c>
      <c r="L490" s="349">
        <f t="shared" si="212"/>
        <v>1.5317385829044003</v>
      </c>
      <c r="M490" s="337">
        <f t="shared" si="196"/>
        <v>1.1547506953153968</v>
      </c>
      <c r="N490" s="340">
        <f t="shared" si="197"/>
        <v>0.52367400283375953</v>
      </c>
      <c r="O490" s="341">
        <f t="shared" si="198"/>
        <v>1.1134491997623801</v>
      </c>
      <c r="P490" s="342">
        <f t="shared" si="199"/>
        <v>0.89506258654391324</v>
      </c>
      <c r="Q490" s="343">
        <f t="shared" si="200"/>
        <v>-11.172953738979412</v>
      </c>
      <c r="R490" s="344">
        <f t="shared" si="201"/>
        <v>-162.51435259311481</v>
      </c>
      <c r="S490" s="346">
        <f t="shared" si="202"/>
        <v>17.485647406885192</v>
      </c>
      <c r="U490" s="319">
        <f t="shared" si="208"/>
        <v>60607</v>
      </c>
      <c r="V490" s="319">
        <f t="shared" si="209"/>
        <v>3673208449</v>
      </c>
      <c r="X490" s="345">
        <f t="shared" si="203"/>
        <v>21.922483621004403</v>
      </c>
      <c r="Y490" s="346">
        <f t="shared" si="204"/>
        <v>-32.241734391642019</v>
      </c>
      <c r="AA490" s="345">
        <f t="shared" si="205"/>
        <v>30.513683929178811</v>
      </c>
      <c r="AB490" s="346">
        <f t="shared" si="206"/>
        <v>-130.2726182014728</v>
      </c>
      <c r="AD490">
        <f t="shared" si="210"/>
        <v>0</v>
      </c>
      <c r="AE490">
        <f t="shared" si="213"/>
        <v>0</v>
      </c>
    </row>
    <row r="491" spans="1:31" x14ac:dyDescent="0.25">
      <c r="A491" s="347">
        <v>60958</v>
      </c>
      <c r="B491" s="364">
        <f t="shared" si="207"/>
        <v>60.957999999999998</v>
      </c>
      <c r="C491" s="337">
        <f t="shared" si="188"/>
        <v>26.448798891284483</v>
      </c>
      <c r="D491" s="338">
        <f t="shared" si="189"/>
        <v>1.5329784126558916</v>
      </c>
      <c r="E491" s="338">
        <f t="shared" si="190"/>
        <v>1.0121362383821777</v>
      </c>
      <c r="F491" s="339">
        <f t="shared" si="191"/>
        <v>0.15501455408894421</v>
      </c>
      <c r="G491" s="338">
        <f t="shared" si="192"/>
        <v>1</v>
      </c>
      <c r="H491" s="339">
        <f t="shared" si="193"/>
        <v>0</v>
      </c>
      <c r="I491" s="337">
        <f t="shared" si="194"/>
        <v>137296.66907419747</v>
      </c>
      <c r="J491" s="340">
        <f t="shared" si="195"/>
        <v>1.5707890432970029</v>
      </c>
      <c r="K491" s="348">
        <f t="shared" si="211"/>
        <v>25.757718496774135</v>
      </c>
      <c r="L491" s="349">
        <f t="shared" si="212"/>
        <v>1.5319632531687575</v>
      </c>
      <c r="M491" s="337">
        <f t="shared" si="196"/>
        <v>1.1564266661626776</v>
      </c>
      <c r="N491" s="340">
        <f t="shared" si="197"/>
        <v>0.52617834273112174</v>
      </c>
      <c r="O491" s="341">
        <f t="shared" si="198"/>
        <v>1.1151848770314907</v>
      </c>
      <c r="P491" s="342">
        <f t="shared" si="199"/>
        <v>0.90035181441253909</v>
      </c>
      <c r="Q491" s="343">
        <f t="shared" si="200"/>
        <v>-11.248053742141886</v>
      </c>
      <c r="R491" s="344">
        <f t="shared" si="201"/>
        <v>-162.91022486667504</v>
      </c>
      <c r="S491" s="346">
        <f t="shared" si="202"/>
        <v>17.089775133324963</v>
      </c>
      <c r="U491" s="319">
        <f t="shared" si="208"/>
        <v>60958</v>
      </c>
      <c r="V491" s="319">
        <f t="shared" si="209"/>
        <v>3715877764</v>
      </c>
      <c r="X491" s="345">
        <f t="shared" si="203"/>
        <v>21.909810279442738</v>
      </c>
      <c r="Y491" s="346">
        <f t="shared" si="204"/>
        <v>-32.372352257281364</v>
      </c>
      <c r="AA491" s="345">
        <f t="shared" si="205"/>
        <v>30.451257267578001</v>
      </c>
      <c r="AB491" s="346">
        <f t="shared" si="206"/>
        <v>-130.53787260939367</v>
      </c>
      <c r="AD491">
        <f t="shared" si="210"/>
        <v>0</v>
      </c>
      <c r="AE491">
        <f t="shared" si="213"/>
        <v>0</v>
      </c>
    </row>
    <row r="492" spans="1:31" x14ac:dyDescent="0.25">
      <c r="A492" s="347">
        <v>61309</v>
      </c>
      <c r="B492" s="364">
        <f t="shared" si="207"/>
        <v>61.308999999999997</v>
      </c>
      <c r="C492" s="337">
        <f t="shared" si="188"/>
        <v>26.600875655966913</v>
      </c>
      <c r="D492" s="338">
        <f t="shared" si="189"/>
        <v>1.5331947192904267</v>
      </c>
      <c r="E492" s="338">
        <f t="shared" si="190"/>
        <v>1.0122755532850041</v>
      </c>
      <c r="F492" s="339">
        <f t="shared" si="191"/>
        <v>0.15589278653921551</v>
      </c>
      <c r="G492" s="338">
        <f t="shared" si="192"/>
        <v>1</v>
      </c>
      <c r="H492" s="339">
        <f t="shared" si="193"/>
        <v>0</v>
      </c>
      <c r="I492" s="337">
        <f t="shared" si="194"/>
        <v>138087.23193456844</v>
      </c>
      <c r="J492" s="340">
        <f t="shared" si="195"/>
        <v>1.5707890849957382</v>
      </c>
      <c r="K492" s="348">
        <f t="shared" si="211"/>
        <v>25.905810152643827</v>
      </c>
      <c r="L492" s="349">
        <f t="shared" si="212"/>
        <v>1.5321853547701432</v>
      </c>
      <c r="M492" s="337">
        <f t="shared" si="196"/>
        <v>1.158109868773898</v>
      </c>
      <c r="N492" s="340">
        <f t="shared" si="197"/>
        <v>0.52867541861161327</v>
      </c>
      <c r="O492" s="341">
        <f t="shared" si="198"/>
        <v>1.1169390868584612</v>
      </c>
      <c r="P492" s="342">
        <f t="shared" si="199"/>
        <v>0.90563880152262499</v>
      </c>
      <c r="Q492" s="343">
        <f t="shared" si="200"/>
        <v>-11.323018227129907</v>
      </c>
      <c r="R492" s="344">
        <f t="shared" si="201"/>
        <v>-163.30557017313751</v>
      </c>
      <c r="S492" s="346">
        <f t="shared" si="202"/>
        <v>16.694429826862489</v>
      </c>
      <c r="U492" s="319">
        <f t="shared" si="208"/>
        <v>61309</v>
      </c>
      <c r="V492" s="319">
        <f t="shared" si="209"/>
        <v>3758793481</v>
      </c>
      <c r="X492" s="345">
        <f t="shared" si="203"/>
        <v>21.897102243663031</v>
      </c>
      <c r="Y492" s="346">
        <f t="shared" si="204"/>
        <v>-32.50270107128545</v>
      </c>
      <c r="AA492" s="345">
        <f t="shared" si="205"/>
        <v>30.389000818369688</v>
      </c>
      <c r="AB492" s="346">
        <f t="shared" si="206"/>
        <v>-130.80286910185202</v>
      </c>
      <c r="AD492">
        <f t="shared" si="210"/>
        <v>0</v>
      </c>
      <c r="AE492">
        <f t="shared" si="213"/>
        <v>0</v>
      </c>
    </row>
    <row r="493" spans="1:31" x14ac:dyDescent="0.25">
      <c r="A493" s="347">
        <v>61660</v>
      </c>
      <c r="B493" s="364">
        <f t="shared" si="207"/>
        <v>61.66</v>
      </c>
      <c r="C493" s="337">
        <f t="shared" si="188"/>
        <v>26.752953651115963</v>
      </c>
      <c r="D493" s="338">
        <f t="shared" si="189"/>
        <v>1.5334085667313211</v>
      </c>
      <c r="E493" s="338">
        <f t="shared" si="190"/>
        <v>1.0124156487328795</v>
      </c>
      <c r="F493" s="339">
        <f t="shared" si="191"/>
        <v>0.15677077661146718</v>
      </c>
      <c r="G493" s="338">
        <f t="shared" si="192"/>
        <v>1</v>
      </c>
      <c r="H493" s="339">
        <f t="shared" si="193"/>
        <v>0</v>
      </c>
      <c r="I493" s="337">
        <f t="shared" si="194"/>
        <v>138877.79479493966</v>
      </c>
      <c r="J493" s="340">
        <f t="shared" si="195"/>
        <v>1.5707891262197329</v>
      </c>
      <c r="K493" s="348">
        <f t="shared" si="211"/>
        <v>26.053903071896922</v>
      </c>
      <c r="L493" s="349">
        <f t="shared" si="212"/>
        <v>1.532404931488047</v>
      </c>
      <c r="M493" s="337">
        <f t="shared" si="196"/>
        <v>1.1598002716629718</v>
      </c>
      <c r="N493" s="340">
        <f t="shared" si="197"/>
        <v>0.53116523102910707</v>
      </c>
      <c r="O493" s="341">
        <f t="shared" si="198"/>
        <v>1.1187119357462874</v>
      </c>
      <c r="P493" s="342">
        <f t="shared" si="199"/>
        <v>0.91092344233966405</v>
      </c>
      <c r="Q493" s="343">
        <f t="shared" si="200"/>
        <v>-11.397850284161983</v>
      </c>
      <c r="R493" s="344">
        <f t="shared" si="201"/>
        <v>-163.70038250492334</v>
      </c>
      <c r="S493" s="346">
        <f t="shared" si="202"/>
        <v>16.29961749507666</v>
      </c>
      <c r="U493" s="319">
        <f t="shared" si="208"/>
        <v>61660</v>
      </c>
      <c r="V493" s="319">
        <f t="shared" si="209"/>
        <v>3801955600</v>
      </c>
      <c r="X493" s="345">
        <f t="shared" si="203"/>
        <v>21.884359903352014</v>
      </c>
      <c r="Y493" s="346">
        <f t="shared" si="204"/>
        <v>-32.632778357481421</v>
      </c>
      <c r="AA493" s="345">
        <f t="shared" si="205"/>
        <v>30.326911101648626</v>
      </c>
      <c r="AB493" s="346">
        <f t="shared" si="206"/>
        <v>-131.06760414744195</v>
      </c>
      <c r="AD493">
        <f t="shared" si="210"/>
        <v>0</v>
      </c>
      <c r="AE493">
        <f t="shared" si="213"/>
        <v>0</v>
      </c>
    </row>
    <row r="494" spans="1:31" x14ac:dyDescent="0.25">
      <c r="A494" s="347">
        <v>62019</v>
      </c>
      <c r="B494" s="364">
        <f t="shared" si="207"/>
        <v>62.018999999999998</v>
      </c>
      <c r="C494" s="337">
        <f t="shared" si="188"/>
        <v>26.90849906250487</v>
      </c>
      <c r="D494" s="338">
        <f t="shared" si="189"/>
        <v>1.533624787720046</v>
      </c>
      <c r="E494" s="338">
        <f t="shared" si="190"/>
        <v>1.0125597443347825</v>
      </c>
      <c r="F494" s="339">
        <f t="shared" si="191"/>
        <v>0.15766852582032859</v>
      </c>
      <c r="G494" s="338">
        <f t="shared" si="192"/>
        <v>1</v>
      </c>
      <c r="H494" s="339">
        <f t="shared" si="193"/>
        <v>0</v>
      </c>
      <c r="I494" s="337">
        <f t="shared" si="194"/>
        <v>139686.37618204323</v>
      </c>
      <c r="J494" s="340">
        <f t="shared" si="195"/>
        <v>1.5707891679006125</v>
      </c>
      <c r="K494" s="348">
        <f t="shared" si="211"/>
        <v>26.205372612919877</v>
      </c>
      <c r="L494" s="349">
        <f t="shared" si="212"/>
        <v>1.5326269455387227</v>
      </c>
      <c r="M494" s="337">
        <f t="shared" si="196"/>
        <v>1.1615366177978128</v>
      </c>
      <c r="N494" s="340">
        <f t="shared" si="197"/>
        <v>0.53370427858635927</v>
      </c>
      <c r="O494" s="341">
        <f t="shared" si="198"/>
        <v>1.1205445830760343</v>
      </c>
      <c r="P494" s="342">
        <f t="shared" si="199"/>
        <v>0.91632599309756557</v>
      </c>
      <c r="Q494" s="343">
        <f t="shared" si="200"/>
        <v>-11.474254076685238</v>
      </c>
      <c r="R494" s="344">
        <f t="shared" si="201"/>
        <v>-164.10363580083998</v>
      </c>
      <c r="S494" s="346">
        <f t="shared" si="202"/>
        <v>15.896364199160018</v>
      </c>
      <c r="U494" s="319">
        <f t="shared" si="208"/>
        <v>62019</v>
      </c>
      <c r="V494" s="319">
        <f t="shared" si="209"/>
        <v>3846356361</v>
      </c>
      <c r="X494" s="345">
        <f t="shared" si="203"/>
        <v>21.871292058162979</v>
      </c>
      <c r="Y494" s="346">
        <f t="shared" si="204"/>
        <v>-32.765536986688829</v>
      </c>
      <c r="AA494" s="345">
        <f t="shared" si="205"/>
        <v>30.26357515431441</v>
      </c>
      <c r="AB494" s="346">
        <f t="shared" si="206"/>
        <v>-131.33809881415112</v>
      </c>
      <c r="AD494">
        <f t="shared" si="210"/>
        <v>0</v>
      </c>
      <c r="AE494">
        <f t="shared" si="213"/>
        <v>0</v>
      </c>
    </row>
    <row r="495" spans="1:31" x14ac:dyDescent="0.25">
      <c r="A495" s="347">
        <v>62378</v>
      </c>
      <c r="B495" s="364">
        <f t="shared" si="207"/>
        <v>62.378</v>
      </c>
      <c r="C495" s="337">
        <f t="shared" si="188"/>
        <v>27.06404571744649</v>
      </c>
      <c r="D495" s="338">
        <f t="shared" si="189"/>
        <v>1.5338385233214824</v>
      </c>
      <c r="E495" s="338">
        <f t="shared" si="190"/>
        <v>1.0127046557802801</v>
      </c>
      <c r="F495" s="339">
        <f t="shared" si="191"/>
        <v>0.15856601882821736</v>
      </c>
      <c r="G495" s="338">
        <f t="shared" si="192"/>
        <v>1</v>
      </c>
      <c r="H495" s="339">
        <f t="shared" si="193"/>
        <v>0</v>
      </c>
      <c r="I495" s="337">
        <f t="shared" si="194"/>
        <v>140494.95756914702</v>
      </c>
      <c r="J495" s="340">
        <f t="shared" si="195"/>
        <v>1.5707892091017259</v>
      </c>
      <c r="K495" s="348">
        <f t="shared" si="211"/>
        <v>26.356843430765746</v>
      </c>
      <c r="L495" s="349">
        <f t="shared" si="212"/>
        <v>1.5328464078036563</v>
      </c>
      <c r="M495" s="337">
        <f t="shared" si="196"/>
        <v>1.1632804297011876</v>
      </c>
      <c r="N495" s="340">
        <f t="shared" si="197"/>
        <v>0.53623573011994985</v>
      </c>
      <c r="O495" s="341">
        <f t="shared" si="198"/>
        <v>1.1223969525731594</v>
      </c>
      <c r="P495" s="342">
        <f t="shared" si="199"/>
        <v>0.92172586427911074</v>
      </c>
      <c r="Q495" s="343">
        <f t="shared" si="200"/>
        <v>-11.550525663562416</v>
      </c>
      <c r="R495" s="344">
        <f t="shared" si="201"/>
        <v>-164.50631880433991</v>
      </c>
      <c r="S495" s="346">
        <f t="shared" si="202"/>
        <v>15.493681195660088</v>
      </c>
      <c r="U495" s="319">
        <f t="shared" si="208"/>
        <v>62378</v>
      </c>
      <c r="V495" s="319">
        <f t="shared" si="209"/>
        <v>3891014884</v>
      </c>
      <c r="X495" s="345">
        <f t="shared" si="203"/>
        <v>21.858189148084715</v>
      </c>
      <c r="Y495" s="346">
        <f t="shared" si="204"/>
        <v>-32.898006574863693</v>
      </c>
      <c r="AA495" s="345">
        <f t="shared" si="205"/>
        <v>30.200406477515497</v>
      </c>
      <c r="AB495" s="346">
        <f t="shared" si="206"/>
        <v>-131.60831222947624</v>
      </c>
      <c r="AD495">
        <f t="shared" si="210"/>
        <v>0</v>
      </c>
      <c r="AE495">
        <f t="shared" si="213"/>
        <v>0</v>
      </c>
    </row>
    <row r="496" spans="1:31" x14ac:dyDescent="0.25">
      <c r="A496" s="347">
        <v>62737</v>
      </c>
      <c r="B496" s="364">
        <f t="shared" si="207"/>
        <v>62.737000000000002</v>
      </c>
      <c r="C496" s="337">
        <f t="shared" si="188"/>
        <v>27.219593594621934</v>
      </c>
      <c r="D496" s="338">
        <f t="shared" si="189"/>
        <v>1.5340498161245837</v>
      </c>
      <c r="E496" s="338">
        <f t="shared" si="190"/>
        <v>1.012850382719197</v>
      </c>
      <c r="F496" s="339">
        <f t="shared" si="191"/>
        <v>0.15946325429956143</v>
      </c>
      <c r="G496" s="338">
        <f t="shared" si="192"/>
        <v>1</v>
      </c>
      <c r="H496" s="339">
        <f t="shared" si="193"/>
        <v>0</v>
      </c>
      <c r="I496" s="337">
        <f t="shared" si="194"/>
        <v>141303.53895625105</v>
      </c>
      <c r="J496" s="340">
        <f t="shared" si="195"/>
        <v>1.570789249831309</v>
      </c>
      <c r="K496" s="348">
        <f t="shared" si="211"/>
        <v>26.508315503546893</v>
      </c>
      <c r="L496" s="349">
        <f t="shared" si="212"/>
        <v>1.5330633620052632</v>
      </c>
      <c r="M496" s="337">
        <f t="shared" si="196"/>
        <v>1.1650316738489543</v>
      </c>
      <c r="N496" s="340">
        <f t="shared" si="197"/>
        <v>0.53875958736746776</v>
      </c>
      <c r="O496" s="341">
        <f t="shared" si="198"/>
        <v>1.1242691565527205</v>
      </c>
      <c r="P496" s="342">
        <f t="shared" si="199"/>
        <v>0.92712294120235172</v>
      </c>
      <c r="Q496" s="343">
        <f t="shared" si="200"/>
        <v>-11.626668139479024</v>
      </c>
      <c r="R496" s="344">
        <f t="shared" si="201"/>
        <v>-164.90842505624005</v>
      </c>
      <c r="S496" s="346">
        <f t="shared" si="202"/>
        <v>15.091574943759952</v>
      </c>
      <c r="U496" s="319">
        <f t="shared" si="208"/>
        <v>62737</v>
      </c>
      <c r="V496" s="319">
        <f t="shared" si="209"/>
        <v>3935931169</v>
      </c>
      <c r="X496" s="345">
        <f t="shared" si="203"/>
        <v>21.845051586516831</v>
      </c>
      <c r="Y496" s="346">
        <f t="shared" si="204"/>
        <v>-33.030184716924531</v>
      </c>
      <c r="AA496" s="345">
        <f t="shared" si="205"/>
        <v>30.137401563166772</v>
      </c>
      <c r="AB496" s="346">
        <f t="shared" si="206"/>
        <v>-131.87824033931554</v>
      </c>
      <c r="AD496">
        <f t="shared" si="210"/>
        <v>0</v>
      </c>
      <c r="AE496">
        <f t="shared" si="213"/>
        <v>0</v>
      </c>
    </row>
    <row r="497" spans="1:31" x14ac:dyDescent="0.25">
      <c r="A497" s="347">
        <v>63096</v>
      </c>
      <c r="B497" s="364">
        <f t="shared" si="207"/>
        <v>63.095999999999997</v>
      </c>
      <c r="C497" s="337">
        <f t="shared" si="188"/>
        <v>27.375142673196695</v>
      </c>
      <c r="D497" s="338">
        <f t="shared" si="189"/>
        <v>1.5342587077512029</v>
      </c>
      <c r="E497" s="338">
        <f t="shared" si="190"/>
        <v>1.0129969247995894</v>
      </c>
      <c r="F497" s="339">
        <f t="shared" si="191"/>
        <v>0.16036023090121379</v>
      </c>
      <c r="G497" s="338">
        <f t="shared" si="192"/>
        <v>1</v>
      </c>
      <c r="H497" s="339">
        <f t="shared" si="193"/>
        <v>0</v>
      </c>
      <c r="I497" s="337">
        <f t="shared" si="194"/>
        <v>142112.12034335535</v>
      </c>
      <c r="J497" s="340">
        <f t="shared" si="195"/>
        <v>1.5707892900974103</v>
      </c>
      <c r="K497" s="348">
        <f t="shared" si="211"/>
        <v>26.659788809872936</v>
      </c>
      <c r="L497" s="349">
        <f t="shared" si="212"/>
        <v>1.5332778508732419</v>
      </c>
      <c r="M497" s="337">
        <f t="shared" si="196"/>
        <v>1.1667903167757825</v>
      </c>
      <c r="N497" s="340">
        <f t="shared" si="197"/>
        <v>0.54127585244308629</v>
      </c>
      <c r="O497" s="341">
        <f t="shared" si="198"/>
        <v>1.1261613067477318</v>
      </c>
      <c r="P497" s="342">
        <f t="shared" si="199"/>
        <v>0.93251710864485349</v>
      </c>
      <c r="Q497" s="343">
        <f t="shared" si="200"/>
        <v>-11.702684530320724</v>
      </c>
      <c r="R497" s="344">
        <f t="shared" si="201"/>
        <v>-165.30994808928446</v>
      </c>
      <c r="S497" s="346">
        <f t="shared" si="202"/>
        <v>14.690051910715539</v>
      </c>
      <c r="U497" s="319">
        <f t="shared" si="208"/>
        <v>63096</v>
      </c>
      <c r="V497" s="319">
        <f t="shared" si="209"/>
        <v>3981105216</v>
      </c>
      <c r="X497" s="345">
        <f t="shared" si="203"/>
        <v>21.831879785563576</v>
      </c>
      <c r="Y497" s="346">
        <f t="shared" si="204"/>
        <v>-33.162069086234283</v>
      </c>
      <c r="AA497" s="345">
        <f t="shared" si="205"/>
        <v>30.07455697327833</v>
      </c>
      <c r="AB497" s="346">
        <f t="shared" si="206"/>
        <v>-132.14787900305012</v>
      </c>
      <c r="AD497">
        <f t="shared" si="210"/>
        <v>0</v>
      </c>
      <c r="AE497">
        <f t="shared" si="213"/>
        <v>0</v>
      </c>
    </row>
    <row r="498" spans="1:31" x14ac:dyDescent="0.25">
      <c r="A498" s="347">
        <v>63463.25</v>
      </c>
      <c r="B498" s="364">
        <f t="shared" si="207"/>
        <v>63.463250000000002</v>
      </c>
      <c r="C498" s="337">
        <f t="shared" si="188"/>
        <v>27.534267569488186</v>
      </c>
      <c r="D498" s="338">
        <f t="shared" si="189"/>
        <v>1.5344699576433363</v>
      </c>
      <c r="E498" s="338">
        <f t="shared" si="190"/>
        <v>1.0131476775769104</v>
      </c>
      <c r="F498" s="339">
        <f t="shared" si="191"/>
        <v>0.16127755122596343</v>
      </c>
      <c r="G498" s="338">
        <f t="shared" si="192"/>
        <v>1</v>
      </c>
      <c r="H498" s="339">
        <f t="shared" si="193"/>
        <v>0</v>
      </c>
      <c r="I498" s="337">
        <f t="shared" si="194"/>
        <v>142939.28333615235</v>
      </c>
      <c r="J498" s="340">
        <f t="shared" si="195"/>
        <v>1.5707893308174672</v>
      </c>
      <c r="K498" s="348">
        <f t="shared" si="211"/>
        <v>26.814744303321554</v>
      </c>
      <c r="L498" s="349">
        <f t="shared" si="212"/>
        <v>1.5334947613775172</v>
      </c>
      <c r="M498" s="337">
        <f t="shared" si="196"/>
        <v>1.1685969951434916</v>
      </c>
      <c r="N498" s="340">
        <f t="shared" si="197"/>
        <v>0.54384208926157562</v>
      </c>
      <c r="O498" s="341">
        <f t="shared" si="198"/>
        <v>1.1281176944198987</v>
      </c>
      <c r="P498" s="342">
        <f t="shared" si="199"/>
        <v>0.93803210554355565</v>
      </c>
      <c r="Q498" s="343">
        <f t="shared" si="200"/>
        <v>-11.78032043544793</v>
      </c>
      <c r="R498" s="344">
        <f t="shared" si="201"/>
        <v>-165.72008809583943</v>
      </c>
      <c r="S498" s="346">
        <f t="shared" si="202"/>
        <v>14.279911904160571</v>
      </c>
      <c r="U498" s="319">
        <f t="shared" si="208"/>
        <v>63463.25</v>
      </c>
      <c r="V498" s="319">
        <f t="shared" si="209"/>
        <v>4027584100.5625</v>
      </c>
      <c r="X498" s="345">
        <f t="shared" si="203"/>
        <v>21.818370289612815</v>
      </c>
      <c r="Y498" s="346">
        <f t="shared" si="204"/>
        <v>-33.296677901978988</v>
      </c>
      <c r="AA498" s="345">
        <f t="shared" si="205"/>
        <v>30.010430564101881</v>
      </c>
      <c r="AB498" s="346">
        <f t="shared" si="206"/>
        <v>-132.42341019386043</v>
      </c>
      <c r="AD498">
        <f t="shared" si="210"/>
        <v>0</v>
      </c>
      <c r="AE498">
        <f t="shared" si="213"/>
        <v>0</v>
      </c>
    </row>
    <row r="499" spans="1:31" x14ac:dyDescent="0.25">
      <c r="A499" s="347">
        <v>63830.5</v>
      </c>
      <c r="B499" s="364">
        <f t="shared" si="207"/>
        <v>63.830500000000001</v>
      </c>
      <c r="C499" s="337">
        <f t="shared" si="188"/>
        <v>27.693393680417326</v>
      </c>
      <c r="D499" s="338">
        <f t="shared" si="189"/>
        <v>1.5346787798629096</v>
      </c>
      <c r="E499" s="338">
        <f t="shared" si="190"/>
        <v>1.0132992826401819</v>
      </c>
      <c r="F499" s="339">
        <f t="shared" si="191"/>
        <v>0.1621945978319066</v>
      </c>
      <c r="G499" s="338">
        <f t="shared" si="192"/>
        <v>1</v>
      </c>
      <c r="H499" s="339">
        <f t="shared" si="193"/>
        <v>0</v>
      </c>
      <c r="I499" s="337">
        <f t="shared" si="194"/>
        <v>143766.44632894962</v>
      </c>
      <c r="J499" s="340">
        <f t="shared" si="195"/>
        <v>1.5707893710689569</v>
      </c>
      <c r="K499" s="348">
        <f t="shared" si="211"/>
        <v>26.969701043910749</v>
      </c>
      <c r="L499" s="349">
        <f t="shared" si="212"/>
        <v>1.5337091793358095</v>
      </c>
      <c r="M499" s="337">
        <f t="shared" si="196"/>
        <v>1.1704113456015175</v>
      </c>
      <c r="N499" s="340">
        <f t="shared" si="197"/>
        <v>0.54640038661687318</v>
      </c>
      <c r="O499" s="341">
        <f t="shared" si="198"/>
        <v>1.130095190202459</v>
      </c>
      <c r="P499" s="342">
        <f t="shared" si="199"/>
        <v>0.94354381216232963</v>
      </c>
      <c r="Q499" s="343">
        <f t="shared" si="200"/>
        <v>-11.857830584641615</v>
      </c>
      <c r="R499" s="344">
        <f t="shared" si="201"/>
        <v>-166.12960405856671</v>
      </c>
      <c r="S499" s="346">
        <f t="shared" si="202"/>
        <v>13.870395941433287</v>
      </c>
      <c r="U499" s="319">
        <f t="shared" si="208"/>
        <v>63830.5</v>
      </c>
      <c r="V499" s="319">
        <f t="shared" si="209"/>
        <v>4074332730.25</v>
      </c>
      <c r="X499" s="345">
        <f t="shared" si="203"/>
        <v>21.804825830600333</v>
      </c>
      <c r="Y499" s="346">
        <f t="shared" si="204"/>
        <v>-33.430974605509</v>
      </c>
      <c r="AA499" s="345">
        <f t="shared" si="205"/>
        <v>29.946464873920679</v>
      </c>
      <c r="AB499" s="346">
        <f t="shared" si="206"/>
        <v>-132.69862945305778</v>
      </c>
      <c r="AD499">
        <f t="shared" si="210"/>
        <v>0</v>
      </c>
      <c r="AE499">
        <f t="shared" si="213"/>
        <v>0</v>
      </c>
    </row>
    <row r="500" spans="1:31" x14ac:dyDescent="0.25">
      <c r="A500" s="347">
        <v>64197.75</v>
      </c>
      <c r="B500" s="364">
        <f t="shared" si="207"/>
        <v>64.197749999999999</v>
      </c>
      <c r="C500" s="337">
        <f t="shared" si="188"/>
        <v>27.852520985165839</v>
      </c>
      <c r="D500" s="338">
        <f t="shared" si="189"/>
        <v>1.5348852160009634</v>
      </c>
      <c r="E500" s="338">
        <f t="shared" si="190"/>
        <v>1.0134517396069165</v>
      </c>
      <c r="F500" s="339">
        <f t="shared" si="191"/>
        <v>0.16311136929980433</v>
      </c>
      <c r="G500" s="338">
        <f t="shared" si="192"/>
        <v>1</v>
      </c>
      <c r="H500" s="339">
        <f t="shared" si="193"/>
        <v>0</v>
      </c>
      <c r="I500" s="337">
        <f t="shared" si="194"/>
        <v>144593.60932174709</v>
      </c>
      <c r="J500" s="340">
        <f t="shared" si="195"/>
        <v>1.5707894108599207</v>
      </c>
      <c r="K500" s="348">
        <f t="shared" si="211"/>
        <v>27.124659010266662</v>
      </c>
      <c r="L500" s="349">
        <f t="shared" si="212"/>
        <v>1.5339211474465413</v>
      </c>
      <c r="M500" s="337">
        <f t="shared" si="196"/>
        <v>1.1722333325259107</v>
      </c>
      <c r="N500" s="340">
        <f t="shared" si="197"/>
        <v>0.54895074796467869</v>
      </c>
      <c r="O500" s="341">
        <f t="shared" si="198"/>
        <v>1.1320939117224067</v>
      </c>
      <c r="P500" s="342">
        <f t="shared" si="199"/>
        <v>0.9490521035798748</v>
      </c>
      <c r="Q500" s="343">
        <f t="shared" si="200"/>
        <v>-11.935218001676407</v>
      </c>
      <c r="R500" s="344">
        <f t="shared" si="201"/>
        <v>-166.53848903632891</v>
      </c>
      <c r="S500" s="346">
        <f t="shared" si="202"/>
        <v>13.461510963671088</v>
      </c>
      <c r="U500" s="319">
        <f t="shared" si="208"/>
        <v>64197.75</v>
      </c>
      <c r="V500" s="319">
        <f t="shared" si="209"/>
        <v>4121351105.0625</v>
      </c>
      <c r="X500" s="345">
        <f t="shared" si="203"/>
        <v>21.791246845185913</v>
      </c>
      <c r="Y500" s="346">
        <f t="shared" si="204"/>
        <v>-33.564956948842635</v>
      </c>
      <c r="AA500" s="345">
        <f t="shared" si="205"/>
        <v>29.882656442300309</v>
      </c>
      <c r="AB500" s="346">
        <f t="shared" si="206"/>
        <v>-132.97353208748629</v>
      </c>
      <c r="AD500">
        <f t="shared" si="210"/>
        <v>0</v>
      </c>
      <c r="AE500">
        <f t="shared" si="213"/>
        <v>0</v>
      </c>
    </row>
    <row r="501" spans="1:31" x14ac:dyDescent="0.25">
      <c r="A501" s="347">
        <v>64565</v>
      </c>
      <c r="B501" s="364">
        <f t="shared" si="207"/>
        <v>64.564999999999998</v>
      </c>
      <c r="C501" s="337">
        <f t="shared" si="188"/>
        <v>28.011649463388334</v>
      </c>
      <c r="D501" s="338">
        <f t="shared" si="189"/>
        <v>1.5350893067042812</v>
      </c>
      <c r="E501" s="338">
        <f t="shared" si="190"/>
        <v>1.0136050480927083</v>
      </c>
      <c r="F501" s="339">
        <f t="shared" si="191"/>
        <v>0.16402786421311921</v>
      </c>
      <c r="G501" s="338">
        <f t="shared" si="192"/>
        <v>1</v>
      </c>
      <c r="H501" s="339">
        <f t="shared" si="193"/>
        <v>0</v>
      </c>
      <c r="I501" s="337">
        <f t="shared" si="194"/>
        <v>145420.7723145448</v>
      </c>
      <c r="J501" s="340">
        <f t="shared" si="195"/>
        <v>1.5707894501982174</v>
      </c>
      <c r="K501" s="348">
        <f t="shared" si="211"/>
        <v>27.279618181500922</v>
      </c>
      <c r="L501" s="349">
        <f t="shared" si="212"/>
        <v>1.5341307074388502</v>
      </c>
      <c r="M501" s="337">
        <f t="shared" si="196"/>
        <v>1.1740629203643818</v>
      </c>
      <c r="N501" s="340">
        <f t="shared" si="197"/>
        <v>0.55149317715223145</v>
      </c>
      <c r="O501" s="341">
        <f t="shared" si="198"/>
        <v>1.1341139759047794</v>
      </c>
      <c r="P501" s="342">
        <f t="shared" si="199"/>
        <v>0.95455685440831151</v>
      </c>
      <c r="Q501" s="343">
        <f t="shared" si="200"/>
        <v>-12.012485640233599</v>
      </c>
      <c r="R501" s="344">
        <f t="shared" si="201"/>
        <v>-166.94673608495768</v>
      </c>
      <c r="S501" s="346">
        <f t="shared" si="202"/>
        <v>13.053263915042322</v>
      </c>
      <c r="U501" s="319">
        <f t="shared" si="208"/>
        <v>64565</v>
      </c>
      <c r="V501" s="319">
        <f t="shared" si="209"/>
        <v>4168639225</v>
      </c>
      <c r="X501" s="345">
        <f t="shared" si="203"/>
        <v>21.777633768410777</v>
      </c>
      <c r="Y501" s="346">
        <f t="shared" si="204"/>
        <v>-33.698622761957289</v>
      </c>
      <c r="AA501" s="345">
        <f t="shared" si="205"/>
        <v>29.81900188051825</v>
      </c>
      <c r="AB501" s="346">
        <f t="shared" si="206"/>
        <v>-133.24811332300041</v>
      </c>
      <c r="AD501">
        <f t="shared" si="210"/>
        <v>0</v>
      </c>
      <c r="AE501">
        <f t="shared" si="213"/>
        <v>0</v>
      </c>
    </row>
    <row r="502" spans="1:31" x14ac:dyDescent="0.25">
      <c r="A502" s="347">
        <v>64941</v>
      </c>
      <c r="B502" s="364">
        <f t="shared" si="207"/>
        <v>64.941000000000003</v>
      </c>
      <c r="C502" s="337">
        <f t="shared" si="188"/>
        <v>28.174570489035531</v>
      </c>
      <c r="D502" s="338">
        <f t="shared" si="189"/>
        <v>1.5352958715765772</v>
      </c>
      <c r="E502" s="338">
        <f t="shared" si="190"/>
        <v>1.0137628910547805</v>
      </c>
      <c r="F502" s="339">
        <f t="shared" si="191"/>
        <v>0.16496590729530489</v>
      </c>
      <c r="G502" s="338">
        <f t="shared" si="192"/>
        <v>1</v>
      </c>
      <c r="H502" s="339">
        <f t="shared" si="193"/>
        <v>0</v>
      </c>
      <c r="I502" s="337">
        <f t="shared" si="194"/>
        <v>146267.64307095602</v>
      </c>
      <c r="J502" s="340">
        <f t="shared" si="195"/>
        <v>1.5707894900128236</v>
      </c>
      <c r="K502" s="348">
        <f t="shared" si="211"/>
        <v>27.438270595351266</v>
      </c>
      <c r="L502" s="349">
        <f t="shared" si="212"/>
        <v>1.5343428080729442</v>
      </c>
      <c r="M502" s="337">
        <f t="shared" si="196"/>
        <v>1.1759439371410836</v>
      </c>
      <c r="N502" s="340">
        <f t="shared" si="197"/>
        <v>0.5540879681029991</v>
      </c>
      <c r="O502" s="341">
        <f t="shared" si="198"/>
        <v>1.1362044024165918</v>
      </c>
      <c r="P502" s="342">
        <f t="shared" si="199"/>
        <v>0.96018896043132995</v>
      </c>
      <c r="Q502" s="343">
        <f t="shared" si="200"/>
        <v>-12.091473155698058</v>
      </c>
      <c r="R502" s="344">
        <f t="shared" si="201"/>
        <v>-167.36404175633223</v>
      </c>
      <c r="S502" s="346">
        <f t="shared" si="202"/>
        <v>12.635958243667773</v>
      </c>
      <c r="U502" s="319">
        <f t="shared" si="208"/>
        <v>64941</v>
      </c>
      <c r="V502" s="319">
        <f t="shared" si="209"/>
        <v>4217333481</v>
      </c>
      <c r="X502" s="345">
        <f t="shared" si="203"/>
        <v>21.76366148324842</v>
      </c>
      <c r="Y502" s="346">
        <f t="shared" si="204"/>
        <v>-33.835143142354283</v>
      </c>
      <c r="AA502" s="345">
        <f t="shared" si="205"/>
        <v>29.753986650216145</v>
      </c>
      <c r="AB502" s="346">
        <f t="shared" si="206"/>
        <v>-133.52889861397799</v>
      </c>
      <c r="AD502">
        <f t="shared" si="210"/>
        <v>0</v>
      </c>
      <c r="AE502">
        <f t="shared" si="213"/>
        <v>0</v>
      </c>
    </row>
    <row r="503" spans="1:31" x14ac:dyDescent="0.25">
      <c r="A503" s="347">
        <v>65317</v>
      </c>
      <c r="B503" s="364">
        <f t="shared" si="207"/>
        <v>65.316999999999993</v>
      </c>
      <c r="C503" s="337">
        <f t="shared" si="188"/>
        <v>28.337492703041331</v>
      </c>
      <c r="D503" s="338">
        <f t="shared" si="189"/>
        <v>1.5355000612292715</v>
      </c>
      <c r="E503" s="338">
        <f t="shared" si="190"/>
        <v>1.013921625773792</v>
      </c>
      <c r="F503" s="339">
        <f t="shared" si="191"/>
        <v>0.16590365749135103</v>
      </c>
      <c r="G503" s="338">
        <f t="shared" si="192"/>
        <v>1</v>
      </c>
      <c r="H503" s="339">
        <f t="shared" si="193"/>
        <v>0</v>
      </c>
      <c r="I503" s="337">
        <f t="shared" si="194"/>
        <v>147114.51382736748</v>
      </c>
      <c r="J503" s="340">
        <f t="shared" si="195"/>
        <v>1.570789529369041</v>
      </c>
      <c r="K503" s="348">
        <f t="shared" si="211"/>
        <v>27.596924229365833</v>
      </c>
      <c r="L503" s="349">
        <f t="shared" si="212"/>
        <v>1.534552469999942</v>
      </c>
      <c r="M503" s="337">
        <f t="shared" si="196"/>
        <v>1.1778328461578851</v>
      </c>
      <c r="N503" s="340">
        <f t="shared" si="197"/>
        <v>0.5566744538080648</v>
      </c>
      <c r="O503" s="341">
        <f t="shared" si="198"/>
        <v>1.1383174464397021</v>
      </c>
      <c r="P503" s="342">
        <f t="shared" si="199"/>
        <v>0.96581708778228059</v>
      </c>
      <c r="Q503" s="343">
        <f t="shared" si="200"/>
        <v>-12.170341163267214</v>
      </c>
      <c r="R503" s="344">
        <f t="shared" si="201"/>
        <v>-167.78066400350335</v>
      </c>
      <c r="S503" s="346">
        <f t="shared" si="202"/>
        <v>12.219335996496653</v>
      </c>
      <c r="U503" s="319">
        <f t="shared" si="208"/>
        <v>65317</v>
      </c>
      <c r="V503" s="319">
        <f t="shared" si="209"/>
        <v>4266310489</v>
      </c>
      <c r="X503" s="345">
        <f t="shared" si="203"/>
        <v>21.749654380377322</v>
      </c>
      <c r="Y503" s="346">
        <f t="shared" si="204"/>
        <v>-33.971327368584667</v>
      </c>
      <c r="AA503" s="345">
        <f t="shared" si="205"/>
        <v>29.689125745518087</v>
      </c>
      <c r="AB503" s="346">
        <f t="shared" si="206"/>
        <v>-133.80933663491865</v>
      </c>
      <c r="AD503">
        <f t="shared" si="210"/>
        <v>0</v>
      </c>
      <c r="AE503">
        <f t="shared" si="213"/>
        <v>0</v>
      </c>
    </row>
    <row r="504" spans="1:31" x14ac:dyDescent="0.25">
      <c r="A504" s="347">
        <v>65693</v>
      </c>
      <c r="B504" s="364">
        <f t="shared" si="207"/>
        <v>65.692999999999998</v>
      </c>
      <c r="C504" s="337">
        <f t="shared" si="188"/>
        <v>28.500416085026014</v>
      </c>
      <c r="D504" s="338">
        <f t="shared" si="189"/>
        <v>1.5357019163792067</v>
      </c>
      <c r="E504" s="338">
        <f t="shared" si="190"/>
        <v>1.0140812518309812</v>
      </c>
      <c r="F504" s="339">
        <f t="shared" si="191"/>
        <v>0.16684111328991449</v>
      </c>
      <c r="G504" s="338">
        <f t="shared" si="192"/>
        <v>1</v>
      </c>
      <c r="H504" s="339">
        <f t="shared" si="193"/>
        <v>0</v>
      </c>
      <c r="I504" s="337">
        <f t="shared" si="194"/>
        <v>147961.38458377917</v>
      </c>
      <c r="J504" s="340">
        <f t="shared" si="195"/>
        <v>1.5707895682747406</v>
      </c>
      <c r="K504" s="348">
        <f t="shared" si="211"/>
        <v>27.755579062620864</v>
      </c>
      <c r="L504" s="349">
        <f t="shared" si="212"/>
        <v>1.5347597350212399</v>
      </c>
      <c r="M504" s="337">
        <f t="shared" si="196"/>
        <v>1.1797296095051082</v>
      </c>
      <c r="N504" s="340">
        <f t="shared" si="197"/>
        <v>0.55925263963737537</v>
      </c>
      <c r="O504" s="341">
        <f t="shared" si="198"/>
        <v>1.1404532310680096</v>
      </c>
      <c r="P504" s="342">
        <f t="shared" si="199"/>
        <v>0.97144110058817812</v>
      </c>
      <c r="Q504" s="343">
        <f t="shared" si="200"/>
        <v>-12.24909261249798</v>
      </c>
      <c r="R504" s="344">
        <f t="shared" si="201"/>
        <v>-168.19659537410178</v>
      </c>
      <c r="S504" s="346">
        <f t="shared" si="202"/>
        <v>11.803404625898224</v>
      </c>
      <c r="U504" s="319">
        <f t="shared" si="208"/>
        <v>65693</v>
      </c>
      <c r="V504" s="319">
        <f t="shared" si="209"/>
        <v>4315570249</v>
      </c>
      <c r="X504" s="345">
        <f t="shared" si="203"/>
        <v>21.735612921113528</v>
      </c>
      <c r="Y504" s="346">
        <f t="shared" si="204"/>
        <v>-34.10717335373117</v>
      </c>
      <c r="AA504" s="345">
        <f t="shared" si="205"/>
        <v>29.624415755551119</v>
      </c>
      <c r="AB504" s="346">
        <f t="shared" si="206"/>
        <v>-134.08942202037065</v>
      </c>
      <c r="AD504">
        <f t="shared" si="210"/>
        <v>0</v>
      </c>
      <c r="AE504">
        <f t="shared" si="213"/>
        <v>0</v>
      </c>
    </row>
    <row r="505" spans="1:31" x14ac:dyDescent="0.25">
      <c r="A505" s="347">
        <v>66069</v>
      </c>
      <c r="B505" s="364">
        <f t="shared" si="207"/>
        <v>66.069000000000003</v>
      </c>
      <c r="C505" s="337">
        <f t="shared" si="188"/>
        <v>28.663340615073096</v>
      </c>
      <c r="D505" s="338">
        <f t="shared" si="189"/>
        <v>1.5359014768182464</v>
      </c>
      <c r="E505" s="338">
        <f t="shared" si="190"/>
        <v>1.0142417688054992</v>
      </c>
      <c r="F505" s="339">
        <f t="shared" si="191"/>
        <v>0.16777827318267072</v>
      </c>
      <c r="G505" s="338">
        <f t="shared" si="192"/>
        <v>1</v>
      </c>
      <c r="H505" s="339">
        <f t="shared" si="193"/>
        <v>0</v>
      </c>
      <c r="I505" s="337">
        <f t="shared" si="194"/>
        <v>148808.25534019107</v>
      </c>
      <c r="J505" s="340">
        <f t="shared" si="195"/>
        <v>1.5707896067376141</v>
      </c>
      <c r="K505" s="348">
        <f t="shared" si="211"/>
        <v>27.914235074668174</v>
      </c>
      <c r="L505" s="349">
        <f t="shared" si="212"/>
        <v>1.534964643988723</v>
      </c>
      <c r="M505" s="337">
        <f t="shared" si="196"/>
        <v>1.1816341893593569</v>
      </c>
      <c r="N505" s="340">
        <f t="shared" si="197"/>
        <v>0.56182253136782434</v>
      </c>
      <c r="O505" s="341">
        <f t="shared" si="198"/>
        <v>1.142611878555891</v>
      </c>
      <c r="P505" s="342">
        <f t="shared" si="199"/>
        <v>0.97706086260762404</v>
      </c>
      <c r="Q505" s="343">
        <f t="shared" si="200"/>
        <v>-12.327730381254939</v>
      </c>
      <c r="R505" s="344">
        <f t="shared" si="201"/>
        <v>-168.61182841918884</v>
      </c>
      <c r="S505" s="346">
        <f t="shared" si="202"/>
        <v>11.388171580811161</v>
      </c>
      <c r="U505" s="319">
        <f t="shared" si="208"/>
        <v>66069</v>
      </c>
      <c r="V505" s="319">
        <f t="shared" si="209"/>
        <v>4365112761</v>
      </c>
      <c r="X505" s="345">
        <f t="shared" si="203"/>
        <v>21.721537564802237</v>
      </c>
      <c r="Y505" s="346">
        <f t="shared" si="204"/>
        <v>-34.242679088585461</v>
      </c>
      <c r="AA505" s="345">
        <f t="shared" si="205"/>
        <v>29.559853343105452</v>
      </c>
      <c r="AB505" s="346">
        <f t="shared" si="206"/>
        <v>-134.36914933060334</v>
      </c>
      <c r="AD505">
        <f t="shared" si="210"/>
        <v>0</v>
      </c>
      <c r="AE505">
        <f t="shared" si="213"/>
        <v>0</v>
      </c>
    </row>
    <row r="506" spans="1:31" x14ac:dyDescent="0.25">
      <c r="A506" s="347">
        <v>66453.75</v>
      </c>
      <c r="B506" s="364">
        <f t="shared" si="207"/>
        <v>66.453749999999999</v>
      </c>
      <c r="C506" s="337">
        <f t="shared" si="188"/>
        <v>28.83005777506693</v>
      </c>
      <c r="D506" s="338">
        <f t="shared" si="189"/>
        <v>1.5361033464180691</v>
      </c>
      <c r="E506" s="338">
        <f t="shared" si="190"/>
        <v>1.014406943031456</v>
      </c>
      <c r="F506" s="339">
        <f t="shared" si="191"/>
        <v>0.16873693409710025</v>
      </c>
      <c r="G506" s="338">
        <f t="shared" si="192"/>
        <v>1</v>
      </c>
      <c r="H506" s="339">
        <f t="shared" si="193"/>
        <v>0</v>
      </c>
      <c r="I506" s="337">
        <f t="shared" si="194"/>
        <v>149674.83386021649</v>
      </c>
      <c r="J506" s="340">
        <f t="shared" si="195"/>
        <v>1.570789645645005</v>
      </c>
      <c r="K506" s="348">
        <f t="shared" si="211"/>
        <v>28.076584414067973</v>
      </c>
      <c r="L506" s="349">
        <f t="shared" si="212"/>
        <v>1.5351719241640609</v>
      </c>
      <c r="M506" s="337">
        <f t="shared" si="196"/>
        <v>1.1835911433266764</v>
      </c>
      <c r="N506" s="340">
        <f t="shared" si="197"/>
        <v>0.56444364834078753</v>
      </c>
      <c r="O506" s="341">
        <f t="shared" si="198"/>
        <v>1.144844554287118</v>
      </c>
      <c r="P506" s="342">
        <f t="shared" si="199"/>
        <v>0.98280686086835267</v>
      </c>
      <c r="Q506" s="343">
        <f t="shared" si="200"/>
        <v>-12.408083400107181</v>
      </c>
      <c r="R506" s="344">
        <f t="shared" si="201"/>
        <v>-169.03599381097021</v>
      </c>
      <c r="S506" s="346">
        <f t="shared" si="202"/>
        <v>10.964006189029789</v>
      </c>
      <c r="U506" s="319">
        <f t="shared" si="208"/>
        <v>66453.75</v>
      </c>
      <c r="V506" s="319">
        <f t="shared" si="209"/>
        <v>4416100889.0625</v>
      </c>
      <c r="X506" s="345">
        <f t="shared" si="203"/>
        <v>21.707100044591805</v>
      </c>
      <c r="Y506" s="346">
        <f t="shared" si="204"/>
        <v>-34.380983978910088</v>
      </c>
      <c r="AA506" s="345">
        <f t="shared" si="205"/>
        <v>29.493937844463641</v>
      </c>
      <c r="AB506" s="346">
        <f t="shared" si="206"/>
        <v>-134.65500983206013</v>
      </c>
      <c r="AD506">
        <f t="shared" si="210"/>
        <v>0</v>
      </c>
      <c r="AE506">
        <f t="shared" si="213"/>
        <v>0</v>
      </c>
    </row>
    <row r="507" spans="1:31" x14ac:dyDescent="0.25">
      <c r="A507" s="347">
        <v>66838.5</v>
      </c>
      <c r="B507" s="364">
        <f t="shared" si="207"/>
        <v>66.838499999999996</v>
      </c>
      <c r="C507" s="337">
        <f t="shared" si="188"/>
        <v>28.996776096414315</v>
      </c>
      <c r="D507" s="338">
        <f t="shared" si="189"/>
        <v>1.5363028947085207</v>
      </c>
      <c r="E507" s="338">
        <f t="shared" si="190"/>
        <v>1.0145730492245351</v>
      </c>
      <c r="F507" s="339">
        <f t="shared" si="191"/>
        <v>0.16969528198755687</v>
      </c>
      <c r="G507" s="338">
        <f t="shared" si="192"/>
        <v>1</v>
      </c>
      <c r="H507" s="339">
        <f t="shared" si="193"/>
        <v>0</v>
      </c>
      <c r="I507" s="337">
        <f t="shared" si="194"/>
        <v>150541.41238024217</v>
      </c>
      <c r="J507" s="340">
        <f t="shared" si="195"/>
        <v>1.5707896841044622</v>
      </c>
      <c r="K507" s="348">
        <f t="shared" si="211"/>
        <v>28.238934945909687</v>
      </c>
      <c r="L507" s="349">
        <f t="shared" si="212"/>
        <v>1.5353768209688032</v>
      </c>
      <c r="M507" s="337">
        <f t="shared" si="196"/>
        <v>1.1855562019885035</v>
      </c>
      <c r="N507" s="340">
        <f t="shared" si="197"/>
        <v>0.56705609421298064</v>
      </c>
      <c r="O507" s="341">
        <f t="shared" si="198"/>
        <v>1.1471014255926248</v>
      </c>
      <c r="P507" s="342">
        <f t="shared" si="199"/>
        <v>0.98854811854355173</v>
      </c>
      <c r="Q507" s="343">
        <f t="shared" si="200"/>
        <v>-12.488323258325968</v>
      </c>
      <c r="R507" s="344">
        <f t="shared" si="201"/>
        <v>-169.45941223486369</v>
      </c>
      <c r="S507" s="346">
        <f t="shared" si="202"/>
        <v>10.540587765136308</v>
      </c>
      <c r="U507" s="319">
        <f t="shared" si="208"/>
        <v>66838.5</v>
      </c>
      <c r="V507" s="319">
        <f t="shared" si="209"/>
        <v>4467385082.25</v>
      </c>
      <c r="X507" s="345">
        <f t="shared" si="203"/>
        <v>21.692627997953689</v>
      </c>
      <c r="Y507" s="346">
        <f t="shared" si="204"/>
        <v>-34.518928583167884</v>
      </c>
      <c r="AA507" s="345">
        <f t="shared" si="205"/>
        <v>29.428170032882971</v>
      </c>
      <c r="AB507" s="346">
        <f t="shared" si="206"/>
        <v>-134.94048365169581</v>
      </c>
      <c r="AD507">
        <f t="shared" si="210"/>
        <v>0</v>
      </c>
      <c r="AE507">
        <f t="shared" si="213"/>
        <v>0</v>
      </c>
    </row>
    <row r="508" spans="1:31" x14ac:dyDescent="0.25">
      <c r="A508" s="347">
        <v>67223.25</v>
      </c>
      <c r="B508" s="364">
        <f t="shared" si="207"/>
        <v>67.223249999999993</v>
      </c>
      <c r="C508" s="337">
        <f t="shared" si="188"/>
        <v>29.163495559198001</v>
      </c>
      <c r="D508" s="338">
        <f t="shared" si="189"/>
        <v>1.5365001614843807</v>
      </c>
      <c r="E508" s="338">
        <f t="shared" si="190"/>
        <v>1.0147400869270657</v>
      </c>
      <c r="F508" s="339">
        <f t="shared" si="191"/>
        <v>0.17065331524784227</v>
      </c>
      <c r="G508" s="338">
        <f t="shared" si="192"/>
        <v>1</v>
      </c>
      <c r="H508" s="339">
        <f t="shared" si="193"/>
        <v>0</v>
      </c>
      <c r="I508" s="337">
        <f t="shared" si="194"/>
        <v>151407.99090026802</v>
      </c>
      <c r="J508" s="340">
        <f t="shared" si="195"/>
        <v>1.5707897221236764</v>
      </c>
      <c r="K508" s="348">
        <f t="shared" si="211"/>
        <v>28.401286649744225</v>
      </c>
      <c r="L508" s="349">
        <f t="shared" si="212"/>
        <v>1.5355793752581408</v>
      </c>
      <c r="M508" s="337">
        <f t="shared" si="196"/>
        <v>1.1875293251112213</v>
      </c>
      <c r="N508" s="340">
        <f t="shared" si="197"/>
        <v>0.56965987645909011</v>
      </c>
      <c r="O508" s="341">
        <f t="shared" si="198"/>
        <v>1.1493826206250042</v>
      </c>
      <c r="P508" s="342">
        <f t="shared" si="199"/>
        <v>0.99428448870184183</v>
      </c>
      <c r="Q508" s="343">
        <f t="shared" si="200"/>
        <v>-12.568452814444681</v>
      </c>
      <c r="R508" s="344">
        <f t="shared" si="201"/>
        <v>-169.88207573230125</v>
      </c>
      <c r="S508" s="346">
        <f t="shared" si="202"/>
        <v>10.117924267698754</v>
      </c>
      <c r="U508" s="319">
        <f t="shared" si="208"/>
        <v>67223.25</v>
      </c>
      <c r="V508" s="319">
        <f t="shared" si="209"/>
        <v>4518965340.5625</v>
      </c>
      <c r="X508" s="345">
        <f t="shared" si="203"/>
        <v>21.67812191036441</v>
      </c>
      <c r="Y508" s="346">
        <f t="shared" si="204"/>
        <v>-34.656510989237468</v>
      </c>
      <c r="AA508" s="345">
        <f t="shared" si="205"/>
        <v>29.362546564353536</v>
      </c>
      <c r="AB508" s="346">
        <f t="shared" si="206"/>
        <v>-135.22556474306381</v>
      </c>
      <c r="AD508">
        <f t="shared" si="210"/>
        <v>0</v>
      </c>
      <c r="AE508">
        <f t="shared" si="213"/>
        <v>0</v>
      </c>
    </row>
    <row r="509" spans="1:31" x14ac:dyDescent="0.25">
      <c r="A509" s="347">
        <v>67608</v>
      </c>
      <c r="B509" s="364">
        <f t="shared" si="207"/>
        <v>67.608000000000004</v>
      </c>
      <c r="C509" s="337">
        <f t="shared" si="188"/>
        <v>29.330216143953457</v>
      </c>
      <c r="D509" s="338">
        <f t="shared" si="189"/>
        <v>1.5366951856363325</v>
      </c>
      <c r="E509" s="338">
        <f t="shared" si="190"/>
        <v>1.0149080556791132</v>
      </c>
      <c r="F509" s="339">
        <f t="shared" si="191"/>
        <v>0.17161103227512289</v>
      </c>
      <c r="G509" s="338">
        <f t="shared" si="192"/>
        <v>1</v>
      </c>
      <c r="H509" s="339">
        <f t="shared" si="193"/>
        <v>0</v>
      </c>
      <c r="I509" s="337">
        <f t="shared" si="194"/>
        <v>152274.56942029414</v>
      </c>
      <c r="J509" s="340">
        <f t="shared" si="195"/>
        <v>1.5707897597101641</v>
      </c>
      <c r="K509" s="348">
        <f t="shared" si="211"/>
        <v>28.563639505587251</v>
      </c>
      <c r="L509" s="349">
        <f t="shared" si="212"/>
        <v>1.5357796269591755</v>
      </c>
      <c r="M509" s="337">
        <f t="shared" si="196"/>
        <v>1.189510472563597</v>
      </c>
      <c r="N509" s="340">
        <f t="shared" si="197"/>
        <v>0.57225500297419973</v>
      </c>
      <c r="O509" s="341">
        <f t="shared" si="198"/>
        <v>1.1516882665452608</v>
      </c>
      <c r="P509" s="342">
        <f t="shared" si="199"/>
        <v>1.0000158241721835</v>
      </c>
      <c r="Q509" s="343">
        <f t="shared" si="200"/>
        <v>-12.648474853803489</v>
      </c>
      <c r="R509" s="344">
        <f t="shared" si="201"/>
        <v>-170.30397635624229</v>
      </c>
      <c r="S509" s="346">
        <f t="shared" si="202"/>
        <v>9.6960236437577123</v>
      </c>
      <c r="U509" s="319">
        <f t="shared" si="208"/>
        <v>67608</v>
      </c>
      <c r="V509" s="319">
        <f t="shared" si="209"/>
        <v>4570841664</v>
      </c>
      <c r="X509" s="345">
        <f t="shared" si="203"/>
        <v>21.663582264956538</v>
      </c>
      <c r="Y509" s="346">
        <f t="shared" si="204"/>
        <v>-34.793729362250033</v>
      </c>
      <c r="AA509" s="345">
        <f t="shared" si="205"/>
        <v>29.297064170402596</v>
      </c>
      <c r="AB509" s="346">
        <f t="shared" si="206"/>
        <v>-135.51024699399227</v>
      </c>
      <c r="AD509">
        <f t="shared" si="210"/>
        <v>0</v>
      </c>
      <c r="AE509">
        <f t="shared" si="213"/>
        <v>0</v>
      </c>
    </row>
    <row r="510" spans="1:31" x14ac:dyDescent="0.25">
      <c r="A510" s="347">
        <v>68001.75</v>
      </c>
      <c r="B510" s="364">
        <f t="shared" si="207"/>
        <v>68.001750000000001</v>
      </c>
      <c r="C510" s="337">
        <f t="shared" si="188"/>
        <v>29.500837767226201</v>
      </c>
      <c r="D510" s="338">
        <f t="shared" si="189"/>
        <v>1.536892489488626</v>
      </c>
      <c r="E510" s="338">
        <f t="shared" si="190"/>
        <v>1.0150809170151391</v>
      </c>
      <c r="F510" s="339">
        <f t="shared" si="191"/>
        <v>0.17259082295556064</v>
      </c>
      <c r="G510" s="338">
        <f t="shared" si="192"/>
        <v>1</v>
      </c>
      <c r="H510" s="339">
        <f t="shared" si="193"/>
        <v>0</v>
      </c>
      <c r="I510" s="337">
        <f t="shared" si="194"/>
        <v>153161.41878289415</v>
      </c>
      <c r="J510" s="340">
        <f t="shared" si="195"/>
        <v>1.5707897977355032</v>
      </c>
      <c r="K510" s="348">
        <f t="shared" si="211"/>
        <v>28.729791261418985</v>
      </c>
      <c r="L510" s="349">
        <f t="shared" si="212"/>
        <v>1.5359822196145525</v>
      </c>
      <c r="M510" s="337">
        <f t="shared" si="196"/>
        <v>1.1915462289619989</v>
      </c>
      <c r="N510" s="340">
        <f t="shared" si="197"/>
        <v>0.57490188106656448</v>
      </c>
      <c r="O510" s="341">
        <f t="shared" si="198"/>
        <v>1.1540732928321131</v>
      </c>
      <c r="P510" s="342">
        <f t="shared" si="199"/>
        <v>1.0058758594773931</v>
      </c>
      <c r="Q510" s="343">
        <f t="shared" si="200"/>
        <v>-12.730260265897801</v>
      </c>
      <c r="R510" s="344">
        <f t="shared" si="201"/>
        <v>-170.7349478728998</v>
      </c>
      <c r="S510" s="346">
        <f t="shared" si="202"/>
        <v>9.2650521271002049</v>
      </c>
      <c r="U510" s="319">
        <f t="shared" si="208"/>
        <v>68001.75</v>
      </c>
      <c r="V510" s="319">
        <f t="shared" si="209"/>
        <v>4624238003.0625</v>
      </c>
      <c r="X510" s="345">
        <f t="shared" si="203"/>
        <v>21.648668268030523</v>
      </c>
      <c r="Y510" s="346">
        <f t="shared" si="204"/>
        <v>-34.933778780566193</v>
      </c>
      <c r="AA510" s="345">
        <f t="shared" si="205"/>
        <v>29.230192755234302</v>
      </c>
      <c r="AB510" s="346">
        <f t="shared" si="206"/>
        <v>-135.80116909233362</v>
      </c>
      <c r="AD510">
        <f t="shared" si="210"/>
        <v>0</v>
      </c>
      <c r="AE510">
        <f t="shared" si="213"/>
        <v>0</v>
      </c>
    </row>
    <row r="511" spans="1:31" x14ac:dyDescent="0.25">
      <c r="A511" s="347">
        <v>68395.5</v>
      </c>
      <c r="B511" s="364">
        <f t="shared" si="207"/>
        <v>68.395499999999998</v>
      </c>
      <c r="C511" s="337">
        <f t="shared" si="188"/>
        <v>29.671460525723624</v>
      </c>
      <c r="D511" s="338">
        <f t="shared" si="189"/>
        <v>1.537087524196403</v>
      </c>
      <c r="E511" s="338">
        <f t="shared" si="190"/>
        <v>1.0152547524860898</v>
      </c>
      <c r="F511" s="339">
        <f t="shared" si="191"/>
        <v>0.17357027904962169</v>
      </c>
      <c r="G511" s="338">
        <f t="shared" si="192"/>
        <v>1</v>
      </c>
      <c r="H511" s="339">
        <f t="shared" si="193"/>
        <v>0</v>
      </c>
      <c r="I511" s="337">
        <f t="shared" si="194"/>
        <v>154048.2681454944</v>
      </c>
      <c r="J511" s="340">
        <f t="shared" si="195"/>
        <v>1.5707898353230219</v>
      </c>
      <c r="K511" s="348">
        <f t="shared" si="211"/>
        <v>28.895944182869471</v>
      </c>
      <c r="L511" s="349">
        <f t="shared" si="212"/>
        <v>1.5361824824451127</v>
      </c>
      <c r="M511" s="337">
        <f t="shared" si="196"/>
        <v>1.1935903047798819</v>
      </c>
      <c r="N511" s="340">
        <f t="shared" si="197"/>
        <v>0.57753971179689878</v>
      </c>
      <c r="O511" s="341">
        <f t="shared" si="198"/>
        <v>1.1564841935077741</v>
      </c>
      <c r="P511" s="342">
        <f t="shared" si="199"/>
        <v>1.0117303093309276</v>
      </c>
      <c r="Q511" s="343">
        <f t="shared" si="200"/>
        <v>-12.811938745700413</v>
      </c>
      <c r="R511" s="344">
        <f t="shared" si="201"/>
        <v>-171.1651036131158</v>
      </c>
      <c r="S511" s="346">
        <f t="shared" si="202"/>
        <v>8.8348963868841963</v>
      </c>
      <c r="U511" s="319">
        <f t="shared" si="208"/>
        <v>68395.5</v>
      </c>
      <c r="V511" s="319">
        <f t="shared" si="209"/>
        <v>4677944420.25</v>
      </c>
      <c r="X511" s="345">
        <f t="shared" si="203"/>
        <v>21.633720141107528</v>
      </c>
      <c r="Y511" s="346">
        <f t="shared" si="204"/>
        <v>-35.073443287265576</v>
      </c>
      <c r="AA511" s="345">
        <f t="shared" si="205"/>
        <v>29.163462402354682</v>
      </c>
      <c r="AB511" s="346">
        <f t="shared" si="206"/>
        <v>-136.09166032585017</v>
      </c>
      <c r="AD511">
        <f t="shared" si="210"/>
        <v>0</v>
      </c>
      <c r="AE511">
        <f t="shared" si="213"/>
        <v>0</v>
      </c>
    </row>
    <row r="512" spans="1:31" x14ac:dyDescent="0.25">
      <c r="A512" s="347">
        <v>68789.25</v>
      </c>
      <c r="B512" s="364">
        <f t="shared" si="207"/>
        <v>68.789249999999996</v>
      </c>
      <c r="C512" s="337">
        <f t="shared" si="188"/>
        <v>29.842084399973718</v>
      </c>
      <c r="D512" s="338">
        <f t="shared" si="189"/>
        <v>1.537280328666599</v>
      </c>
      <c r="E512" s="338">
        <f t="shared" si="190"/>
        <v>1.0154295615916669</v>
      </c>
      <c r="F512" s="339">
        <f t="shared" si="191"/>
        <v>0.17454939885037674</v>
      </c>
      <c r="G512" s="338">
        <f t="shared" si="192"/>
        <v>1</v>
      </c>
      <c r="H512" s="339">
        <f t="shared" si="193"/>
        <v>0</v>
      </c>
      <c r="I512" s="337">
        <f t="shared" si="194"/>
        <v>154935.11750809485</v>
      </c>
      <c r="J512" s="340">
        <f t="shared" si="195"/>
        <v>1.5707898724802385</v>
      </c>
      <c r="K512" s="348">
        <f t="shared" si="211"/>
        <v>29.062098249946583</v>
      </c>
      <c r="L512" s="349">
        <f t="shared" si="212"/>
        <v>1.5363804553949338</v>
      </c>
      <c r="M512" s="337">
        <f t="shared" si="196"/>
        <v>1.1956426573485004</v>
      </c>
      <c r="N512" s="340">
        <f t="shared" si="197"/>
        <v>0.58016850495271177</v>
      </c>
      <c r="O512" s="341">
        <f t="shared" si="198"/>
        <v>1.1589211015310359</v>
      </c>
      <c r="P512" s="342">
        <f t="shared" si="199"/>
        <v>1.0175790154852171</v>
      </c>
      <c r="Q512" s="343">
        <f t="shared" si="200"/>
        <v>-12.893513048850805</v>
      </c>
      <c r="R512" s="344">
        <f t="shared" si="201"/>
        <v>-171.59443510956203</v>
      </c>
      <c r="S512" s="346">
        <f t="shared" si="202"/>
        <v>8.4055648904379723</v>
      </c>
      <c r="U512" s="319">
        <f t="shared" si="208"/>
        <v>68789.25</v>
      </c>
      <c r="V512" s="319">
        <f t="shared" si="209"/>
        <v>4731960915.5625</v>
      </c>
      <c r="X512" s="345">
        <f t="shared" si="203"/>
        <v>21.618738394133707</v>
      </c>
      <c r="Y512" s="346">
        <f t="shared" si="204"/>
        <v>-35.21272115493489</v>
      </c>
      <c r="AA512" s="345">
        <f t="shared" si="205"/>
        <v>29.096869846178116</v>
      </c>
      <c r="AB512" s="346">
        <f t="shared" si="206"/>
        <v>-136.38171395462714</v>
      </c>
      <c r="AD512">
        <f t="shared" si="210"/>
        <v>0</v>
      </c>
      <c r="AE512">
        <f t="shared" si="213"/>
        <v>0</v>
      </c>
    </row>
    <row r="513" spans="1:31" x14ac:dyDescent="0.25">
      <c r="A513" s="347">
        <v>69183</v>
      </c>
      <c r="B513" s="364">
        <f t="shared" si="207"/>
        <v>69.183000000000007</v>
      </c>
      <c r="C513" s="337">
        <f t="shared" si="188"/>
        <v>30.012709370947135</v>
      </c>
      <c r="D513" s="338">
        <f t="shared" si="189"/>
        <v>1.5374709409220635</v>
      </c>
      <c r="E513" s="338">
        <f t="shared" si="190"/>
        <v>1.0156053438291155</v>
      </c>
      <c r="F513" s="339">
        <f t="shared" si="191"/>
        <v>0.17552818065464756</v>
      </c>
      <c r="G513" s="338">
        <f t="shared" si="192"/>
        <v>1</v>
      </c>
      <c r="H513" s="339">
        <f t="shared" si="193"/>
        <v>0</v>
      </c>
      <c r="I513" s="337">
        <f t="shared" si="194"/>
        <v>155821.9668706955</v>
      </c>
      <c r="J513" s="340">
        <f t="shared" si="195"/>
        <v>1.5707899092144997</v>
      </c>
      <c r="K513" s="348">
        <f t="shared" si="211"/>
        <v>29.228253443112674</v>
      </c>
      <c r="L513" s="349">
        <f t="shared" si="212"/>
        <v>1.536576177500534</v>
      </c>
      <c r="M513" s="337">
        <f t="shared" si="196"/>
        <v>1.1977032441193924</v>
      </c>
      <c r="N513" s="340">
        <f t="shared" si="197"/>
        <v>0.58278827075419748</v>
      </c>
      <c r="O513" s="341">
        <f t="shared" si="198"/>
        <v>1.1613841486998686</v>
      </c>
      <c r="P513" s="342">
        <f t="shared" si="199"/>
        <v>1.0234218196152278</v>
      </c>
      <c r="Q513" s="343">
        <f t="shared" si="200"/>
        <v>-12.974985856227949</v>
      </c>
      <c r="R513" s="344">
        <f t="shared" si="201"/>
        <v>-172.02293391638324</v>
      </c>
      <c r="S513" s="346">
        <f t="shared" si="202"/>
        <v>7.9770660836167622</v>
      </c>
      <c r="U513" s="319">
        <f t="shared" si="208"/>
        <v>69183</v>
      </c>
      <c r="V513" s="319">
        <f t="shared" si="209"/>
        <v>4786287489</v>
      </c>
      <c r="X513" s="345">
        <f t="shared" si="203"/>
        <v>21.603723534311857</v>
      </c>
      <c r="Y513" s="346">
        <f t="shared" si="204"/>
        <v>-35.351610732941261</v>
      </c>
      <c r="AA513" s="345">
        <f t="shared" si="205"/>
        <v>29.03041189862282</v>
      </c>
      <c r="AB513" s="346">
        <f t="shared" si="206"/>
        <v>-136.67132318344196</v>
      </c>
      <c r="AD513">
        <f t="shared" si="210"/>
        <v>0</v>
      </c>
      <c r="AE513">
        <f t="shared" si="213"/>
        <v>0</v>
      </c>
    </row>
    <row r="514" spans="1:31" x14ac:dyDescent="0.25">
      <c r="A514" s="347">
        <v>69586</v>
      </c>
      <c r="B514" s="364">
        <f t="shared" si="207"/>
        <v>69.585999999999999</v>
      </c>
      <c r="C514" s="337">
        <f t="shared" si="188"/>
        <v>30.187343790836444</v>
      </c>
      <c r="D514" s="338">
        <f t="shared" si="189"/>
        <v>1.5376637997633813</v>
      </c>
      <c r="E514" s="338">
        <f t="shared" si="190"/>
        <v>1.0157862627184984</v>
      </c>
      <c r="F514" s="339">
        <f t="shared" si="191"/>
        <v>0.17652960428958434</v>
      </c>
      <c r="G514" s="338">
        <f t="shared" si="192"/>
        <v>1</v>
      </c>
      <c r="H514" s="339">
        <f t="shared" si="193"/>
        <v>0</v>
      </c>
      <c r="I514" s="337">
        <f t="shared" si="194"/>
        <v>156729.65015483054</v>
      </c>
      <c r="J514" s="340">
        <f t="shared" si="195"/>
        <v>1.5707899463812416</v>
      </c>
      <c r="K514" s="348">
        <f t="shared" si="211"/>
        <v>29.398313110780691</v>
      </c>
      <c r="L514" s="349">
        <f t="shared" si="212"/>
        <v>1.5367742065551926</v>
      </c>
      <c r="M514" s="337">
        <f t="shared" si="196"/>
        <v>1.1998207206812725</v>
      </c>
      <c r="N514" s="340">
        <f t="shared" si="197"/>
        <v>0.58546024342087555</v>
      </c>
      <c r="O514" s="341">
        <f t="shared" si="198"/>
        <v>1.1639322616917167</v>
      </c>
      <c r="P514" s="342">
        <f t="shared" si="199"/>
        <v>1.0293956063783363</v>
      </c>
      <c r="Q514" s="343">
        <f t="shared" si="200"/>
        <v>-13.058270248410459</v>
      </c>
      <c r="R514" s="344">
        <f t="shared" si="201"/>
        <v>-172.46062799320288</v>
      </c>
      <c r="S514" s="346">
        <f t="shared" si="202"/>
        <v>7.539372006797123</v>
      </c>
      <c r="U514" s="319">
        <f t="shared" si="208"/>
        <v>69586</v>
      </c>
      <c r="V514" s="319">
        <f t="shared" si="209"/>
        <v>4842211396</v>
      </c>
      <c r="X514" s="345">
        <f t="shared" si="203"/>
        <v>21.588322182038716</v>
      </c>
      <c r="Y514" s="346">
        <f t="shared" si="204"/>
        <v>-35.493359390322738</v>
      </c>
      <c r="AA514" s="345">
        <f t="shared" si="205"/>
        <v>28.962528858713448</v>
      </c>
      <c r="AB514" s="346">
        <f t="shared" si="206"/>
        <v>-136.9672686028801</v>
      </c>
      <c r="AD514">
        <f t="shared" si="210"/>
        <v>0</v>
      </c>
      <c r="AE514">
        <f t="shared" si="213"/>
        <v>0</v>
      </c>
    </row>
    <row r="515" spans="1:31" x14ac:dyDescent="0.25">
      <c r="A515" s="347">
        <v>69989</v>
      </c>
      <c r="B515" s="364">
        <f t="shared" si="207"/>
        <v>69.989000000000004</v>
      </c>
      <c r="C515" s="337">
        <f t="shared" si="188"/>
        <v>30.361979320613699</v>
      </c>
      <c r="D515" s="338">
        <f t="shared" si="189"/>
        <v>1.5378544400471437</v>
      </c>
      <c r="E515" s="338">
        <f t="shared" si="190"/>
        <v>1.015968199925021</v>
      </c>
      <c r="F515" s="339">
        <f t="shared" si="191"/>
        <v>0.17753067026294081</v>
      </c>
      <c r="G515" s="338">
        <f t="shared" si="192"/>
        <v>1</v>
      </c>
      <c r="H515" s="339">
        <f t="shared" si="193"/>
        <v>0</v>
      </c>
      <c r="I515" s="337">
        <f t="shared" si="194"/>
        <v>157637.33343896572</v>
      </c>
      <c r="J515" s="340">
        <f t="shared" si="195"/>
        <v>1.5707899831199676</v>
      </c>
      <c r="K515" s="348">
        <f t="shared" si="211"/>
        <v>29.56837391805718</v>
      </c>
      <c r="L515" s="349">
        <f t="shared" si="212"/>
        <v>1.5369699577119467</v>
      </c>
      <c r="M515" s="337">
        <f t="shared" si="196"/>
        <v>1.2019467330714098</v>
      </c>
      <c r="N515" s="340">
        <f t="shared" si="197"/>
        <v>0.58812278263012996</v>
      </c>
      <c r="O515" s="341">
        <f t="shared" si="198"/>
        <v>1.1665080319503514</v>
      </c>
      <c r="P515" s="342">
        <f t="shared" si="199"/>
        <v>1.0353628749132704</v>
      </c>
      <c r="Q515" s="343">
        <f t="shared" si="200"/>
        <v>-13.141453768510116</v>
      </c>
      <c r="R515" s="344">
        <f t="shared" si="201"/>
        <v>-172.89743197368773</v>
      </c>
      <c r="S515" s="346">
        <f t="shared" si="202"/>
        <v>7.1025680263122695</v>
      </c>
      <c r="U515" s="319">
        <f t="shared" si="208"/>
        <v>69989</v>
      </c>
      <c r="V515" s="319">
        <f t="shared" si="209"/>
        <v>4898460121</v>
      </c>
      <c r="X515" s="345">
        <f t="shared" si="203"/>
        <v>21.5728872090062</v>
      </c>
      <c r="Y515" s="346">
        <f t="shared" si="204"/>
        <v>-35.634698039819753</v>
      </c>
      <c r="AA515" s="345">
        <f t="shared" si="205"/>
        <v>28.894780311646308</v>
      </c>
      <c r="AB515" s="346">
        <f t="shared" si="206"/>
        <v>-137.26273393386793</v>
      </c>
      <c r="AD515">
        <f t="shared" si="210"/>
        <v>0</v>
      </c>
      <c r="AE515">
        <f t="shared" si="213"/>
        <v>0</v>
      </c>
    </row>
    <row r="516" spans="1:31" x14ac:dyDescent="0.25">
      <c r="A516" s="347">
        <v>70392</v>
      </c>
      <c r="B516" s="364">
        <f t="shared" si="207"/>
        <v>70.391999999999996</v>
      </c>
      <c r="C516" s="337">
        <f t="shared" si="188"/>
        <v>30.536615941236924</v>
      </c>
      <c r="D516" s="338">
        <f t="shared" si="189"/>
        <v>1.5380428998226667</v>
      </c>
      <c r="E516" s="338">
        <f t="shared" si="190"/>
        <v>1.0161511549017077</v>
      </c>
      <c r="F516" s="339">
        <f t="shared" si="191"/>
        <v>0.17853137676096845</v>
      </c>
      <c r="G516" s="338">
        <f t="shared" si="192"/>
        <v>1</v>
      </c>
      <c r="H516" s="339">
        <f t="shared" si="193"/>
        <v>0</v>
      </c>
      <c r="I516" s="337">
        <f t="shared" si="194"/>
        <v>158545.01672310117</v>
      </c>
      <c r="J516" s="340">
        <f t="shared" si="195"/>
        <v>1.5707900194380293</v>
      </c>
      <c r="K516" s="348">
        <f t="shared" si="211"/>
        <v>29.738435845391407</v>
      </c>
      <c r="L516" s="349">
        <f t="shared" si="212"/>
        <v>1.5371634700347581</v>
      </c>
      <c r="M516" s="337">
        <f t="shared" si="196"/>
        <v>1.2040812360753887</v>
      </c>
      <c r="N516" s="340">
        <f t="shared" si="197"/>
        <v>0.59077590070099895</v>
      </c>
      <c r="O516" s="341">
        <f t="shared" si="198"/>
        <v>1.1691115968926364</v>
      </c>
      <c r="P516" s="342">
        <f t="shared" si="199"/>
        <v>1.041323455528101</v>
      </c>
      <c r="Q516" s="343">
        <f t="shared" si="200"/>
        <v>-13.224539056084295</v>
      </c>
      <c r="R516" s="344">
        <f t="shared" si="201"/>
        <v>-173.33333688724173</v>
      </c>
      <c r="S516" s="346">
        <f t="shared" si="202"/>
        <v>6.6666631127582718</v>
      </c>
      <c r="U516" s="319">
        <f t="shared" si="208"/>
        <v>70392</v>
      </c>
      <c r="V516" s="319">
        <f t="shared" si="209"/>
        <v>4955033664</v>
      </c>
      <c r="X516" s="345">
        <f t="shared" si="203"/>
        <v>21.557419149835582</v>
      </c>
      <c r="Y516" s="346">
        <f t="shared" si="204"/>
        <v>-35.775625149482273</v>
      </c>
      <c r="AA516" s="345">
        <f t="shared" si="205"/>
        <v>28.827163083242752</v>
      </c>
      <c r="AB516" s="346">
        <f t="shared" si="206"/>
        <v>-137.55771173775943</v>
      </c>
      <c r="AD516">
        <f t="shared" si="210"/>
        <v>0</v>
      </c>
      <c r="AE516">
        <f t="shared" si="213"/>
        <v>0</v>
      </c>
    </row>
    <row r="517" spans="1:31" x14ac:dyDescent="0.25">
      <c r="A517" s="347">
        <v>70795</v>
      </c>
      <c r="B517" s="364">
        <f t="shared" si="207"/>
        <v>70.795000000000002</v>
      </c>
      <c r="C517" s="337">
        <f t="shared" si="188"/>
        <v>30.711253634097147</v>
      </c>
      <c r="D517" s="338">
        <f t="shared" si="189"/>
        <v>1.5382292162744342</v>
      </c>
      <c r="E517" s="338">
        <f t="shared" si="190"/>
        <v>1.0163351270989192</v>
      </c>
      <c r="F517" s="339">
        <f t="shared" si="191"/>
        <v>0.17953172197410108</v>
      </c>
      <c r="G517" s="338">
        <f t="shared" si="192"/>
        <v>1</v>
      </c>
      <c r="H517" s="339">
        <f t="shared" si="193"/>
        <v>0</v>
      </c>
      <c r="I517" s="337">
        <f t="shared" si="194"/>
        <v>159452.7000072368</v>
      </c>
      <c r="J517" s="340">
        <f t="shared" si="195"/>
        <v>1.5707900553426104</v>
      </c>
      <c r="K517" s="348">
        <f t="shared" si="211"/>
        <v>29.908498873677186</v>
      </c>
      <c r="L517" s="349">
        <f t="shared" si="212"/>
        <v>1.5373547816997799</v>
      </c>
      <c r="M517" s="337">
        <f t="shared" si="196"/>
        <v>1.2062241846189012</v>
      </c>
      <c r="N517" s="340">
        <f t="shared" si="197"/>
        <v>0.59341961039602131</v>
      </c>
      <c r="O517" s="341">
        <f t="shared" si="198"/>
        <v>1.1717430925876722</v>
      </c>
      <c r="P517" s="342">
        <f t="shared" si="199"/>
        <v>1.0472771786532948</v>
      </c>
      <c r="Q517" s="343">
        <f t="shared" si="200"/>
        <v>-13.307528674331429</v>
      </c>
      <c r="R517" s="344">
        <f t="shared" si="201"/>
        <v>-173.76833379675955</v>
      </c>
      <c r="S517" s="346">
        <f t="shared" si="202"/>
        <v>6.2316662032404508</v>
      </c>
      <c r="U517" s="319">
        <f t="shared" si="208"/>
        <v>70795</v>
      </c>
      <c r="V517" s="319">
        <f t="shared" si="209"/>
        <v>5011932025</v>
      </c>
      <c r="X517" s="345">
        <f t="shared" si="203"/>
        <v>21.541918535978148</v>
      </c>
      <c r="Y517" s="346">
        <f t="shared" si="204"/>
        <v>-35.91613926362902</v>
      </c>
      <c r="AA517" s="345">
        <f t="shared" si="205"/>
        <v>28.759674078853052</v>
      </c>
      <c r="AB517" s="346">
        <f t="shared" si="206"/>
        <v>-137.8521945331305</v>
      </c>
      <c r="AD517">
        <f t="shared" si="210"/>
        <v>0</v>
      </c>
      <c r="AE517">
        <f t="shared" si="213"/>
        <v>0</v>
      </c>
    </row>
    <row r="518" spans="1:31" x14ac:dyDescent="0.25">
      <c r="A518" s="347">
        <v>71207.25</v>
      </c>
      <c r="B518" s="364">
        <f t="shared" si="207"/>
        <v>71.207250000000002</v>
      </c>
      <c r="C518" s="337">
        <f t="shared" si="188"/>
        <v>30.889900850829346</v>
      </c>
      <c r="D518" s="338">
        <f t="shared" si="189"/>
        <v>1.5384176294267526</v>
      </c>
      <c r="E518" s="338">
        <f t="shared" si="190"/>
        <v>1.0165243739178418</v>
      </c>
      <c r="F518" s="339">
        <f t="shared" si="191"/>
        <v>0.18055465226334827</v>
      </c>
      <c r="G518" s="338">
        <f t="shared" si="192"/>
        <v>1</v>
      </c>
      <c r="H518" s="339">
        <f t="shared" si="193"/>
        <v>0</v>
      </c>
      <c r="I518" s="337">
        <f t="shared" si="194"/>
        <v>160381.21721290675</v>
      </c>
      <c r="J518" s="340">
        <f t="shared" si="195"/>
        <v>1.5707900916507982</v>
      </c>
      <c r="K518" s="348">
        <f t="shared" si="211"/>
        <v>30.08246645343279</v>
      </c>
      <c r="L518" s="349">
        <f t="shared" si="212"/>
        <v>1.5375482464071577</v>
      </c>
      <c r="M518" s="337">
        <f t="shared" si="196"/>
        <v>1.2084250116387343</v>
      </c>
      <c r="N518" s="340">
        <f t="shared" si="197"/>
        <v>0.59611427975802223</v>
      </c>
      <c r="O518" s="341">
        <f t="shared" si="198"/>
        <v>1.1744640287993964</v>
      </c>
      <c r="P518" s="342">
        <f t="shared" si="199"/>
        <v>1.0533602847077586</v>
      </c>
      <c r="Q518" s="343">
        <f t="shared" si="200"/>
        <v>-13.392326746561823</v>
      </c>
      <c r="R518" s="344">
        <f t="shared" si="201"/>
        <v>-174.21236634135508</v>
      </c>
      <c r="S518" s="346">
        <f t="shared" si="202"/>
        <v>5.7876336586449213</v>
      </c>
      <c r="U518" s="319">
        <f t="shared" si="208"/>
        <v>71207.25</v>
      </c>
      <c r="V518" s="319">
        <f t="shared" si="209"/>
        <v>5070472452.5625</v>
      </c>
      <c r="X518" s="345">
        <f t="shared" si="203"/>
        <v>21.526029005438044</v>
      </c>
      <c r="Y518" s="346">
        <f t="shared" si="204"/>
        <v>-36.059449814507062</v>
      </c>
      <c r="AA518" s="345">
        <f t="shared" si="205"/>
        <v>28.690765537162761</v>
      </c>
      <c r="AB518" s="346">
        <f t="shared" si="206"/>
        <v>-138.15291652684803</v>
      </c>
      <c r="AD518">
        <f t="shared" si="210"/>
        <v>0</v>
      </c>
      <c r="AE518">
        <f t="shared" si="213"/>
        <v>0</v>
      </c>
    </row>
    <row r="519" spans="1:31" x14ac:dyDescent="0.25">
      <c r="A519" s="347">
        <v>71619.5</v>
      </c>
      <c r="B519" s="364">
        <f t="shared" si="207"/>
        <v>71.619500000000002</v>
      </c>
      <c r="C519" s="337">
        <f t="shared" si="188"/>
        <v>31.068549151527201</v>
      </c>
      <c r="D519" s="338">
        <f t="shared" si="189"/>
        <v>1.5386038757841172</v>
      </c>
      <c r="E519" s="338">
        <f t="shared" si="190"/>
        <v>1.0167146840173953</v>
      </c>
      <c r="F519" s="339">
        <f t="shared" si="191"/>
        <v>0.18157720067515251</v>
      </c>
      <c r="G519" s="338">
        <f t="shared" si="192"/>
        <v>1</v>
      </c>
      <c r="H519" s="339">
        <f t="shared" si="193"/>
        <v>0</v>
      </c>
      <c r="I519" s="337">
        <f t="shared" si="194"/>
        <v>161309.7344185769</v>
      </c>
      <c r="J519" s="340">
        <f t="shared" si="195"/>
        <v>1.5707901275409979</v>
      </c>
      <c r="K519" s="348">
        <f t="shared" si="211"/>
        <v>30.256435146184913</v>
      </c>
      <c r="L519" s="349">
        <f t="shared" si="212"/>
        <v>1.5377394863517819</v>
      </c>
      <c r="M519" s="337">
        <f t="shared" si="196"/>
        <v>1.2106345813859538</v>
      </c>
      <c r="N519" s="340">
        <f t="shared" si="197"/>
        <v>0.59879913229351434</v>
      </c>
      <c r="O519" s="341">
        <f t="shared" si="198"/>
        <v>1.1772144763103582</v>
      </c>
      <c r="P519" s="342">
        <f t="shared" si="199"/>
        <v>1.0594358565188744</v>
      </c>
      <c r="Q519" s="343">
        <f t="shared" si="200"/>
        <v>-13.477029894490823</v>
      </c>
      <c r="R519" s="344">
        <f t="shared" si="201"/>
        <v>-174.65542992020383</v>
      </c>
      <c r="S519" s="346">
        <f t="shared" si="202"/>
        <v>5.3445700797961706</v>
      </c>
      <c r="U519" s="319">
        <f t="shared" si="208"/>
        <v>71619.5</v>
      </c>
      <c r="V519" s="319">
        <f t="shared" si="209"/>
        <v>5129352780.25</v>
      </c>
      <c r="X519" s="345">
        <f t="shared" si="203"/>
        <v>21.510106523328844</v>
      </c>
      <c r="Y519" s="346">
        <f t="shared" si="204"/>
        <v>-36.202325348224718</v>
      </c>
      <c r="AA519" s="345">
        <f t="shared" si="205"/>
        <v>28.621984871342963</v>
      </c>
      <c r="AB519" s="346">
        <f t="shared" si="206"/>
        <v>-138.45310457197911</v>
      </c>
      <c r="AD519">
        <f t="shared" si="210"/>
        <v>0</v>
      </c>
      <c r="AE519">
        <f t="shared" si="213"/>
        <v>0</v>
      </c>
    </row>
    <row r="520" spans="1:31" x14ac:dyDescent="0.25">
      <c r="A520" s="347">
        <v>72031.75</v>
      </c>
      <c r="B520" s="364">
        <f t="shared" si="207"/>
        <v>72.031750000000002</v>
      </c>
      <c r="C520" s="337">
        <f t="shared" si="188"/>
        <v>31.247198517598783</v>
      </c>
      <c r="D520" s="338">
        <f t="shared" si="189"/>
        <v>1.5387879924980945</v>
      </c>
      <c r="E520" s="338">
        <f t="shared" si="190"/>
        <v>1.0169060568006127</v>
      </c>
      <c r="F520" s="339">
        <f t="shared" si="191"/>
        <v>0.18259936528615334</v>
      </c>
      <c r="G520" s="338">
        <f t="shared" si="192"/>
        <v>1</v>
      </c>
      <c r="H520" s="339">
        <f t="shared" si="193"/>
        <v>0</v>
      </c>
      <c r="I520" s="337">
        <f t="shared" si="194"/>
        <v>162238.25162424732</v>
      </c>
      <c r="J520" s="340">
        <f t="shared" si="195"/>
        <v>1.570790163020386</v>
      </c>
      <c r="K520" s="348">
        <f t="shared" si="211"/>
        <v>30.43040493284477</v>
      </c>
      <c r="L520" s="349">
        <f t="shared" si="212"/>
        <v>1.5379285396762647</v>
      </c>
      <c r="M520" s="337">
        <f t="shared" si="196"/>
        <v>1.2128528460781789</v>
      </c>
      <c r="N520" s="340">
        <f t="shared" si="197"/>
        <v>0.60147418305382105</v>
      </c>
      <c r="O520" s="341">
        <f t="shared" si="198"/>
        <v>1.1799945762868389</v>
      </c>
      <c r="P520" s="342">
        <f t="shared" si="199"/>
        <v>1.0655037133088103</v>
      </c>
      <c r="Q520" s="343">
        <f t="shared" si="200"/>
        <v>-13.561640622681431</v>
      </c>
      <c r="R520" s="344">
        <f t="shared" si="201"/>
        <v>-175.09751509170511</v>
      </c>
      <c r="S520" s="346">
        <f t="shared" si="202"/>
        <v>4.9024849082948947</v>
      </c>
      <c r="U520" s="319">
        <f t="shared" si="208"/>
        <v>72031.75</v>
      </c>
      <c r="V520" s="319">
        <f t="shared" si="209"/>
        <v>5188573008.0625</v>
      </c>
      <c r="X520" s="345">
        <f t="shared" si="203"/>
        <v>21.49415164802226</v>
      </c>
      <c r="Y520" s="346">
        <f t="shared" si="204"/>
        <v>-36.344764542159709</v>
      </c>
      <c r="AA520" s="345">
        <f t="shared" si="205"/>
        <v>28.553329018458939</v>
      </c>
      <c r="AB520" s="346">
        <f t="shared" si="206"/>
        <v>-138.75275054954537</v>
      </c>
      <c r="AD520">
        <f t="shared" si="210"/>
        <v>0</v>
      </c>
      <c r="AE520">
        <f t="shared" si="213"/>
        <v>0</v>
      </c>
    </row>
    <row r="521" spans="1:31" x14ac:dyDescent="0.25">
      <c r="A521" s="347">
        <v>72444</v>
      </c>
      <c r="B521" s="364">
        <f t="shared" si="207"/>
        <v>72.444000000000003</v>
      </c>
      <c r="C521" s="337">
        <f t="shared" si="188"/>
        <v>31.425848930874814</v>
      </c>
      <c r="D521" s="338">
        <f t="shared" si="189"/>
        <v>1.5389700158760364</v>
      </c>
      <c r="E521" s="338">
        <f t="shared" si="190"/>
        <v>1.0170984916676447</v>
      </c>
      <c r="F521" s="339">
        <f t="shared" si="191"/>
        <v>0.183621144177642</v>
      </c>
      <c r="G521" s="338">
        <f t="shared" si="192"/>
        <v>1</v>
      </c>
      <c r="H521" s="339">
        <f t="shared" si="193"/>
        <v>0</v>
      </c>
      <c r="I521" s="337">
        <f t="shared" si="194"/>
        <v>163166.76882991788</v>
      </c>
      <c r="J521" s="340">
        <f t="shared" si="195"/>
        <v>1.570790198095976</v>
      </c>
      <c r="K521" s="348">
        <f t="shared" si="211"/>
        <v>30.604375794757491</v>
      </c>
      <c r="L521" s="349">
        <f t="shared" si="212"/>
        <v>1.5381154436565641</v>
      </c>
      <c r="M521" s="337">
        <f t="shared" si="196"/>
        <v>1.2150797580946118</v>
      </c>
      <c r="N521" s="340">
        <f t="shared" si="197"/>
        <v>0.60413944754169302</v>
      </c>
      <c r="O521" s="341">
        <f t="shared" si="198"/>
        <v>1.182804468346274</v>
      </c>
      <c r="P521" s="342">
        <f t="shared" si="199"/>
        <v>1.0715636746628254</v>
      </c>
      <c r="Q521" s="343">
        <f t="shared" si="200"/>
        <v>-13.646161357938391</v>
      </c>
      <c r="R521" s="344">
        <f t="shared" si="201"/>
        <v>-175.53861246193654</v>
      </c>
      <c r="S521" s="346">
        <f t="shared" si="202"/>
        <v>4.4613875380634624</v>
      </c>
      <c r="U521" s="319">
        <f t="shared" si="208"/>
        <v>72444</v>
      </c>
      <c r="V521" s="319">
        <f t="shared" si="209"/>
        <v>5248133136</v>
      </c>
      <c r="X521" s="345">
        <f t="shared" si="203"/>
        <v>21.47816493427419</v>
      </c>
      <c r="Y521" s="346">
        <f t="shared" si="204"/>
        <v>-36.486766149201081</v>
      </c>
      <c r="AA521" s="345">
        <f t="shared" si="205"/>
        <v>28.484794996950047</v>
      </c>
      <c r="AB521" s="346">
        <f t="shared" si="206"/>
        <v>-139.05184631273553</v>
      </c>
      <c r="AD521">
        <f t="shared" si="210"/>
        <v>0</v>
      </c>
      <c r="AE521">
        <f t="shared" si="213"/>
        <v>0</v>
      </c>
    </row>
    <row r="522" spans="1:31" x14ac:dyDescent="0.25">
      <c r="A522" s="347">
        <v>72865.75</v>
      </c>
      <c r="B522" s="364">
        <f t="shared" si="207"/>
        <v>72.865750000000006</v>
      </c>
      <c r="C522" s="337">
        <f t="shared" si="188"/>
        <v>31.608617277541438</v>
      </c>
      <c r="D522" s="338">
        <f t="shared" si="189"/>
        <v>1.539154104599076</v>
      </c>
      <c r="E522" s="338">
        <f t="shared" si="190"/>
        <v>1.0172964595052767</v>
      </c>
      <c r="F522" s="339">
        <f t="shared" si="191"/>
        <v>0.18466606806626407</v>
      </c>
      <c r="G522" s="338">
        <f t="shared" si="192"/>
        <v>1</v>
      </c>
      <c r="H522" s="339">
        <f t="shared" si="193"/>
        <v>0</v>
      </c>
      <c r="I522" s="337">
        <f t="shared" si="194"/>
        <v>164116.68303608321</v>
      </c>
      <c r="J522" s="340">
        <f t="shared" si="195"/>
        <v>1.570790233569141</v>
      </c>
      <c r="K522" s="348">
        <f t="shared" si="211"/>
        <v>30.782356781749719</v>
      </c>
      <c r="L522" s="349">
        <f t="shared" si="212"/>
        <v>1.5383044684800302</v>
      </c>
      <c r="M522" s="337">
        <f t="shared" si="196"/>
        <v>1.2173668867117264</v>
      </c>
      <c r="N522" s="340">
        <f t="shared" si="197"/>
        <v>0.60685602058539889</v>
      </c>
      <c r="O522" s="341">
        <f t="shared" si="198"/>
        <v>1.1857100860616432</v>
      </c>
      <c r="P522" s="342">
        <f t="shared" si="199"/>
        <v>1.0777549252567387</v>
      </c>
      <c r="Q522" s="343">
        <f t="shared" si="200"/>
        <v>-13.732539134774777</v>
      </c>
      <c r="R522" s="344">
        <f t="shared" si="201"/>
        <v>-175.988842647544</v>
      </c>
      <c r="S522" s="346">
        <f t="shared" si="202"/>
        <v>4.0111573524559958</v>
      </c>
      <c r="U522" s="319">
        <f t="shared" si="208"/>
        <v>72865.75</v>
      </c>
      <c r="V522" s="319">
        <f t="shared" si="209"/>
        <v>5309417523.0625</v>
      </c>
      <c r="X522" s="345">
        <f t="shared" si="203"/>
        <v>21.461777445617773</v>
      </c>
      <c r="Y522" s="346">
        <f t="shared" si="204"/>
        <v>-36.631586027364726</v>
      </c>
      <c r="AA522" s="345">
        <f t="shared" si="205"/>
        <v>28.414804708770074</v>
      </c>
      <c r="AB522" s="346">
        <f t="shared" si="206"/>
        <v>-139.35725662017924</v>
      </c>
      <c r="AD522">
        <f t="shared" si="210"/>
        <v>0</v>
      </c>
      <c r="AE522">
        <f t="shared" si="213"/>
        <v>0</v>
      </c>
    </row>
    <row r="523" spans="1:31" x14ac:dyDescent="0.25">
      <c r="A523" s="347">
        <v>73287.5</v>
      </c>
      <c r="B523" s="364">
        <f t="shared" si="207"/>
        <v>73.287499999999994</v>
      </c>
      <c r="C523" s="337">
        <f t="shared" si="188"/>
        <v>31.791386683065337</v>
      </c>
      <c r="D523" s="338">
        <f t="shared" si="189"/>
        <v>1.5393360766677071</v>
      </c>
      <c r="E523" s="338">
        <f t="shared" si="190"/>
        <v>1.0174955376613251</v>
      </c>
      <c r="F523" s="339">
        <f t="shared" si="191"/>
        <v>0.18571058420568307</v>
      </c>
      <c r="G523" s="338">
        <f t="shared" si="192"/>
        <v>1</v>
      </c>
      <c r="H523" s="339">
        <f t="shared" si="193"/>
        <v>0</v>
      </c>
      <c r="I523" s="337">
        <f t="shared" si="194"/>
        <v>165066.59724224874</v>
      </c>
      <c r="J523" s="340">
        <f t="shared" si="195"/>
        <v>1.5707902686340287</v>
      </c>
      <c r="K523" s="348">
        <f t="shared" si="211"/>
        <v>30.960338855961801</v>
      </c>
      <c r="L523" s="349">
        <f t="shared" si="212"/>
        <v>1.538491320011534</v>
      </c>
      <c r="M523" s="337">
        <f t="shared" si="196"/>
        <v>1.2196629654833735</v>
      </c>
      <c r="N523" s="340">
        <f t="shared" si="197"/>
        <v>0.60956238535972729</v>
      </c>
      <c r="O523" s="341">
        <f t="shared" si="198"/>
        <v>1.1886471753393095</v>
      </c>
      <c r="P523" s="342">
        <f t="shared" si="199"/>
        <v>1.0839375317391644</v>
      </c>
      <c r="Q523" s="343">
        <f t="shared" si="200"/>
        <v>-13.818827618522416</v>
      </c>
      <c r="R523" s="344">
        <f t="shared" si="201"/>
        <v>-176.43801925530158</v>
      </c>
      <c r="S523" s="346">
        <f t="shared" si="202"/>
        <v>3.5619807446984169</v>
      </c>
      <c r="U523" s="319">
        <f t="shared" si="208"/>
        <v>73287.5</v>
      </c>
      <c r="V523" s="319">
        <f t="shared" si="209"/>
        <v>5371057656.25</v>
      </c>
      <c r="X523" s="345">
        <f t="shared" si="203"/>
        <v>21.445357797121282</v>
      </c>
      <c r="Y523" s="346">
        <f t="shared" si="204"/>
        <v>-36.775945511840931</v>
      </c>
      <c r="AA523" s="345">
        <f t="shared" si="205"/>
        <v>28.344935873518931</v>
      </c>
      <c r="AB523" s="346">
        <f t="shared" si="206"/>
        <v>-139.66207374346061</v>
      </c>
      <c r="AD523">
        <f t="shared" si="210"/>
        <v>0</v>
      </c>
      <c r="AE523">
        <f t="shared" si="213"/>
        <v>0</v>
      </c>
    </row>
    <row r="524" spans="1:31" x14ac:dyDescent="0.25">
      <c r="A524" s="347">
        <v>73709.25</v>
      </c>
      <c r="B524" s="364">
        <f t="shared" si="207"/>
        <v>73.709249999999997</v>
      </c>
      <c r="C524" s="337">
        <f t="shared" si="188"/>
        <v>31.974157129288702</v>
      </c>
      <c r="D524" s="338">
        <f t="shared" si="189"/>
        <v>1.5395159683673876</v>
      </c>
      <c r="E524" s="338">
        <f t="shared" si="190"/>
        <v>1.0176957254841998</v>
      </c>
      <c r="F524" s="339">
        <f t="shared" si="191"/>
        <v>0.18675469055669475</v>
      </c>
      <c r="G524" s="338">
        <f t="shared" si="192"/>
        <v>1</v>
      </c>
      <c r="H524" s="339">
        <f t="shared" si="193"/>
        <v>0</v>
      </c>
      <c r="I524" s="337">
        <f t="shared" si="194"/>
        <v>166016.51144841447</v>
      </c>
      <c r="J524" s="340">
        <f t="shared" si="195"/>
        <v>1.5707903032976476</v>
      </c>
      <c r="K524" s="348">
        <f t="shared" si="211"/>
        <v>31.13832199875058</v>
      </c>
      <c r="L524" s="349">
        <f t="shared" si="212"/>
        <v>1.5386760355047913</v>
      </c>
      <c r="M524" s="337">
        <f t="shared" si="196"/>
        <v>1.2219679439575108</v>
      </c>
      <c r="N524" s="340">
        <f t="shared" si="197"/>
        <v>0.61225855987534528</v>
      </c>
      <c r="O524" s="341">
        <f t="shared" si="198"/>
        <v>1.1916158805329258</v>
      </c>
      <c r="P524" s="342">
        <f t="shared" si="199"/>
        <v>1.0901113024857341</v>
      </c>
      <c r="Q524" s="343">
        <f t="shared" si="200"/>
        <v>-13.905029164135092</v>
      </c>
      <c r="R524" s="344">
        <f t="shared" si="201"/>
        <v>-176.88613239963911</v>
      </c>
      <c r="S524" s="346">
        <f t="shared" si="202"/>
        <v>3.1138676003608907</v>
      </c>
      <c r="U524" s="319">
        <f t="shared" si="208"/>
        <v>73709.25</v>
      </c>
      <c r="V524" s="319">
        <f t="shared" si="209"/>
        <v>5433053535.5625</v>
      </c>
      <c r="X524" s="345">
        <f t="shared" si="203"/>
        <v>21.428906570835785</v>
      </c>
      <c r="Y524" s="346">
        <f t="shared" si="204"/>
        <v>-36.919843500485747</v>
      </c>
      <c r="AA524" s="345">
        <f t="shared" si="205"/>
        <v>28.275185554191751</v>
      </c>
      <c r="AB524" s="346">
        <f t="shared" si="206"/>
        <v>-139.96628889915337</v>
      </c>
      <c r="AD524">
        <f t="shared" si="210"/>
        <v>0</v>
      </c>
      <c r="AE524">
        <f t="shared" si="213"/>
        <v>0</v>
      </c>
    </row>
    <row r="525" spans="1:31" x14ac:dyDescent="0.25">
      <c r="A525" s="347">
        <v>74131</v>
      </c>
      <c r="B525" s="364">
        <f t="shared" si="207"/>
        <v>74.131</v>
      </c>
      <c r="C525" s="337">
        <f t="shared" ref="C525:C588" si="214">SQRT(1+(A525/pole1)^2)</f>
        <v>32.156928598466457</v>
      </c>
      <c r="D525" s="338">
        <f t="shared" ref="D525:D588" si="215">ATAN(A525/pole1)</f>
        <v>1.5396938151591733</v>
      </c>
      <c r="E525" s="338">
        <f t="shared" ref="E525:E588" si="216">SQRT(1+(A525/Zero1)^2)</f>
        <v>1.0178970223191932</v>
      </c>
      <c r="F525" s="339">
        <f t="shared" ref="F525:F588" si="217">ATAN(A525/Zero1)</f>
        <v>0.18779838508526847</v>
      </c>
      <c r="G525" s="338">
        <f t="shared" ref="G525:G588" si="218">IF(VIN_nom&gt;Vout, 1, SQRT(1+(A525/z_RHP)^2))</f>
        <v>1</v>
      </c>
      <c r="H525" s="339">
        <f t="shared" ref="H525:H588" si="219">IF(VIN_nom&gt;Vout, 0, -ATAN(A525/z_RHP))</f>
        <v>0</v>
      </c>
      <c r="I525" s="337">
        <f t="shared" ref="I525:I588" si="220">SQRT(1+(A525/Pole2)^2)</f>
        <v>166966.42565458038</v>
      </c>
      <c r="J525" s="340">
        <f t="shared" ref="J525:J588" si="221">ATAN(A525/Pole2)</f>
        <v>1.5707903375668462</v>
      </c>
      <c r="K525" s="348">
        <f t="shared" si="211"/>
        <v>31.316306191896597</v>
      </c>
      <c r="L525" s="349">
        <f t="shared" si="212"/>
        <v>1.5388586513671925</v>
      </c>
      <c r="M525" s="337">
        <f t="shared" ref="M525:M588" si="222">SQRT(1+(A525/pole4)^2)</f>
        <v>1.2242817718672241</v>
      </c>
      <c r="N525" s="340">
        <f t="shared" ref="N525:N588" si="223">ATAN(A525/pole4)</f>
        <v>0.6149445626001584</v>
      </c>
      <c r="O525" s="341">
        <f t="shared" ref="O525:O588" si="224">SQRT((1-(V525/pterm2))^2+(A525/pterm1)^2)</f>
        <v>1.1946163442293878</v>
      </c>
      <c r="P525" s="342">
        <f t="shared" ref="P525:P588" si="225">IF((ATAN((A525/pterm1)/(1-A525^2/pterm2))&gt;0),ATAN((A525/pterm1)/(1-A525^2/pterm2)),PI()+ATAN((A525/pterm1)/(1-A525^2/pterm2)))</f>
        <v>1.0962760465200196</v>
      </c>
      <c r="Q525" s="343">
        <f t="shared" ref="Q525:Q588" si="226">20*LOG10(((E525*K525*G525)/(C525*I525*O525*M525))*Adc)</f>
        <v>-13.991146047467195</v>
      </c>
      <c r="R525" s="344">
        <f t="shared" ref="R525:R588" si="227">((F525+L525+H525)-(D525+J525+P525+N525))*radconv</f>
        <v>-177.33317225925916</v>
      </c>
      <c r="S525" s="346">
        <f t="shared" ref="S525:S588" si="228">IF(R525&gt;0,R525,R525+180)</f>
        <v>2.6668277407408425</v>
      </c>
      <c r="U525" s="319">
        <f t="shared" si="208"/>
        <v>74131</v>
      </c>
      <c r="V525" s="319">
        <f t="shared" si="209"/>
        <v>5495405161</v>
      </c>
      <c r="X525" s="345">
        <f t="shared" ref="X525:X588" si="229">20*LOG10((K525/(I525*M525))*AEA)</f>
        <v>21.412424344724258</v>
      </c>
      <c r="Y525" s="346">
        <f t="shared" ref="Y525:Y588" si="230">(L525-(J525+N525))*radconv</f>
        <v>-37.063278965834783</v>
      </c>
      <c r="AA525" s="345">
        <f t="shared" ref="AA525:AA588" si="231">20*LOG10((E525*G525/(C525*O525))*Acs*Am)</f>
        <v>28.205550896971179</v>
      </c>
      <c r="AB525" s="346">
        <f t="shared" ref="AB525:AB588" si="232">(F525+H525-(D525+P525))*radconv</f>
        <v>-140.26989329342439</v>
      </c>
      <c r="AD525">
        <f t="shared" si="210"/>
        <v>0</v>
      </c>
      <c r="AE525">
        <f t="shared" si="213"/>
        <v>0</v>
      </c>
    </row>
    <row r="526" spans="1:31" x14ac:dyDescent="0.25">
      <c r="A526" s="347">
        <v>74562.75</v>
      </c>
      <c r="B526" s="364">
        <f t="shared" ref="B526:B589" si="233">A526/1000</f>
        <v>74.562749999999994</v>
      </c>
      <c r="C526" s="337">
        <f t="shared" si="214"/>
        <v>32.344034753957111</v>
      </c>
      <c r="D526" s="338">
        <f t="shared" si="215"/>
        <v>1.5398737967972584</v>
      </c>
      <c r="E526" s="338">
        <f t="shared" si="216"/>
        <v>1.0181042401291993</v>
      </c>
      <c r="F526" s="339">
        <f t="shared" si="217"/>
        <v>0.1888663976688176</v>
      </c>
      <c r="G526" s="338">
        <f t="shared" si="218"/>
        <v>1</v>
      </c>
      <c r="H526" s="339">
        <f t="shared" si="219"/>
        <v>0</v>
      </c>
      <c r="I526" s="337">
        <f t="shared" si="220"/>
        <v>167938.86301916183</v>
      </c>
      <c r="J526" s="340">
        <f t="shared" si="221"/>
        <v>1.5707903722470211</v>
      </c>
      <c r="K526" s="348">
        <f t="shared" si="211"/>
        <v>31.498511589451507</v>
      </c>
      <c r="L526" s="349">
        <f t="shared" si="212"/>
        <v>1.5390434594350402</v>
      </c>
      <c r="M526" s="337">
        <f t="shared" si="222"/>
        <v>1.2266595767027564</v>
      </c>
      <c r="N526" s="340">
        <f t="shared" si="223"/>
        <v>0.61768373573858049</v>
      </c>
      <c r="O526" s="341">
        <f t="shared" si="224"/>
        <v>1.1977209950571679</v>
      </c>
      <c r="P526" s="342">
        <f t="shared" si="225"/>
        <v>1.1025774121954275</v>
      </c>
      <c r="Q526" s="343">
        <f t="shared" si="226"/>
        <v>-14.079219422253185</v>
      </c>
      <c r="R526" s="344">
        <f t="shared" si="227"/>
        <v>-177.78968981780542</v>
      </c>
      <c r="S526" s="346">
        <f t="shared" si="228"/>
        <v>2.2103101821945756</v>
      </c>
      <c r="U526" s="319">
        <f t="shared" ref="U526:U589" si="234">IF(Q526&lt;0,A526,1000000000)</f>
        <v>74562.75</v>
      </c>
      <c r="V526" s="319">
        <f t="shared" ref="V526:V589" si="235">A526^2</f>
        <v>5559603687.5625</v>
      </c>
      <c r="X526" s="345">
        <f t="shared" si="229"/>
        <v>21.395519801022587</v>
      </c>
      <c r="Y526" s="346">
        <f t="shared" si="230"/>
        <v>-37.209635290909226</v>
      </c>
      <c r="AA526" s="345">
        <f t="shared" si="231"/>
        <v>28.13438206588685</v>
      </c>
      <c r="AB526" s="346">
        <f t="shared" si="232"/>
        <v>-140.58005452689616</v>
      </c>
      <c r="AD526">
        <f t="shared" ref="AD526:AD589" si="236">SUM((Q527&lt;0)*(Q526&gt;0))*A526</f>
        <v>0</v>
      </c>
      <c r="AE526">
        <f t="shared" si="213"/>
        <v>0</v>
      </c>
    </row>
    <row r="527" spans="1:31" x14ac:dyDescent="0.25">
      <c r="A527" s="347">
        <v>74994.5</v>
      </c>
      <c r="B527" s="364">
        <f t="shared" si="233"/>
        <v>74.994500000000002</v>
      </c>
      <c r="C527" s="337">
        <f t="shared" si="214"/>
        <v>32.53114194512839</v>
      </c>
      <c r="D527" s="338">
        <f t="shared" si="215"/>
        <v>1.5400517080643756</v>
      </c>
      <c r="E527" s="338">
        <f t="shared" si="216"/>
        <v>1.0183126187672991</v>
      </c>
      <c r="F527" s="339">
        <f t="shared" si="217"/>
        <v>0.18993397437207149</v>
      </c>
      <c r="G527" s="338">
        <f t="shared" si="218"/>
        <v>1</v>
      </c>
      <c r="H527" s="339">
        <f t="shared" si="219"/>
        <v>0</v>
      </c>
      <c r="I527" s="337">
        <f t="shared" si="220"/>
        <v>168911.30038374345</v>
      </c>
      <c r="J527" s="340">
        <f t="shared" si="221"/>
        <v>1.5707904065278824</v>
      </c>
      <c r="K527" s="348">
        <f t="shared" si="211"/>
        <v>31.680718050432734</v>
      </c>
      <c r="L527" s="349">
        <f t="shared" si="212"/>
        <v>1.5392261417224016</v>
      </c>
      <c r="M527" s="337">
        <f t="shared" si="222"/>
        <v>1.2290465495977601</v>
      </c>
      <c r="N527" s="340">
        <f t="shared" si="223"/>
        <v>0.62041228960173822</v>
      </c>
      <c r="O527" s="341">
        <f t="shared" si="224"/>
        <v>1.2008592249377614</v>
      </c>
      <c r="P527" s="342">
        <f t="shared" si="225"/>
        <v>1.1088689153446474</v>
      </c>
      <c r="Q527" s="343">
        <f t="shared" si="226"/>
        <v>-14.167208651375535</v>
      </c>
      <c r="R527" s="344">
        <f t="shared" si="227"/>
        <v>-178.24506198152415</v>
      </c>
      <c r="S527" s="346">
        <f t="shared" si="228"/>
        <v>1.7549380184758547</v>
      </c>
      <c r="U527" s="319">
        <f t="shared" si="234"/>
        <v>74994.5</v>
      </c>
      <c r="V527" s="319">
        <f t="shared" si="235"/>
        <v>5624175030.25</v>
      </c>
      <c r="X527" s="345">
        <f t="shared" si="229"/>
        <v>21.378583982522947</v>
      </c>
      <c r="Y527" s="346">
        <f t="shared" si="230"/>
        <v>-37.355504951700034</v>
      </c>
      <c r="AA527" s="345">
        <f t="shared" si="231"/>
        <v>28.063328655264144</v>
      </c>
      <c r="AB527" s="346">
        <f t="shared" si="232"/>
        <v>-140.88955702982412</v>
      </c>
      <c r="AD527">
        <f t="shared" si="236"/>
        <v>0</v>
      </c>
      <c r="AE527">
        <f t="shared" si="213"/>
        <v>0</v>
      </c>
    </row>
    <row r="528" spans="1:31" x14ac:dyDescent="0.25">
      <c r="A528" s="347">
        <v>75426.25</v>
      </c>
      <c r="B528" s="364">
        <f t="shared" si="233"/>
        <v>75.426249999999996</v>
      </c>
      <c r="C528" s="337">
        <f t="shared" si="214"/>
        <v>32.718250154211923</v>
      </c>
      <c r="D528" s="338">
        <f t="shared" si="215"/>
        <v>1.540227584469102</v>
      </c>
      <c r="E528" s="338">
        <f t="shared" si="216"/>
        <v>1.0185221575210144</v>
      </c>
      <c r="F528" s="339">
        <f t="shared" si="217"/>
        <v>0.19100111302983222</v>
      </c>
      <c r="G528" s="338">
        <f t="shared" si="218"/>
        <v>1</v>
      </c>
      <c r="H528" s="339">
        <f t="shared" si="219"/>
        <v>0</v>
      </c>
      <c r="I528" s="337">
        <f t="shared" si="220"/>
        <v>169883.73774832531</v>
      </c>
      <c r="J528" s="340">
        <f t="shared" si="221"/>
        <v>1.5707904404162869</v>
      </c>
      <c r="K528" s="348">
        <f t="shared" si="211"/>
        <v>31.862925556596839</v>
      </c>
      <c r="L528" s="349">
        <f t="shared" si="212"/>
        <v>1.5394067346856775</v>
      </c>
      <c r="M528" s="337">
        <f t="shared" si="222"/>
        <v>1.2314426372393761</v>
      </c>
      <c r="N528" s="340">
        <f t="shared" si="223"/>
        <v>0.62313024543124851</v>
      </c>
      <c r="O528" s="341">
        <f t="shared" si="224"/>
        <v>1.2040311809886284</v>
      </c>
      <c r="P528" s="342">
        <f t="shared" si="225"/>
        <v>1.1151503535965188</v>
      </c>
      <c r="Q528" s="343">
        <f t="shared" si="226"/>
        <v>-14.255115928395998</v>
      </c>
      <c r="R528" s="344">
        <f t="shared" si="227"/>
        <v>-178.69927844260019</v>
      </c>
      <c r="S528" s="346">
        <f t="shared" si="228"/>
        <v>1.300721557399811</v>
      </c>
      <c r="U528" s="319">
        <f t="shared" si="234"/>
        <v>75426.25</v>
      </c>
      <c r="V528" s="319">
        <f t="shared" si="235"/>
        <v>5689119189.0625</v>
      </c>
      <c r="X528" s="345">
        <f t="shared" si="229"/>
        <v>21.36161749579923</v>
      </c>
      <c r="Y528" s="346">
        <f t="shared" si="230"/>
        <v>-37.500887076857161</v>
      </c>
      <c r="AA528" s="345">
        <f t="shared" si="231"/>
        <v>27.992387864967402</v>
      </c>
      <c r="AB528" s="346">
        <f t="shared" si="232"/>
        <v>-141.19839136574308</v>
      </c>
      <c r="AD528">
        <f t="shared" si="236"/>
        <v>0</v>
      </c>
      <c r="AE528">
        <f t="shared" si="213"/>
        <v>0</v>
      </c>
    </row>
    <row r="529" spans="1:31" x14ac:dyDescent="0.25">
      <c r="A529" s="347">
        <v>75858</v>
      </c>
      <c r="B529" s="364">
        <f t="shared" si="233"/>
        <v>75.858000000000004</v>
      </c>
      <c r="C529" s="337">
        <f t="shared" si="214"/>
        <v>32.905359363843409</v>
      </c>
      <c r="D529" s="338">
        <f t="shared" si="215"/>
        <v>1.5404014607128782</v>
      </c>
      <c r="E529" s="338">
        <f t="shared" si="216"/>
        <v>1.018732855674487</v>
      </c>
      <c r="F529" s="339">
        <f t="shared" si="217"/>
        <v>0.19206781148266908</v>
      </c>
      <c r="G529" s="338">
        <f t="shared" si="218"/>
        <v>1</v>
      </c>
      <c r="H529" s="339">
        <f t="shared" si="219"/>
        <v>0</v>
      </c>
      <c r="I529" s="337">
        <f t="shared" si="220"/>
        <v>170856.17511290734</v>
      </c>
      <c r="J529" s="340">
        <f t="shared" si="221"/>
        <v>1.5707904739189362</v>
      </c>
      <c r="K529" s="348">
        <f t="shared" si="211"/>
        <v>32.045134090115205</v>
      </c>
      <c r="L529" s="349">
        <f t="shared" si="212"/>
        <v>1.5395852739526579</v>
      </c>
      <c r="M529" s="337">
        <f t="shared" si="222"/>
        <v>1.2338477865260842</v>
      </c>
      <c r="N529" s="340">
        <f t="shared" si="223"/>
        <v>0.6258376249303661</v>
      </c>
      <c r="O529" s="341">
        <f t="shared" si="224"/>
        <v>1.2072370083217714</v>
      </c>
      <c r="P529" s="342">
        <f t="shared" si="225"/>
        <v>1.1214215255622515</v>
      </c>
      <c r="Q529" s="343">
        <f t="shared" si="226"/>
        <v>-14.342943366368592</v>
      </c>
      <c r="R529" s="344">
        <f t="shared" si="227"/>
        <v>-179.15232897684515</v>
      </c>
      <c r="S529" s="346">
        <f t="shared" si="228"/>
        <v>0.84767102315484522</v>
      </c>
      <c r="U529" s="319">
        <f t="shared" si="234"/>
        <v>75858</v>
      </c>
      <c r="V529" s="319">
        <f t="shared" si="235"/>
        <v>5754436164</v>
      </c>
      <c r="X529" s="345">
        <f t="shared" si="229"/>
        <v>21.344620942827742</v>
      </c>
      <c r="Y529" s="346">
        <f t="shared" si="230"/>
        <v>-37.645780868947483</v>
      </c>
      <c r="AA529" s="345">
        <f t="shared" si="231"/>
        <v>27.92155697996629</v>
      </c>
      <c r="AB529" s="346">
        <f t="shared" si="232"/>
        <v>-141.50654810789771</v>
      </c>
      <c r="AD529">
        <f t="shared" si="236"/>
        <v>0</v>
      </c>
      <c r="AE529">
        <f t="shared" si="213"/>
        <v>0</v>
      </c>
    </row>
    <row r="530" spans="1:31" x14ac:dyDescent="0.25">
      <c r="A530" s="347">
        <v>76299.75</v>
      </c>
      <c r="B530" s="364">
        <f t="shared" si="233"/>
        <v>76.299750000000003</v>
      </c>
      <c r="C530" s="337">
        <f t="shared" si="214"/>
        <v>33.096803331009014</v>
      </c>
      <c r="D530" s="338">
        <f t="shared" si="215"/>
        <v>1.5405773293835401</v>
      </c>
      <c r="E530" s="338">
        <f t="shared" si="216"/>
        <v>1.0189496331649766</v>
      </c>
      <c r="F530" s="339">
        <f t="shared" si="217"/>
        <v>0.1931587584640416</v>
      </c>
      <c r="G530" s="338">
        <f t="shared" si="218"/>
        <v>1</v>
      </c>
      <c r="H530" s="339">
        <f t="shared" si="219"/>
        <v>0</v>
      </c>
      <c r="I530" s="337">
        <f t="shared" si="220"/>
        <v>171851.13563590491</v>
      </c>
      <c r="J530" s="340">
        <f t="shared" si="221"/>
        <v>1.5707905078051279</v>
      </c>
      <c r="K530" s="348">
        <f t="shared" si="211"/>
        <v>32.231563901175477</v>
      </c>
      <c r="L530" s="349">
        <f t="shared" si="212"/>
        <v>1.5397658591840226</v>
      </c>
      <c r="M530" s="337">
        <f t="shared" si="222"/>
        <v>1.2363179665396684</v>
      </c>
      <c r="N530" s="340">
        <f t="shared" si="223"/>
        <v>0.62859678803669006</v>
      </c>
      <c r="O530" s="341">
        <f t="shared" si="224"/>
        <v>1.2105522939587523</v>
      </c>
      <c r="P530" s="342">
        <f t="shared" si="225"/>
        <v>1.1278271129397379</v>
      </c>
      <c r="Q530" s="343">
        <f t="shared" si="226"/>
        <v>-14.432724510929765</v>
      </c>
      <c r="R530" s="344">
        <f t="shared" si="227"/>
        <v>-179.61465554519478</v>
      </c>
      <c r="S530" s="346">
        <f t="shared" si="228"/>
        <v>0.38534445480522095</v>
      </c>
      <c r="U530" s="319">
        <f t="shared" si="234"/>
        <v>76299.75</v>
      </c>
      <c r="V530" s="319">
        <f t="shared" si="235"/>
        <v>5821651850.0625</v>
      </c>
      <c r="X530" s="345">
        <f t="shared" si="229"/>
        <v>21.327200227445697</v>
      </c>
      <c r="Y530" s="346">
        <f t="shared" si="230"/>
        <v>-37.793524440033032</v>
      </c>
      <c r="AA530" s="345">
        <f t="shared" si="231"/>
        <v>27.849196550787163</v>
      </c>
      <c r="AB530" s="346">
        <f t="shared" si="232"/>
        <v>-141.82113110516175</v>
      </c>
      <c r="AD530">
        <f t="shared" si="236"/>
        <v>0</v>
      </c>
      <c r="AE530">
        <f t="shared" si="213"/>
        <v>0</v>
      </c>
    </row>
    <row r="531" spans="1:31" x14ac:dyDescent="0.25">
      <c r="A531" s="347">
        <v>76741.5</v>
      </c>
      <c r="B531" s="364">
        <f t="shared" si="233"/>
        <v>76.741500000000002</v>
      </c>
      <c r="C531" s="337">
        <f t="shared" si="214"/>
        <v>33.288248310077215</v>
      </c>
      <c r="D531" s="338">
        <f t="shared" si="215"/>
        <v>1.5407511751730323</v>
      </c>
      <c r="E531" s="338">
        <f t="shared" si="216"/>
        <v>1.0191676228572448</v>
      </c>
      <c r="F531" s="339">
        <f t="shared" si="217"/>
        <v>0.19424924005765745</v>
      </c>
      <c r="G531" s="338">
        <f t="shared" si="218"/>
        <v>1</v>
      </c>
      <c r="H531" s="339">
        <f t="shared" si="219"/>
        <v>0</v>
      </c>
      <c r="I531" s="337">
        <f t="shared" si="220"/>
        <v>172846.09615890266</v>
      </c>
      <c r="J531" s="340">
        <f t="shared" si="221"/>
        <v>1.5707905413011989</v>
      </c>
      <c r="K531" s="348">
        <f t="shared" si="211"/>
        <v>32.417994751250681</v>
      </c>
      <c r="L531" s="349">
        <f t="shared" si="212"/>
        <v>1.5399443673859474</v>
      </c>
      <c r="M531" s="337">
        <f t="shared" si="222"/>
        <v>1.2387975210412123</v>
      </c>
      <c r="N531" s="340">
        <f t="shared" si="223"/>
        <v>0.63134492661392183</v>
      </c>
      <c r="O531" s="341">
        <f t="shared" si="224"/>
        <v>1.2139033389247764</v>
      </c>
      <c r="P531" s="342">
        <f t="shared" si="225"/>
        <v>1.1342215298570208</v>
      </c>
      <c r="Q531" s="343">
        <f t="shared" si="226"/>
        <v>-14.52242629914654</v>
      </c>
      <c r="R531" s="344">
        <f t="shared" si="227"/>
        <v>-180.07574017919933</v>
      </c>
      <c r="S531" s="346">
        <f t="shared" si="228"/>
        <v>-7.574017919932885E-2</v>
      </c>
      <c r="U531" s="319">
        <f t="shared" si="234"/>
        <v>76741.5</v>
      </c>
      <c r="V531" s="319">
        <f t="shared" si="235"/>
        <v>5889257822.25</v>
      </c>
      <c r="X531" s="345">
        <f t="shared" si="229"/>
        <v>21.309749297059177</v>
      </c>
      <c r="Y531" s="346">
        <f t="shared" si="230"/>
        <v>-37.940755334798467</v>
      </c>
      <c r="AA531" s="345">
        <f t="shared" si="231"/>
        <v>27.776945692956907</v>
      </c>
      <c r="AB531" s="346">
        <f t="shared" si="232"/>
        <v>-142.13498484440089</v>
      </c>
      <c r="AD531">
        <f t="shared" si="236"/>
        <v>0</v>
      </c>
      <c r="AE531">
        <f t="shared" si="213"/>
        <v>0</v>
      </c>
    </row>
    <row r="532" spans="1:31" x14ac:dyDescent="0.25">
      <c r="A532" s="347">
        <v>77183.25</v>
      </c>
      <c r="B532" s="364">
        <f t="shared" si="233"/>
        <v>77.183250000000001</v>
      </c>
      <c r="C532" s="337">
        <f t="shared" si="214"/>
        <v>33.479694283689113</v>
      </c>
      <c r="D532" s="338">
        <f t="shared" si="215"/>
        <v>1.5409230327729058</v>
      </c>
      <c r="E532" s="338">
        <f t="shared" si="216"/>
        <v>1.0193868239736261</v>
      </c>
      <c r="F532" s="339">
        <f t="shared" si="217"/>
        <v>0.19533925396942051</v>
      </c>
      <c r="G532" s="338">
        <f t="shared" si="218"/>
        <v>1</v>
      </c>
      <c r="H532" s="339">
        <f t="shared" si="219"/>
        <v>0</v>
      </c>
      <c r="I532" s="337">
        <f t="shared" si="220"/>
        <v>173841.05668190058</v>
      </c>
      <c r="J532" s="340">
        <f t="shared" si="221"/>
        <v>1.5707905744138475</v>
      </c>
      <c r="K532" s="348">
        <f t="shared" si="211"/>
        <v>32.604426622517671</v>
      </c>
      <c r="L532" s="349">
        <f t="shared" si="212"/>
        <v>1.5401208341762747</v>
      </c>
      <c r="M532" s="337">
        <f t="shared" si="222"/>
        <v>1.2412863938521739</v>
      </c>
      <c r="N532" s="340">
        <f t="shared" si="223"/>
        <v>0.63408206534373712</v>
      </c>
      <c r="O532" s="341">
        <f t="shared" si="224"/>
        <v>1.2172902920419792</v>
      </c>
      <c r="P532" s="342">
        <f t="shared" si="225"/>
        <v>1.1406045642306439</v>
      </c>
      <c r="Q532" s="343">
        <f t="shared" si="226"/>
        <v>-14.612050742661038</v>
      </c>
      <c r="R532" s="344">
        <f t="shared" si="227"/>
        <v>-180.53557222028101</v>
      </c>
      <c r="S532" s="346">
        <f t="shared" si="228"/>
        <v>-0.53557222028101137</v>
      </c>
      <c r="U532" s="319">
        <f t="shared" si="234"/>
        <v>77183.25</v>
      </c>
      <c r="V532" s="319">
        <f t="shared" si="235"/>
        <v>5957254080.5625</v>
      </c>
      <c r="X532" s="345">
        <f t="shared" si="229"/>
        <v>21.292268781367806</v>
      </c>
      <c r="Y532" s="346">
        <f t="shared" si="230"/>
        <v>-38.087472927031385</v>
      </c>
      <c r="AA532" s="345">
        <f t="shared" si="231"/>
        <v>27.70480176513378</v>
      </c>
      <c r="AB532" s="346">
        <f t="shared" si="232"/>
        <v>-142.44809929324964</v>
      </c>
      <c r="AD532">
        <f t="shared" si="236"/>
        <v>0</v>
      </c>
      <c r="AE532">
        <f t="shared" si="213"/>
        <v>0</v>
      </c>
    </row>
    <row r="533" spans="1:31" x14ac:dyDescent="0.25">
      <c r="A533" s="347">
        <v>77625</v>
      </c>
      <c r="B533" s="364">
        <f t="shared" si="233"/>
        <v>77.625</v>
      </c>
      <c r="C533" s="337">
        <f t="shared" si="214"/>
        <v>33.671141234880494</v>
      </c>
      <c r="D533" s="338">
        <f t="shared" si="215"/>
        <v>1.5410929360861918</v>
      </c>
      <c r="E533" s="338">
        <f t="shared" si="216"/>
        <v>1.019607235732803</v>
      </c>
      <c r="F533" s="339">
        <f t="shared" si="217"/>
        <v>0.19642879791164722</v>
      </c>
      <c r="G533" s="338">
        <f t="shared" si="218"/>
        <v>1</v>
      </c>
      <c r="H533" s="339">
        <f t="shared" si="219"/>
        <v>0</v>
      </c>
      <c r="I533" s="337">
        <f t="shared" si="220"/>
        <v>174836.01720489873</v>
      </c>
      <c r="J533" s="340">
        <f t="shared" si="221"/>
        <v>1.5707906071496198</v>
      </c>
      <c r="K533" s="348">
        <f t="shared" si="211"/>
        <v>32.79085949755855</v>
      </c>
      <c r="L533" s="349">
        <f t="shared" si="212"/>
        <v>1.5402952943633383</v>
      </c>
      <c r="M533" s="337">
        <f t="shared" si="222"/>
        <v>1.2437845290333949</v>
      </c>
      <c r="N533" s="340">
        <f t="shared" si="223"/>
        <v>0.63680822936990678</v>
      </c>
      <c r="O533" s="341">
        <f t="shared" si="224"/>
        <v>1.2207132998776102</v>
      </c>
      <c r="P533" s="342">
        <f t="shared" si="225"/>
        <v>1.1469760053421485</v>
      </c>
      <c r="Q533" s="343">
        <f t="shared" si="226"/>
        <v>-14.701599771574191</v>
      </c>
      <c r="R533" s="344">
        <f t="shared" si="227"/>
        <v>-180.99414111537297</v>
      </c>
      <c r="S533" s="346">
        <f t="shared" si="228"/>
        <v>-0.9941411153729689</v>
      </c>
      <c r="U533" s="319">
        <f t="shared" si="234"/>
        <v>77625</v>
      </c>
      <c r="V533" s="319">
        <f t="shared" si="235"/>
        <v>6025640625</v>
      </c>
      <c r="X533" s="345">
        <f t="shared" si="229"/>
        <v>21.274759304947569</v>
      </c>
      <c r="Y533" s="346">
        <f t="shared" si="230"/>
        <v>-38.233676663368136</v>
      </c>
      <c r="AA533" s="345">
        <f t="shared" si="231"/>
        <v>27.63276221264087</v>
      </c>
      <c r="AB533" s="346">
        <f t="shared" si="232"/>
        <v>-142.76046445200484</v>
      </c>
      <c r="AD533">
        <f t="shared" si="236"/>
        <v>0</v>
      </c>
      <c r="AE533">
        <f t="shared" si="213"/>
        <v>0</v>
      </c>
    </row>
    <row r="534" spans="1:31" x14ac:dyDescent="0.25">
      <c r="A534" s="347">
        <v>78077</v>
      </c>
      <c r="B534" s="364">
        <f t="shared" si="233"/>
        <v>78.076999999999998</v>
      </c>
      <c r="C534" s="337">
        <f t="shared" si="214"/>
        <v>33.867031356650131</v>
      </c>
      <c r="D534" s="338">
        <f t="shared" si="215"/>
        <v>1.5412647934234445</v>
      </c>
      <c r="E534" s="338">
        <f t="shared" si="216"/>
        <v>1.0198340140293498</v>
      </c>
      <c r="F534" s="339">
        <f t="shared" si="217"/>
        <v>0.19754313389362346</v>
      </c>
      <c r="G534" s="338">
        <f t="shared" si="218"/>
        <v>1</v>
      </c>
      <c r="H534" s="339">
        <f t="shared" si="219"/>
        <v>0</v>
      </c>
      <c r="I534" s="337">
        <f t="shared" si="220"/>
        <v>175854.0639652728</v>
      </c>
      <c r="J534" s="340">
        <f t="shared" si="221"/>
        <v>1.5707906402615437</v>
      </c>
      <c r="K534" s="348">
        <f t="shared" si="211"/>
        <v>32.981619227370956</v>
      </c>
      <c r="L534" s="349">
        <f t="shared" si="212"/>
        <v>1.5404717610795597</v>
      </c>
      <c r="M534" s="337">
        <f t="shared" si="222"/>
        <v>1.2463501580101155</v>
      </c>
      <c r="N534" s="340">
        <f t="shared" si="223"/>
        <v>0.63958631611181604</v>
      </c>
      <c r="O534" s="341">
        <f t="shared" si="224"/>
        <v>1.2242532021461121</v>
      </c>
      <c r="P534" s="342">
        <f t="shared" si="225"/>
        <v>1.1534830659061388</v>
      </c>
      <c r="Q534" s="343">
        <f t="shared" si="226"/>
        <v>-14.7931504914862</v>
      </c>
      <c r="R534" s="344">
        <f t="shared" si="227"/>
        <v>-181.46203191917854</v>
      </c>
      <c r="S534" s="346">
        <f t="shared" si="228"/>
        <v>-1.4620319191785427</v>
      </c>
      <c r="U534" s="319">
        <f t="shared" si="234"/>
        <v>78077</v>
      </c>
      <c r="V534" s="319">
        <f t="shared" si="235"/>
        <v>6096017929</v>
      </c>
      <c r="X534" s="345">
        <f t="shared" si="229"/>
        <v>21.256814222777038</v>
      </c>
      <c r="Y534" s="346">
        <f t="shared" si="230"/>
        <v>-38.382740408080593</v>
      </c>
      <c r="AA534" s="345">
        <f t="shared" si="231"/>
        <v>27.559156574899394</v>
      </c>
      <c r="AB534" s="346">
        <f t="shared" si="232"/>
        <v>-143.07929151109795</v>
      </c>
      <c r="AD534">
        <f t="shared" si="236"/>
        <v>0</v>
      </c>
      <c r="AE534">
        <f t="shared" si="213"/>
        <v>0</v>
      </c>
    </row>
    <row r="535" spans="1:31" x14ac:dyDescent="0.25">
      <c r="A535" s="347">
        <v>78529</v>
      </c>
      <c r="B535" s="364">
        <f t="shared" si="233"/>
        <v>78.528999999999996</v>
      </c>
      <c r="C535" s="337">
        <f t="shared" si="214"/>
        <v>34.06292246717598</v>
      </c>
      <c r="D535" s="338">
        <f t="shared" si="215"/>
        <v>1.5414346741105702</v>
      </c>
      <c r="E535" s="338">
        <f t="shared" si="216"/>
        <v>1.0200620581353659</v>
      </c>
      <c r="F535" s="339">
        <f t="shared" si="217"/>
        <v>0.19865697301839957</v>
      </c>
      <c r="G535" s="338">
        <f t="shared" si="218"/>
        <v>1</v>
      </c>
      <c r="H535" s="339">
        <f t="shared" si="219"/>
        <v>0</v>
      </c>
      <c r="I535" s="337">
        <f t="shared" si="220"/>
        <v>176872.11072564704</v>
      </c>
      <c r="J535" s="340">
        <f t="shared" si="221"/>
        <v>1.5707906729922938</v>
      </c>
      <c r="K535" s="348">
        <f t="shared" ref="K535:K598" si="237">SQRT(1+(A535/Zero2)^2)</f>
        <v>33.172379972435131</v>
      </c>
      <c r="L535" s="349">
        <f t="shared" ref="L535:L598" si="238">ATAN(A535/Zero2)</f>
        <v>1.5406461982258162</v>
      </c>
      <c r="M535" s="337">
        <f t="shared" si="222"/>
        <v>1.2489253664622482</v>
      </c>
      <c r="N535" s="340">
        <f t="shared" si="223"/>
        <v>0.64235296763973948</v>
      </c>
      <c r="O535" s="341">
        <f t="shared" si="224"/>
        <v>1.2278311548889154</v>
      </c>
      <c r="P535" s="342">
        <f t="shared" si="225"/>
        <v>1.159977547302147</v>
      </c>
      <c r="Q535" s="343">
        <f t="shared" si="226"/>
        <v>-14.884626090350903</v>
      </c>
      <c r="R535" s="344">
        <f t="shared" si="227"/>
        <v>-181.92857827831253</v>
      </c>
      <c r="S535" s="346">
        <f t="shared" si="228"/>
        <v>-1.9285782783125285</v>
      </c>
      <c r="U535" s="319">
        <f t="shared" si="234"/>
        <v>78529</v>
      </c>
      <c r="V535" s="319">
        <f t="shared" si="235"/>
        <v>6166803841</v>
      </c>
      <c r="X535" s="345">
        <f t="shared" si="229"/>
        <v>21.238840126795413</v>
      </c>
      <c r="Y535" s="346">
        <f t="shared" si="230"/>
        <v>-38.531265227246777</v>
      </c>
      <c r="AA535" s="345">
        <f t="shared" si="231"/>
        <v>27.485655072016311</v>
      </c>
      <c r="AB535" s="346">
        <f t="shared" si="232"/>
        <v>-143.39731305106568</v>
      </c>
      <c r="AD535">
        <f t="shared" si="236"/>
        <v>0</v>
      </c>
      <c r="AE535">
        <f t="shared" si="213"/>
        <v>0</v>
      </c>
    </row>
    <row r="536" spans="1:31" x14ac:dyDescent="0.25">
      <c r="A536" s="347">
        <v>78981</v>
      </c>
      <c r="B536" s="364">
        <f t="shared" si="233"/>
        <v>78.980999999999995</v>
      </c>
      <c r="C536" s="337">
        <f t="shared" si="214"/>
        <v>34.258814549496975</v>
      </c>
      <c r="D536" s="338">
        <f t="shared" si="215"/>
        <v>1.5416026120451662</v>
      </c>
      <c r="E536" s="338">
        <f t="shared" si="216"/>
        <v>1.020291367202093</v>
      </c>
      <c r="F536" s="339">
        <f t="shared" si="217"/>
        <v>0.19977031285632041</v>
      </c>
      <c r="G536" s="338">
        <f t="shared" si="218"/>
        <v>1</v>
      </c>
      <c r="H536" s="339">
        <f t="shared" si="219"/>
        <v>0</v>
      </c>
      <c r="I536" s="337">
        <f t="shared" si="220"/>
        <v>177890.15748602149</v>
      </c>
      <c r="J536" s="340">
        <f t="shared" si="221"/>
        <v>1.5707907053484145</v>
      </c>
      <c r="K536" s="348">
        <f t="shared" si="237"/>
        <v>33.363141715336326</v>
      </c>
      <c r="L536" s="349">
        <f t="shared" si="238"/>
        <v>1.540818640605055</v>
      </c>
      <c r="M536" s="337">
        <f t="shared" si="222"/>
        <v>1.2515100952552825</v>
      </c>
      <c r="N536" s="340">
        <f t="shared" si="223"/>
        <v>0.6451082123204338</v>
      </c>
      <c r="O536" s="341">
        <f t="shared" si="224"/>
        <v>1.2314473077102257</v>
      </c>
      <c r="P536" s="342">
        <f t="shared" si="225"/>
        <v>1.1664592286930744</v>
      </c>
      <c r="Q536" s="343">
        <f t="shared" si="226"/>
        <v>-14.976028381255313</v>
      </c>
      <c r="R536" s="344">
        <f t="shared" si="227"/>
        <v>-182.39376925274777</v>
      </c>
      <c r="S536" s="346">
        <f t="shared" si="228"/>
        <v>-2.3937692527477736</v>
      </c>
      <c r="U536" s="319">
        <f t="shared" si="234"/>
        <v>78981</v>
      </c>
      <c r="V536" s="319">
        <f t="shared" si="235"/>
        <v>6237998361</v>
      </c>
      <c r="X536" s="345">
        <f t="shared" si="229"/>
        <v>21.220837669316278</v>
      </c>
      <c r="Y536" s="346">
        <f t="shared" si="230"/>
        <v>-38.679250752475099</v>
      </c>
      <c r="AA536" s="345">
        <f t="shared" si="231"/>
        <v>27.412255238591037</v>
      </c>
      <c r="AB536" s="346">
        <f t="shared" si="232"/>
        <v>-143.71451850027265</v>
      </c>
      <c r="AD536">
        <f t="shared" si="236"/>
        <v>0</v>
      </c>
      <c r="AE536">
        <f t="shared" si="213"/>
        <v>0</v>
      </c>
    </row>
    <row r="537" spans="1:31" x14ac:dyDescent="0.25">
      <c r="A537" s="347">
        <v>79433</v>
      </c>
      <c r="B537" s="364">
        <f t="shared" si="233"/>
        <v>79.433000000000007</v>
      </c>
      <c r="C537" s="337">
        <f t="shared" si="214"/>
        <v>34.454707587037717</v>
      </c>
      <c r="D537" s="338">
        <f t="shared" si="215"/>
        <v>1.5417686403543713</v>
      </c>
      <c r="E537" s="338">
        <f t="shared" si="216"/>
        <v>1.0205219403768291</v>
      </c>
      <c r="F537" s="339">
        <f t="shared" si="217"/>
        <v>0.20088315098485965</v>
      </c>
      <c r="G537" s="338">
        <f t="shared" si="218"/>
        <v>1</v>
      </c>
      <c r="H537" s="339">
        <f t="shared" si="219"/>
        <v>0</v>
      </c>
      <c r="I537" s="337">
        <f t="shared" si="220"/>
        <v>178908.20424639608</v>
      </c>
      <c r="J537" s="340">
        <f t="shared" si="221"/>
        <v>1.5707907373363013</v>
      </c>
      <c r="K537" s="348">
        <f t="shared" si="237"/>
        <v>33.553904439055756</v>
      </c>
      <c r="L537" s="349">
        <f t="shared" si="238"/>
        <v>1.5409891222292491</v>
      </c>
      <c r="M537" s="337">
        <f t="shared" si="222"/>
        <v>1.2541042855244999</v>
      </c>
      <c r="N537" s="340">
        <f t="shared" si="223"/>
        <v>0.64785207897997998</v>
      </c>
      <c r="O537" s="341">
        <f t="shared" si="224"/>
        <v>1.2351018076968785</v>
      </c>
      <c r="P537" s="342">
        <f t="shared" si="225"/>
        <v>1.1729278910404428</v>
      </c>
      <c r="Q537" s="343">
        <f t="shared" si="226"/>
        <v>-15.067359094973</v>
      </c>
      <c r="R537" s="344">
        <f t="shared" si="227"/>
        <v>-182.85759403258646</v>
      </c>
      <c r="S537" s="346">
        <f t="shared" si="228"/>
        <v>-2.8575940325864622</v>
      </c>
      <c r="U537" s="319">
        <f t="shared" si="234"/>
        <v>79433</v>
      </c>
      <c r="V537" s="319">
        <f t="shared" si="235"/>
        <v>6309601489</v>
      </c>
      <c r="X537" s="345">
        <f t="shared" si="229"/>
        <v>21.202807496977869</v>
      </c>
      <c r="Y537" s="346">
        <f t="shared" si="230"/>
        <v>-38.826696687002297</v>
      </c>
      <c r="AA537" s="345">
        <f t="shared" si="231"/>
        <v>27.338954697211765</v>
      </c>
      <c r="AB537" s="346">
        <f t="shared" si="232"/>
        <v>-144.03089734558421</v>
      </c>
      <c r="AD537">
        <f t="shared" si="236"/>
        <v>0</v>
      </c>
      <c r="AE537">
        <f t="shared" si="213"/>
        <v>0</v>
      </c>
    </row>
    <row r="538" spans="1:31" x14ac:dyDescent="0.25">
      <c r="A538" s="347">
        <v>79895.5</v>
      </c>
      <c r="B538" s="364">
        <f t="shared" si="233"/>
        <v>79.895499999999998</v>
      </c>
      <c r="C538" s="337">
        <f t="shared" si="214"/>
        <v>34.65515220904124</v>
      </c>
      <c r="D538" s="338">
        <f t="shared" si="215"/>
        <v>1.5419365826045961</v>
      </c>
      <c r="E538" s="338">
        <f t="shared" si="216"/>
        <v>1.0207591773903189</v>
      </c>
      <c r="F538" s="339">
        <f t="shared" si="217"/>
        <v>0.20202131859521907</v>
      </c>
      <c r="G538" s="338">
        <f t="shared" si="218"/>
        <v>1</v>
      </c>
      <c r="H538" s="339">
        <f t="shared" si="219"/>
        <v>0</v>
      </c>
      <c r="I538" s="337">
        <f t="shared" si="220"/>
        <v>179949.90032310702</v>
      </c>
      <c r="J538" s="340">
        <f t="shared" si="221"/>
        <v>1.5707907696926242</v>
      </c>
      <c r="K538" s="348">
        <f t="shared" si="237"/>
        <v>33.749099595639244</v>
      </c>
      <c r="L538" s="349">
        <f t="shared" si="238"/>
        <v>1.5411615692223746</v>
      </c>
      <c r="M538" s="337">
        <f t="shared" si="222"/>
        <v>1.2567684716599596</v>
      </c>
      <c r="N538" s="340">
        <f t="shared" si="223"/>
        <v>0.65064793888408479</v>
      </c>
      <c r="O538" s="341">
        <f t="shared" si="224"/>
        <v>1.2388810465461735</v>
      </c>
      <c r="P538" s="342">
        <f t="shared" si="225"/>
        <v>1.1795331182580577</v>
      </c>
      <c r="Q538" s="343">
        <f t="shared" si="226"/>
        <v>-15.160739059513224</v>
      </c>
      <c r="R538" s="344">
        <f t="shared" si="227"/>
        <v>-183.33076819870911</v>
      </c>
      <c r="S538" s="346">
        <f t="shared" si="228"/>
        <v>-3.3307681987091087</v>
      </c>
      <c r="U538" s="319">
        <f t="shared" si="234"/>
        <v>79895.5</v>
      </c>
      <c r="V538" s="319">
        <f t="shared" si="235"/>
        <v>6383290920.25</v>
      </c>
      <c r="X538" s="345">
        <f t="shared" si="229"/>
        <v>21.1843304626383</v>
      </c>
      <c r="Y538" s="346">
        <f t="shared" si="230"/>
        <v>-38.977009028774042</v>
      </c>
      <c r="AA538" s="345">
        <f t="shared" si="231"/>
        <v>27.2640517670111</v>
      </c>
      <c r="AB538" s="346">
        <f t="shared" si="232"/>
        <v>-144.35375916993513</v>
      </c>
      <c r="AD538">
        <f t="shared" si="236"/>
        <v>0</v>
      </c>
      <c r="AE538">
        <f t="shared" ref="AE538:AE601" si="239">IF(AD538&gt;0,S538,0)</f>
        <v>0</v>
      </c>
    </row>
    <row r="539" spans="1:31" x14ac:dyDescent="0.25">
      <c r="A539" s="347">
        <v>80358</v>
      </c>
      <c r="B539" s="364">
        <f t="shared" si="233"/>
        <v>80.358000000000004</v>
      </c>
      <c r="C539" s="337">
        <f t="shared" si="214"/>
        <v>34.85559779723755</v>
      </c>
      <c r="D539" s="338">
        <f t="shared" si="215"/>
        <v>1.542102593273988</v>
      </c>
      <c r="E539" s="338">
        <f t="shared" si="216"/>
        <v>1.0209977361057847</v>
      </c>
      <c r="F539" s="339">
        <f t="shared" si="217"/>
        <v>0.20315895580722171</v>
      </c>
      <c r="G539" s="338">
        <f t="shared" si="218"/>
        <v>1</v>
      </c>
      <c r="H539" s="339">
        <f t="shared" si="219"/>
        <v>0</v>
      </c>
      <c r="I539" s="337">
        <f t="shared" si="220"/>
        <v>180991.59639981817</v>
      </c>
      <c r="J539" s="340">
        <f t="shared" si="221"/>
        <v>1.570790801676494</v>
      </c>
      <c r="K539" s="348">
        <f t="shared" si="237"/>
        <v>33.944295744309613</v>
      </c>
      <c r="L539" s="349">
        <f t="shared" si="238"/>
        <v>1.5413320329129772</v>
      </c>
      <c r="M539" s="337">
        <f t="shared" si="222"/>
        <v>1.2594424401369342</v>
      </c>
      <c r="N539" s="340">
        <f t="shared" si="223"/>
        <v>0.65343194848792308</v>
      </c>
      <c r="O539" s="341">
        <f t="shared" si="224"/>
        <v>1.2427007383403057</v>
      </c>
      <c r="P539" s="342">
        <f t="shared" si="225"/>
        <v>1.1861242566237882</v>
      </c>
      <c r="Q539" s="343">
        <f t="shared" si="226"/>
        <v>-15.254047492571974</v>
      </c>
      <c r="R539" s="344">
        <f t="shared" si="227"/>
        <v>-183.80248949256961</v>
      </c>
      <c r="S539" s="346">
        <f t="shared" si="228"/>
        <v>-3.802489492569606</v>
      </c>
      <c r="U539" s="319">
        <f t="shared" si="234"/>
        <v>80358</v>
      </c>
      <c r="V539" s="319">
        <f t="shared" si="235"/>
        <v>6457408164</v>
      </c>
      <c r="X539" s="345">
        <f t="shared" si="229"/>
        <v>21.165825762397791</v>
      </c>
      <c r="Y539" s="346">
        <f t="shared" si="230"/>
        <v>-39.126756011877973</v>
      </c>
      <c r="AA539" s="345">
        <f t="shared" si="231"/>
        <v>27.189248034192861</v>
      </c>
      <c r="AB539" s="346">
        <f t="shared" si="232"/>
        <v>-144.67573348069166</v>
      </c>
      <c r="AD539">
        <f t="shared" si="236"/>
        <v>0</v>
      </c>
      <c r="AE539">
        <f t="shared" si="239"/>
        <v>0</v>
      </c>
    </row>
    <row r="540" spans="1:31" x14ac:dyDescent="0.25">
      <c r="A540" s="347">
        <v>80820.5</v>
      </c>
      <c r="B540" s="364">
        <f t="shared" si="233"/>
        <v>80.820499999999996</v>
      </c>
      <c r="C540" s="337">
        <f t="shared" si="214"/>
        <v>35.05604433505296</v>
      </c>
      <c r="D540" s="338">
        <f t="shared" si="215"/>
        <v>1.5422667054870067</v>
      </c>
      <c r="E540" s="338">
        <f t="shared" si="216"/>
        <v>1.0212376155969871</v>
      </c>
      <c r="F540" s="339">
        <f t="shared" si="217"/>
        <v>0.20429606004890097</v>
      </c>
      <c r="G540" s="338">
        <f t="shared" si="218"/>
        <v>1</v>
      </c>
      <c r="H540" s="339">
        <f t="shared" si="219"/>
        <v>0</v>
      </c>
      <c r="I540" s="337">
        <f t="shared" si="220"/>
        <v>182033.29247652949</v>
      </c>
      <c r="J540" s="340">
        <f t="shared" si="221"/>
        <v>1.5707908332943046</v>
      </c>
      <c r="K540" s="348">
        <f t="shared" si="237"/>
        <v>34.139492868049793</v>
      </c>
      <c r="L540" s="349">
        <f t="shared" si="238"/>
        <v>1.5415005473104577</v>
      </c>
      <c r="M540" s="337">
        <f t="shared" si="222"/>
        <v>1.2621261287801662</v>
      </c>
      <c r="N540" s="340">
        <f t="shared" si="223"/>
        <v>0.65620414009130335</v>
      </c>
      <c r="O540" s="341">
        <f t="shared" si="224"/>
        <v>1.2465610324198904</v>
      </c>
      <c r="P540" s="342">
        <f t="shared" si="225"/>
        <v>1.1927010777952043</v>
      </c>
      <c r="Q540" s="343">
        <f t="shared" si="226"/>
        <v>-15.347285991952075</v>
      </c>
      <c r="R540" s="344">
        <f t="shared" si="227"/>
        <v>-184.2727467787789</v>
      </c>
      <c r="S540" s="346">
        <f t="shared" si="228"/>
        <v>-4.2727467787788953</v>
      </c>
      <c r="U540" s="319">
        <f t="shared" si="234"/>
        <v>80820.5</v>
      </c>
      <c r="V540" s="319">
        <f t="shared" si="235"/>
        <v>6531953220.25</v>
      </c>
      <c r="X540" s="345">
        <f t="shared" si="229"/>
        <v>21.147294070506312</v>
      </c>
      <c r="Y540" s="346">
        <f t="shared" si="230"/>
        <v>-39.275937538728023</v>
      </c>
      <c r="AA540" s="345">
        <f t="shared" si="231"/>
        <v>27.11454122670424</v>
      </c>
      <c r="AB540" s="346">
        <f t="shared" si="232"/>
        <v>-144.99680924005082</v>
      </c>
      <c r="AD540">
        <f t="shared" si="236"/>
        <v>0</v>
      </c>
      <c r="AE540">
        <f t="shared" si="239"/>
        <v>0</v>
      </c>
    </row>
    <row r="541" spans="1:31" x14ac:dyDescent="0.25">
      <c r="A541" s="347">
        <v>81283</v>
      </c>
      <c r="B541" s="364">
        <f t="shared" si="233"/>
        <v>81.283000000000001</v>
      </c>
      <c r="C541" s="337">
        <f t="shared" si="214"/>
        <v>35.256491806290633</v>
      </c>
      <c r="D541" s="338">
        <f t="shared" si="215"/>
        <v>1.5424289516152219</v>
      </c>
      <c r="E541" s="338">
        <f t="shared" si="216"/>
        <v>1.0214788149334313</v>
      </c>
      <c r="F541" s="339">
        <f t="shared" si="217"/>
        <v>0.20543262875621274</v>
      </c>
      <c r="G541" s="338">
        <f t="shared" si="218"/>
        <v>1</v>
      </c>
      <c r="H541" s="339">
        <f t="shared" si="219"/>
        <v>0</v>
      </c>
      <c r="I541" s="337">
        <f t="shared" si="220"/>
        <v>183074.98855324098</v>
      </c>
      <c r="J541" s="340">
        <f t="shared" si="221"/>
        <v>1.5707908645523045</v>
      </c>
      <c r="K541" s="348">
        <f t="shared" si="237"/>
        <v>34.334690950229572</v>
      </c>
      <c r="L541" s="349">
        <f t="shared" si="238"/>
        <v>1.5416671456512709</v>
      </c>
      <c r="M541" s="337">
        <f t="shared" si="222"/>
        <v>1.2648194757170337</v>
      </c>
      <c r="N541" s="340">
        <f t="shared" si="223"/>
        <v>0.65896454644697511</v>
      </c>
      <c r="O541" s="341">
        <f t="shared" si="224"/>
        <v>1.2504620753351345</v>
      </c>
      <c r="P541" s="342">
        <f t="shared" si="225"/>
        <v>1.1992633557131831</v>
      </c>
      <c r="Q541" s="343">
        <f t="shared" si="226"/>
        <v>-15.440456072714277</v>
      </c>
      <c r="R541" s="344">
        <f t="shared" si="227"/>
        <v>-184.7415290794101</v>
      </c>
      <c r="S541" s="346">
        <f t="shared" si="228"/>
        <v>-4.7415290794100997</v>
      </c>
      <c r="U541" s="319">
        <f t="shared" si="234"/>
        <v>81283</v>
      </c>
      <c r="V541" s="319">
        <f t="shared" si="235"/>
        <v>6606926089</v>
      </c>
      <c r="X541" s="345">
        <f t="shared" si="229"/>
        <v>21.128736054962221</v>
      </c>
      <c r="Y541" s="346">
        <f t="shared" si="230"/>
        <v>-39.42455358196792</v>
      </c>
      <c r="AA541" s="345">
        <f t="shared" si="231"/>
        <v>27.039929161486125</v>
      </c>
      <c r="AB541" s="346">
        <f t="shared" si="232"/>
        <v>-145.3169754974422</v>
      </c>
      <c r="AD541">
        <f t="shared" si="236"/>
        <v>0</v>
      </c>
      <c r="AE541">
        <f t="shared" si="239"/>
        <v>0</v>
      </c>
    </row>
    <row r="542" spans="1:31" x14ac:dyDescent="0.25">
      <c r="A542" s="347">
        <v>81756.25</v>
      </c>
      <c r="B542" s="364">
        <f t="shared" si="233"/>
        <v>81.756249999999994</v>
      </c>
      <c r="C542" s="337">
        <f t="shared" si="214"/>
        <v>35.461599276566176</v>
      </c>
      <c r="D542" s="338">
        <f t="shared" si="215"/>
        <v>1.5425930702210178</v>
      </c>
      <c r="E542" s="338">
        <f t="shared" si="216"/>
        <v>1.0217269857676143</v>
      </c>
      <c r="F542" s="339">
        <f t="shared" si="217"/>
        <v>0.2065950579897344</v>
      </c>
      <c r="G542" s="338">
        <f t="shared" si="218"/>
        <v>1</v>
      </c>
      <c r="H542" s="339">
        <f t="shared" si="219"/>
        <v>0</v>
      </c>
      <c r="I542" s="337">
        <f t="shared" si="220"/>
        <v>184140.89702524923</v>
      </c>
      <c r="J542" s="340">
        <f t="shared" si="221"/>
        <v>1.5707908961707595</v>
      </c>
      <c r="K542" s="348">
        <f t="shared" si="237"/>
        <v>34.534427044075002</v>
      </c>
      <c r="L542" s="349">
        <f t="shared" si="238"/>
        <v>1.5418356667833368</v>
      </c>
      <c r="M542" s="337">
        <f t="shared" si="222"/>
        <v>1.2675853581859755</v>
      </c>
      <c r="N542" s="340">
        <f t="shared" si="223"/>
        <v>0.66177694890511063</v>
      </c>
      <c r="O542" s="341">
        <f t="shared" si="224"/>
        <v>1.2544961216273187</v>
      </c>
      <c r="P542" s="342">
        <f t="shared" si="225"/>
        <v>1.2059628746815505</v>
      </c>
      <c r="Q542" s="343">
        <f t="shared" si="226"/>
        <v>-15.535722401380848</v>
      </c>
      <c r="R542" s="344">
        <f t="shared" si="227"/>
        <v>-185.21966930912129</v>
      </c>
      <c r="S542" s="346">
        <f t="shared" si="228"/>
        <v>-5.2196693091212865</v>
      </c>
      <c r="U542" s="319">
        <f t="shared" si="234"/>
        <v>81756.25</v>
      </c>
      <c r="V542" s="319">
        <f t="shared" si="235"/>
        <v>6684084414.0625</v>
      </c>
      <c r="X542" s="345">
        <f t="shared" si="229"/>
        <v>21.109720132678873</v>
      </c>
      <c r="Y542" s="346">
        <f t="shared" si="230"/>
        <v>-39.576038635262272</v>
      </c>
      <c r="AA542" s="345">
        <f t="shared" si="231"/>
        <v>26.963678755102904</v>
      </c>
      <c r="AB542" s="346">
        <f t="shared" si="232"/>
        <v>-145.64363067385901</v>
      </c>
      <c r="AD542">
        <f t="shared" si="236"/>
        <v>0</v>
      </c>
      <c r="AE542">
        <f t="shared" si="239"/>
        <v>0</v>
      </c>
    </row>
    <row r="543" spans="1:31" x14ac:dyDescent="0.25">
      <c r="A543" s="347">
        <v>82229.5</v>
      </c>
      <c r="B543" s="364">
        <f t="shared" si="233"/>
        <v>82.229500000000002</v>
      </c>
      <c r="C543" s="337">
        <f t="shared" si="214"/>
        <v>35.666707691011368</v>
      </c>
      <c r="D543" s="338">
        <f t="shared" si="215"/>
        <v>1.5427553012385269</v>
      </c>
      <c r="E543" s="338">
        <f t="shared" si="216"/>
        <v>1.0219765365303284</v>
      </c>
      <c r="F543" s="339">
        <f t="shared" si="217"/>
        <v>0.20775692109832644</v>
      </c>
      <c r="G543" s="338">
        <f t="shared" si="218"/>
        <v>1</v>
      </c>
      <c r="H543" s="339">
        <f t="shared" si="219"/>
        <v>0</v>
      </c>
      <c r="I543" s="337">
        <f t="shared" si="220"/>
        <v>185206.80549725759</v>
      </c>
      <c r="J543" s="340">
        <f t="shared" si="221"/>
        <v>1.5707909274252714</v>
      </c>
      <c r="K543" s="348">
        <f t="shared" si="237"/>
        <v>34.734164107396936</v>
      </c>
      <c r="L543" s="349">
        <f t="shared" si="238"/>
        <v>1.5420022497755039</v>
      </c>
      <c r="M543" s="337">
        <f t="shared" si="222"/>
        <v>1.2703612230530563</v>
      </c>
      <c r="N543" s="340">
        <f t="shared" si="223"/>
        <v>0.66457708267590665</v>
      </c>
      <c r="O543" s="341">
        <f t="shared" si="224"/>
        <v>1.2585731345250795</v>
      </c>
      <c r="P543" s="342">
        <f t="shared" si="225"/>
        <v>1.2126466952309263</v>
      </c>
      <c r="Q543" s="343">
        <f t="shared" si="226"/>
        <v>-15.630920045980684</v>
      </c>
      <c r="R543" s="344">
        <f t="shared" si="227"/>
        <v>-185.69624245378347</v>
      </c>
      <c r="S543" s="346">
        <f t="shared" si="228"/>
        <v>-5.6962424537834693</v>
      </c>
      <c r="U543" s="319">
        <f t="shared" si="234"/>
        <v>82229.5</v>
      </c>
      <c r="V543" s="319">
        <f t="shared" si="235"/>
        <v>6761690670.25</v>
      </c>
      <c r="X543" s="345">
        <f t="shared" si="229"/>
        <v>21.090678043855714</v>
      </c>
      <c r="Y543" s="346">
        <f t="shared" si="230"/>
        <v>-39.726931770935131</v>
      </c>
      <c r="AA543" s="345">
        <f t="shared" si="231"/>
        <v>26.887523199326232</v>
      </c>
      <c r="AB543" s="346">
        <f t="shared" si="232"/>
        <v>-145.96931068284832</v>
      </c>
      <c r="AD543">
        <f t="shared" si="236"/>
        <v>0</v>
      </c>
      <c r="AE543">
        <f t="shared" si="239"/>
        <v>0</v>
      </c>
    </row>
    <row r="544" spans="1:31" x14ac:dyDescent="0.25">
      <c r="A544" s="347">
        <v>82702.75</v>
      </c>
      <c r="B544" s="364">
        <f t="shared" si="233"/>
        <v>82.702749999999995</v>
      </c>
      <c r="C544" s="337">
        <f t="shared" si="214"/>
        <v>35.871817033430439</v>
      </c>
      <c r="D544" s="338">
        <f t="shared" si="215"/>
        <v>1.542915677037924</v>
      </c>
      <c r="E544" s="338">
        <f t="shared" si="216"/>
        <v>1.0222274662109501</v>
      </c>
      <c r="F544" s="339">
        <f t="shared" si="217"/>
        <v>0.20891821536089905</v>
      </c>
      <c r="G544" s="338">
        <f t="shared" si="218"/>
        <v>1</v>
      </c>
      <c r="H544" s="339">
        <f t="shared" si="219"/>
        <v>0</v>
      </c>
      <c r="I544" s="337">
        <f t="shared" si="220"/>
        <v>186272.71396926619</v>
      </c>
      <c r="J544" s="340">
        <f t="shared" si="221"/>
        <v>1.5707909583220876</v>
      </c>
      <c r="K544" s="348">
        <f t="shared" si="237"/>
        <v>34.933902123566213</v>
      </c>
      <c r="L544" s="349">
        <f t="shared" si="238"/>
        <v>1.5421669278629628</v>
      </c>
      <c r="M544" s="337">
        <f t="shared" si="222"/>
        <v>1.2731470050238818</v>
      </c>
      <c r="N544" s="340">
        <f t="shared" si="223"/>
        <v>0.66736498424138269</v>
      </c>
      <c r="O544" s="341">
        <f t="shared" si="224"/>
        <v>1.2626932619396258</v>
      </c>
      <c r="P544" s="342">
        <f t="shared" si="225"/>
        <v>1.2193145830708474</v>
      </c>
      <c r="Q544" s="343">
        <f t="shared" si="226"/>
        <v>-15.726050372584627</v>
      </c>
      <c r="R544" s="344">
        <f t="shared" si="227"/>
        <v>-186.1712372865108</v>
      </c>
      <c r="S544" s="346">
        <f t="shared" si="228"/>
        <v>-6.1712372865108023</v>
      </c>
      <c r="U544" s="319">
        <f t="shared" si="234"/>
        <v>82702.75</v>
      </c>
      <c r="V544" s="319">
        <f t="shared" si="235"/>
        <v>6839744857.5625</v>
      </c>
      <c r="X544" s="345">
        <f t="shared" si="229"/>
        <v>21.071610483827786</v>
      </c>
      <c r="Y544" s="346">
        <f t="shared" si="230"/>
        <v>-39.877233175374066</v>
      </c>
      <c r="AA544" s="345">
        <f t="shared" si="231"/>
        <v>26.811460432750209</v>
      </c>
      <c r="AB544" s="346">
        <f t="shared" si="232"/>
        <v>-146.29400411113676</v>
      </c>
      <c r="AD544">
        <f t="shared" si="236"/>
        <v>0</v>
      </c>
      <c r="AE544">
        <f t="shared" si="239"/>
        <v>0</v>
      </c>
    </row>
    <row r="545" spans="1:31" x14ac:dyDescent="0.25">
      <c r="A545" s="347">
        <v>83176</v>
      </c>
      <c r="B545" s="364">
        <f t="shared" si="233"/>
        <v>83.176000000000002</v>
      </c>
      <c r="C545" s="337">
        <f t="shared" si="214"/>
        <v>36.076927287995872</v>
      </c>
      <c r="D545" s="338">
        <f t="shared" si="215"/>
        <v>1.5430742292536268</v>
      </c>
      <c r="E545" s="338">
        <f t="shared" si="216"/>
        <v>1.0224797737942672</v>
      </c>
      <c r="F545" s="339">
        <f t="shared" si="217"/>
        <v>0.21007893806516326</v>
      </c>
      <c r="G545" s="338">
        <f t="shared" si="218"/>
        <v>1</v>
      </c>
      <c r="H545" s="339">
        <f t="shared" si="219"/>
        <v>0</v>
      </c>
      <c r="I545" s="337">
        <f t="shared" si="220"/>
        <v>187338.62244127493</v>
      </c>
      <c r="J545" s="340">
        <f t="shared" si="221"/>
        <v>1.5707909888673142</v>
      </c>
      <c r="K545" s="348">
        <f t="shared" si="237"/>
        <v>35.133641076331763</v>
      </c>
      <c r="L545" s="349">
        <f t="shared" si="238"/>
        <v>1.5423297335255375</v>
      </c>
      <c r="M545" s="337">
        <f t="shared" si="222"/>
        <v>1.2759426391420334</v>
      </c>
      <c r="N545" s="340">
        <f t="shared" si="223"/>
        <v>0.67014069052611114</v>
      </c>
      <c r="O545" s="341">
        <f t="shared" si="224"/>
        <v>1.2668566487113668</v>
      </c>
      <c r="P545" s="342">
        <f t="shared" si="225"/>
        <v>1.2259663067284254</v>
      </c>
      <c r="Q545" s="343">
        <f t="shared" si="226"/>
        <v>-15.821114664524483</v>
      </c>
      <c r="R545" s="344">
        <f t="shared" si="227"/>
        <v>-186.64464276782022</v>
      </c>
      <c r="S545" s="346">
        <f t="shared" si="228"/>
        <v>-6.6446427678202156</v>
      </c>
      <c r="U545" s="319">
        <f t="shared" si="234"/>
        <v>83176</v>
      </c>
      <c r="V545" s="319">
        <f t="shared" si="235"/>
        <v>6918246976</v>
      </c>
      <c r="X545" s="345">
        <f t="shared" si="229"/>
        <v>21.052518141079194</v>
      </c>
      <c r="Y545" s="346">
        <f t="shared" si="230"/>
        <v>-40.02694310359422</v>
      </c>
      <c r="AA545" s="345">
        <f t="shared" si="231"/>
        <v>26.735488483558953</v>
      </c>
      <c r="AB545" s="346">
        <f t="shared" si="232"/>
        <v>-146.61769966422602</v>
      </c>
      <c r="AD545">
        <f t="shared" si="236"/>
        <v>0</v>
      </c>
      <c r="AE545">
        <f t="shared" si="239"/>
        <v>0</v>
      </c>
    </row>
    <row r="546" spans="1:31" x14ac:dyDescent="0.25">
      <c r="A546" s="347">
        <v>83660.5</v>
      </c>
      <c r="B546" s="364">
        <f t="shared" si="233"/>
        <v>83.660499999999999</v>
      </c>
      <c r="C546" s="337">
        <f t="shared" si="214"/>
        <v>36.286914309404096</v>
      </c>
      <c r="D546" s="338">
        <f t="shared" si="215"/>
        <v>1.5432346936958778</v>
      </c>
      <c r="E546" s="338">
        <f t="shared" si="216"/>
        <v>1.0227395055406832</v>
      </c>
      <c r="F546" s="339">
        <f t="shared" si="217"/>
        <v>0.2112666583037319</v>
      </c>
      <c r="G546" s="338">
        <f t="shared" si="218"/>
        <v>1</v>
      </c>
      <c r="H546" s="339">
        <f t="shared" si="219"/>
        <v>0</v>
      </c>
      <c r="I546" s="337">
        <f t="shared" si="220"/>
        <v>188429.86946650117</v>
      </c>
      <c r="J546" s="340">
        <f t="shared" si="221"/>
        <v>1.5707910197806592</v>
      </c>
      <c r="K546" s="348">
        <f t="shared" si="237"/>
        <v>35.338129135373762</v>
      </c>
      <c r="L546" s="349">
        <f t="shared" si="238"/>
        <v>1.5424945027928751</v>
      </c>
      <c r="M546" s="337">
        <f t="shared" si="222"/>
        <v>1.2788148692576677</v>
      </c>
      <c r="N546" s="340">
        <f t="shared" si="223"/>
        <v>0.67296978574363153</v>
      </c>
      <c r="O546" s="341">
        <f t="shared" si="224"/>
        <v>1.2711639687612981</v>
      </c>
      <c r="P546" s="342">
        <f t="shared" si="225"/>
        <v>1.2327591699873433</v>
      </c>
      <c r="Q546" s="343">
        <f t="shared" si="226"/>
        <v>-15.918371652103438</v>
      </c>
      <c r="R546" s="344">
        <f t="shared" si="227"/>
        <v>-187.12764414570512</v>
      </c>
      <c r="S546" s="346">
        <f t="shared" si="228"/>
        <v>-7.1276441457051192</v>
      </c>
      <c r="U546" s="319">
        <f t="shared" si="234"/>
        <v>83660.5</v>
      </c>
      <c r="V546" s="319">
        <f t="shared" si="235"/>
        <v>6999079260.25</v>
      </c>
      <c r="X546" s="345">
        <f t="shared" si="229"/>
        <v>21.032946977425446</v>
      </c>
      <c r="Y546" s="346">
        <f t="shared" si="230"/>
        <v>-40.179599507165513</v>
      </c>
      <c r="AA546" s="345">
        <f t="shared" si="231"/>
        <v>26.657802659633742</v>
      </c>
      <c r="AB546" s="346">
        <f t="shared" si="232"/>
        <v>-146.94804463853964</v>
      </c>
      <c r="AD546">
        <f t="shared" si="236"/>
        <v>0</v>
      </c>
      <c r="AE546">
        <f t="shared" si="239"/>
        <v>0</v>
      </c>
    </row>
    <row r="547" spans="1:31" x14ac:dyDescent="0.25">
      <c r="A547" s="347">
        <v>84145</v>
      </c>
      <c r="B547" s="364">
        <f t="shared" si="233"/>
        <v>84.144999999999996</v>
      </c>
      <c r="C547" s="337">
        <f t="shared" si="214"/>
        <v>36.496902254406528</v>
      </c>
      <c r="D547" s="338">
        <f t="shared" si="215"/>
        <v>1.5433933116513001</v>
      </c>
      <c r="E547" s="338">
        <f t="shared" si="216"/>
        <v>1.0230006793108193</v>
      </c>
      <c r="F547" s="339">
        <f t="shared" si="217"/>
        <v>0.21245377376233546</v>
      </c>
      <c r="G547" s="338">
        <f t="shared" si="218"/>
        <v>1</v>
      </c>
      <c r="H547" s="339">
        <f t="shared" si="219"/>
        <v>0</v>
      </c>
      <c r="I547" s="337">
        <f t="shared" si="220"/>
        <v>189521.11649172762</v>
      </c>
      <c r="J547" s="340">
        <f t="shared" si="221"/>
        <v>1.5707910503380114</v>
      </c>
      <c r="K547" s="348">
        <f t="shared" si="237"/>
        <v>35.542618142768127</v>
      </c>
      <c r="L547" s="349">
        <f t="shared" si="238"/>
        <v>1.542657376115127</v>
      </c>
      <c r="M547" s="337">
        <f t="shared" si="222"/>
        <v>1.2816972888041969</v>
      </c>
      <c r="N547" s="340">
        <f t="shared" si="223"/>
        <v>0.67578617866777635</v>
      </c>
      <c r="O547" s="341">
        <f t="shared" si="224"/>
        <v>1.2755169266879973</v>
      </c>
      <c r="P547" s="342">
        <f t="shared" si="225"/>
        <v>1.2395346098038276</v>
      </c>
      <c r="Q547" s="343">
        <f t="shared" si="226"/>
        <v>-16.015561893000154</v>
      </c>
      <c r="R547" s="344">
        <f t="shared" si="227"/>
        <v>-187.60895691076351</v>
      </c>
      <c r="S547" s="346">
        <f t="shared" si="228"/>
        <v>-7.60895691076351</v>
      </c>
      <c r="U547" s="319">
        <f t="shared" si="234"/>
        <v>84145</v>
      </c>
      <c r="V547" s="319">
        <f t="shared" si="235"/>
        <v>7080381025</v>
      </c>
      <c r="X547" s="345">
        <f t="shared" si="229"/>
        <v>21.013351277181446</v>
      </c>
      <c r="Y547" s="346">
        <f t="shared" si="230"/>
        <v>-40.331636732190262</v>
      </c>
      <c r="AA547" s="345">
        <f t="shared" si="231"/>
        <v>26.580208118981027</v>
      </c>
      <c r="AB547" s="346">
        <f t="shared" si="232"/>
        <v>-147.27732017857329</v>
      </c>
      <c r="AD547">
        <f t="shared" si="236"/>
        <v>0</v>
      </c>
      <c r="AE547">
        <f t="shared" si="239"/>
        <v>0</v>
      </c>
    </row>
    <row r="548" spans="1:31" x14ac:dyDescent="0.25">
      <c r="A548" s="347">
        <v>84629.5</v>
      </c>
      <c r="B548" s="364">
        <f t="shared" si="233"/>
        <v>84.629499999999993</v>
      </c>
      <c r="C548" s="337">
        <f t="shared" si="214"/>
        <v>36.706891107152444</v>
      </c>
      <c r="D548" s="338">
        <f t="shared" si="215"/>
        <v>1.5435501148013948</v>
      </c>
      <c r="E548" s="338">
        <f t="shared" si="216"/>
        <v>1.023263294000506</v>
      </c>
      <c r="F548" s="339">
        <f t="shared" si="217"/>
        <v>0.2136402815594767</v>
      </c>
      <c r="G548" s="338">
        <f t="shared" si="218"/>
        <v>1</v>
      </c>
      <c r="H548" s="339">
        <f t="shared" si="219"/>
        <v>0</v>
      </c>
      <c r="I548" s="337">
        <f t="shared" si="220"/>
        <v>190612.36351695421</v>
      </c>
      <c r="J548" s="340">
        <f t="shared" si="221"/>
        <v>1.5707910805454848</v>
      </c>
      <c r="K548" s="348">
        <f t="shared" si="237"/>
        <v>35.747108082239862</v>
      </c>
      <c r="L548" s="349">
        <f t="shared" si="238"/>
        <v>1.5428183860206173</v>
      </c>
      <c r="M548" s="337">
        <f t="shared" si="222"/>
        <v>1.284589829191134</v>
      </c>
      <c r="N548" s="340">
        <f t="shared" si="223"/>
        <v>0.67858991027494786</v>
      </c>
      <c r="O548" s="341">
        <f t="shared" si="224"/>
        <v>1.2799156679159751</v>
      </c>
      <c r="P548" s="342">
        <f t="shared" si="225"/>
        <v>1.2462923874524519</v>
      </c>
      <c r="Q548" s="343">
        <f t="shared" si="226"/>
        <v>-16.112686507478873</v>
      </c>
      <c r="R548" s="344">
        <f t="shared" si="227"/>
        <v>-188.08856984973951</v>
      </c>
      <c r="S548" s="346">
        <f t="shared" si="228"/>
        <v>-8.088569849739514</v>
      </c>
      <c r="U548" s="319">
        <f t="shared" si="234"/>
        <v>84629.5</v>
      </c>
      <c r="V548" s="319">
        <f t="shared" si="235"/>
        <v>7162152270.25</v>
      </c>
      <c r="X548" s="345">
        <f t="shared" si="229"/>
        <v>20.993731756838557</v>
      </c>
      <c r="Y548" s="346">
        <f t="shared" si="230"/>
        <v>-40.483055263057985</v>
      </c>
      <c r="AA548" s="345">
        <f t="shared" si="231"/>
        <v>26.502703024845196</v>
      </c>
      <c r="AB548" s="346">
        <f t="shared" si="232"/>
        <v>-147.60551458668152</v>
      </c>
      <c r="AD548">
        <f t="shared" si="236"/>
        <v>0</v>
      </c>
      <c r="AE548">
        <f t="shared" si="239"/>
        <v>0</v>
      </c>
    </row>
    <row r="549" spans="1:31" x14ac:dyDescent="0.25">
      <c r="A549" s="347">
        <v>85114</v>
      </c>
      <c r="B549" s="364">
        <f t="shared" si="233"/>
        <v>85.114000000000004</v>
      </c>
      <c r="C549" s="337">
        <f t="shared" si="214"/>
        <v>36.916880852151685</v>
      </c>
      <c r="D549" s="338">
        <f t="shared" si="215"/>
        <v>1.5437051341071857</v>
      </c>
      <c r="E549" s="338">
        <f t="shared" si="216"/>
        <v>1.0235273485006178</v>
      </c>
      <c r="F549" s="339">
        <f t="shared" si="217"/>
        <v>0.21482617882345131</v>
      </c>
      <c r="G549" s="338">
        <f t="shared" si="218"/>
        <v>1</v>
      </c>
      <c r="H549" s="339">
        <f t="shared" si="219"/>
        <v>0</v>
      </c>
      <c r="I549" s="337">
        <f t="shared" si="220"/>
        <v>191703.61054218101</v>
      </c>
      <c r="J549" s="340">
        <f t="shared" si="221"/>
        <v>1.5707911104090539</v>
      </c>
      <c r="K549" s="348">
        <f t="shared" si="237"/>
        <v>35.951598937884235</v>
      </c>
      <c r="L549" s="349">
        <f t="shared" si="238"/>
        <v>1.5429775642979831</v>
      </c>
      <c r="M549" s="337">
        <f t="shared" si="222"/>
        <v>1.2874924222046273</v>
      </c>
      <c r="N549" s="340">
        <f t="shared" si="223"/>
        <v>0.6813810219701959</v>
      </c>
      <c r="O549" s="341">
        <f t="shared" si="224"/>
        <v>1.2843603345081884</v>
      </c>
      <c r="P549" s="342">
        <f t="shared" si="225"/>
        <v>1.2530322676130432</v>
      </c>
      <c r="Q549" s="343">
        <f t="shared" si="226"/>
        <v>-16.209746533423083</v>
      </c>
      <c r="R549" s="344">
        <f t="shared" si="227"/>
        <v>-188.56647196957505</v>
      </c>
      <c r="S549" s="346">
        <f t="shared" si="228"/>
        <v>-8.5664719695750478</v>
      </c>
      <c r="U549" s="319">
        <f t="shared" si="234"/>
        <v>85114</v>
      </c>
      <c r="V549" s="319">
        <f t="shared" si="235"/>
        <v>7244392996</v>
      </c>
      <c r="X549" s="345">
        <f t="shared" si="229"/>
        <v>20.974089125401179</v>
      </c>
      <c r="Y549" s="346">
        <f t="shared" si="230"/>
        <v>-40.633855651090848</v>
      </c>
      <c r="AA549" s="345">
        <f t="shared" si="231"/>
        <v>26.425285630338365</v>
      </c>
      <c r="AB549" s="346">
        <f t="shared" si="232"/>
        <v>-147.93261631848418</v>
      </c>
      <c r="AD549">
        <f t="shared" si="236"/>
        <v>0</v>
      </c>
      <c r="AE549">
        <f t="shared" si="239"/>
        <v>0</v>
      </c>
    </row>
    <row r="550" spans="1:31" x14ac:dyDescent="0.25">
      <c r="A550" s="347">
        <v>85609.5</v>
      </c>
      <c r="B550" s="364">
        <f t="shared" si="233"/>
        <v>85.609499999999997</v>
      </c>
      <c r="C550" s="337">
        <f t="shared" si="214"/>
        <v>37.131639073274734</v>
      </c>
      <c r="D550" s="338">
        <f t="shared" si="215"/>
        <v>1.5438618594210514</v>
      </c>
      <c r="E550" s="338">
        <f t="shared" si="216"/>
        <v>1.0237988861004061</v>
      </c>
      <c r="F550" s="339">
        <f t="shared" si="217"/>
        <v>0.21603836601841517</v>
      </c>
      <c r="G550" s="338">
        <f t="shared" si="218"/>
        <v>1</v>
      </c>
      <c r="H550" s="339">
        <f t="shared" si="219"/>
        <v>0</v>
      </c>
      <c r="I550" s="337">
        <f t="shared" si="220"/>
        <v>192819.6330416649</v>
      </c>
      <c r="J550" s="340">
        <f t="shared" si="221"/>
        <v>1.5707911406010209</v>
      </c>
      <c r="K550" s="348">
        <f t="shared" si="237"/>
        <v>36.160733448185034</v>
      </c>
      <c r="L550" s="349">
        <f t="shared" si="238"/>
        <v>1.54313849442744</v>
      </c>
      <c r="M550" s="337">
        <f t="shared" si="222"/>
        <v>1.2904712420370958</v>
      </c>
      <c r="N550" s="340">
        <f t="shared" si="223"/>
        <v>0.68422249319804151</v>
      </c>
      <c r="O550" s="341">
        <f t="shared" si="224"/>
        <v>1.2889535577595082</v>
      </c>
      <c r="P550" s="342">
        <f t="shared" si="225"/>
        <v>1.2599064155828681</v>
      </c>
      <c r="Q550" s="343">
        <f t="shared" si="226"/>
        <v>-16.308944385253426</v>
      </c>
      <c r="R550" s="344">
        <f t="shared" si="227"/>
        <v>-189.05344354694833</v>
      </c>
      <c r="S550" s="346">
        <f t="shared" si="228"/>
        <v>-9.0534435469483299</v>
      </c>
      <c r="U550" s="319">
        <f t="shared" si="234"/>
        <v>85609.5</v>
      </c>
      <c r="V550" s="319">
        <f t="shared" si="235"/>
        <v>7328986490.25</v>
      </c>
      <c r="X550" s="345">
        <f t="shared" si="229"/>
        <v>20.953977358162952</v>
      </c>
      <c r="Y550" s="346">
        <f t="shared" si="230"/>
        <v>-40.787441072887674</v>
      </c>
      <c r="AA550" s="345">
        <f t="shared" si="231"/>
        <v>26.346199545746249</v>
      </c>
      <c r="AB550" s="346">
        <f t="shared" si="232"/>
        <v>-148.26600247406063</v>
      </c>
      <c r="AD550">
        <f t="shared" si="236"/>
        <v>0</v>
      </c>
      <c r="AE550">
        <f t="shared" si="239"/>
        <v>0</v>
      </c>
    </row>
    <row r="551" spans="1:31" x14ac:dyDescent="0.25">
      <c r="A551" s="347">
        <v>86105</v>
      </c>
      <c r="B551" s="364">
        <f t="shared" si="233"/>
        <v>86.105000000000004</v>
      </c>
      <c r="C551" s="337">
        <f t="shared" si="214"/>
        <v>37.346398195966202</v>
      </c>
      <c r="D551" s="338">
        <f t="shared" si="215"/>
        <v>1.5440167822520989</v>
      </c>
      <c r="E551" s="338">
        <f t="shared" si="216"/>
        <v>1.0240719272689509</v>
      </c>
      <c r="F551" s="339">
        <f t="shared" si="217"/>
        <v>0.2172499085987625</v>
      </c>
      <c r="G551" s="338">
        <f t="shared" si="218"/>
        <v>1</v>
      </c>
      <c r="H551" s="339">
        <f t="shared" si="219"/>
        <v>0</v>
      </c>
      <c r="I551" s="337">
        <f t="shared" si="220"/>
        <v>193935.65554114897</v>
      </c>
      <c r="J551" s="340">
        <f t="shared" si="221"/>
        <v>1.5707911704455022</v>
      </c>
      <c r="K551" s="348">
        <f t="shared" si="237"/>
        <v>36.369868884224566</v>
      </c>
      <c r="L551" s="349">
        <f t="shared" si="238"/>
        <v>1.5432975737875856</v>
      </c>
      <c r="M551" s="337">
        <f t="shared" si="222"/>
        <v>1.2934604330416102</v>
      </c>
      <c r="N551" s="340">
        <f t="shared" si="223"/>
        <v>0.68705085387687348</v>
      </c>
      <c r="O551" s="341">
        <f t="shared" si="224"/>
        <v>1.2935951052267936</v>
      </c>
      <c r="P551" s="342">
        <f t="shared" si="225"/>
        <v>1.2667613575191892</v>
      </c>
      <c r="Q551" s="343">
        <f t="shared" si="226"/>
        <v>-16.408076623384595</v>
      </c>
      <c r="R551" s="344">
        <f t="shared" si="227"/>
        <v>-189.5386032009327</v>
      </c>
      <c r="S551" s="346">
        <f t="shared" si="228"/>
        <v>-9.5386032009326982</v>
      </c>
      <c r="U551" s="319">
        <f t="shared" si="234"/>
        <v>86105</v>
      </c>
      <c r="V551" s="319">
        <f t="shared" si="235"/>
        <v>7414071025</v>
      </c>
      <c r="X551" s="345">
        <f t="shared" si="229"/>
        <v>20.933842894559685</v>
      </c>
      <c r="Y551" s="346">
        <f t="shared" si="230"/>
        <v>-40.940381336919103</v>
      </c>
      <c r="AA551" s="345">
        <f t="shared" si="231"/>
        <v>26.267201771218346</v>
      </c>
      <c r="AB551" s="346">
        <f t="shared" si="232"/>
        <v>-148.59822186401362</v>
      </c>
      <c r="AD551">
        <f t="shared" si="236"/>
        <v>0</v>
      </c>
      <c r="AE551">
        <f t="shared" si="239"/>
        <v>0</v>
      </c>
    </row>
    <row r="552" spans="1:31" x14ac:dyDescent="0.25">
      <c r="A552" s="347">
        <v>86600.5</v>
      </c>
      <c r="B552" s="364">
        <f t="shared" si="233"/>
        <v>86.600499999999997</v>
      </c>
      <c r="C552" s="337">
        <f t="shared" si="214"/>
        <v>37.561158204761732</v>
      </c>
      <c r="D552" s="338">
        <f t="shared" si="215"/>
        <v>1.5441699335105024</v>
      </c>
      <c r="E552" s="338">
        <f t="shared" si="216"/>
        <v>1.0243464708039165</v>
      </c>
      <c r="F552" s="339">
        <f t="shared" si="217"/>
        <v>0.21846080352470004</v>
      </c>
      <c r="G552" s="338">
        <f t="shared" si="218"/>
        <v>1</v>
      </c>
      <c r="H552" s="339">
        <f t="shared" si="219"/>
        <v>0</v>
      </c>
      <c r="I552" s="337">
        <f t="shared" si="220"/>
        <v>195051.67804063324</v>
      </c>
      <c r="J552" s="340">
        <f t="shared" si="221"/>
        <v>1.5707911999484627</v>
      </c>
      <c r="K552" s="348">
        <f t="shared" si="237"/>
        <v>36.579005230124473</v>
      </c>
      <c r="L552" s="349">
        <f t="shared" si="238"/>
        <v>1.5434548341149945</v>
      </c>
      <c r="M552" s="337">
        <f t="shared" si="222"/>
        <v>1.2964599234810978</v>
      </c>
      <c r="N552" s="340">
        <f t="shared" si="223"/>
        <v>0.6898661495965337</v>
      </c>
      <c r="O552" s="341">
        <f t="shared" si="224"/>
        <v>1.2982851180120822</v>
      </c>
      <c r="P552" s="342">
        <f t="shared" si="225"/>
        <v>1.2735968532117061</v>
      </c>
      <c r="Q552" s="343">
        <f t="shared" si="226"/>
        <v>-16.507144104194428</v>
      </c>
      <c r="R552" s="344">
        <f t="shared" si="227"/>
        <v>-190.02193990775723</v>
      </c>
      <c r="S552" s="346">
        <f t="shared" si="228"/>
        <v>-10.021939907757229</v>
      </c>
      <c r="U552" s="319">
        <f t="shared" si="234"/>
        <v>86600.5</v>
      </c>
      <c r="V552" s="319">
        <f t="shared" si="235"/>
        <v>7499646600.25</v>
      </c>
      <c r="X552" s="345">
        <f t="shared" si="229"/>
        <v>20.913686468800577</v>
      </c>
      <c r="Y552" s="346">
        <f t="shared" si="230"/>
        <v>-41.092677237260652</v>
      </c>
      <c r="AA552" s="345">
        <f t="shared" si="231"/>
        <v>26.188290716167625</v>
      </c>
      <c r="AB552" s="346">
        <f t="shared" si="232"/>
        <v>-148.9292626704966</v>
      </c>
      <c r="AD552">
        <f t="shared" si="236"/>
        <v>0</v>
      </c>
      <c r="AE552">
        <f t="shared" si="239"/>
        <v>0</v>
      </c>
    </row>
    <row r="553" spans="1:31" x14ac:dyDescent="0.25">
      <c r="A553" s="347">
        <v>87096</v>
      </c>
      <c r="B553" s="364">
        <f t="shared" si="233"/>
        <v>87.096000000000004</v>
      </c>
      <c r="C553" s="337">
        <f t="shared" si="214"/>
        <v>37.775919084548526</v>
      </c>
      <c r="D553" s="338">
        <f t="shared" si="215"/>
        <v>1.5443213434038592</v>
      </c>
      <c r="E553" s="338">
        <f t="shared" si="216"/>
        <v>1.0246225154976434</v>
      </c>
      <c r="F553" s="339">
        <f t="shared" si="217"/>
        <v>0.21967104776728061</v>
      </c>
      <c r="G553" s="338">
        <f t="shared" si="218"/>
        <v>1</v>
      </c>
      <c r="H553" s="339">
        <f t="shared" si="219"/>
        <v>0</v>
      </c>
      <c r="I553" s="337">
        <f t="shared" si="220"/>
        <v>196167.70054011766</v>
      </c>
      <c r="J553" s="340">
        <f t="shared" si="221"/>
        <v>1.5707912291157311</v>
      </c>
      <c r="K553" s="348">
        <f t="shared" si="237"/>
        <v>36.78814247036739</v>
      </c>
      <c r="L553" s="349">
        <f t="shared" si="238"/>
        <v>1.5436103064249276</v>
      </c>
      <c r="M553" s="337">
        <f t="shared" si="222"/>
        <v>1.2994696420347946</v>
      </c>
      <c r="N553" s="340">
        <f t="shared" si="223"/>
        <v>0.69266842635507575</v>
      </c>
      <c r="O553" s="341">
        <f t="shared" si="224"/>
        <v>1.3030237335801609</v>
      </c>
      <c r="P553" s="342">
        <f t="shared" si="225"/>
        <v>1.2804126664700239</v>
      </c>
      <c r="Q553" s="343">
        <f t="shared" si="226"/>
        <v>-16.60614760299292</v>
      </c>
      <c r="R553" s="344">
        <f t="shared" si="227"/>
        <v>-190.50344289780747</v>
      </c>
      <c r="S553" s="346">
        <f t="shared" si="228"/>
        <v>-10.503442897807474</v>
      </c>
      <c r="U553" s="319">
        <f t="shared" si="234"/>
        <v>87096</v>
      </c>
      <c r="V553" s="319">
        <f t="shared" si="235"/>
        <v>7585713216</v>
      </c>
      <c r="X553" s="345">
        <f t="shared" si="229"/>
        <v>20.893508806983863</v>
      </c>
      <c r="Y553" s="346">
        <f t="shared" si="230"/>
        <v>-41.244329632697038</v>
      </c>
      <c r="AA553" s="345">
        <f t="shared" si="231"/>
        <v>26.10946487918584</v>
      </c>
      <c r="AB553" s="346">
        <f t="shared" si="232"/>
        <v>-149.25911326511041</v>
      </c>
      <c r="AD553">
        <f t="shared" si="236"/>
        <v>0</v>
      </c>
      <c r="AE553">
        <f t="shared" si="239"/>
        <v>0</v>
      </c>
    </row>
    <row r="554" spans="1:31" x14ac:dyDescent="0.25">
      <c r="A554" s="347">
        <v>87603.25</v>
      </c>
      <c r="B554" s="364">
        <f t="shared" si="233"/>
        <v>87.603250000000003</v>
      </c>
      <c r="C554" s="337">
        <f t="shared" si="214"/>
        <v>37.995773566244196</v>
      </c>
      <c r="D554" s="338">
        <f t="shared" si="215"/>
        <v>1.5444745707694767</v>
      </c>
      <c r="E554" s="338">
        <f t="shared" si="216"/>
        <v>1.0249066598661865</v>
      </c>
      <c r="F554" s="339">
        <f t="shared" si="217"/>
        <v>0.22090931387872903</v>
      </c>
      <c r="G554" s="338">
        <f t="shared" si="218"/>
        <v>1</v>
      </c>
      <c r="H554" s="339">
        <f t="shared" si="219"/>
        <v>0</v>
      </c>
      <c r="I554" s="337">
        <f t="shared" si="220"/>
        <v>197310.18775074038</v>
      </c>
      <c r="J554" s="340">
        <f t="shared" si="221"/>
        <v>1.5707912586328752</v>
      </c>
      <c r="K554" s="348">
        <f t="shared" si="237"/>
        <v>37.002239980564461</v>
      </c>
      <c r="L554" s="349">
        <f t="shared" si="238"/>
        <v>1.5437676450400468</v>
      </c>
      <c r="M554" s="337">
        <f t="shared" si="222"/>
        <v>1.3025612520927696</v>
      </c>
      <c r="N554" s="340">
        <f t="shared" si="223"/>
        <v>0.69552371741073826</v>
      </c>
      <c r="O554" s="341">
        <f t="shared" si="224"/>
        <v>1.3079252029022874</v>
      </c>
      <c r="P554" s="342">
        <f t="shared" si="225"/>
        <v>1.2873694756005576</v>
      </c>
      <c r="Q554" s="343">
        <f t="shared" si="226"/>
        <v>-16.707433264221159</v>
      </c>
      <c r="R554" s="344">
        <f t="shared" si="227"/>
        <v>-190.99445353905986</v>
      </c>
      <c r="S554" s="346">
        <f t="shared" si="228"/>
        <v>-10.994453539059862</v>
      </c>
      <c r="U554" s="319">
        <f t="shared" si="234"/>
        <v>87603.25</v>
      </c>
      <c r="V554" s="319">
        <f t="shared" si="235"/>
        <v>7674329410.5625</v>
      </c>
      <c r="X554" s="345">
        <f t="shared" si="229"/>
        <v>20.872831415967433</v>
      </c>
      <c r="Y554" s="346">
        <f t="shared" si="230"/>
        <v>-41.398912612251614</v>
      </c>
      <c r="AA554" s="345">
        <f t="shared" si="231"/>
        <v>26.028856608974031</v>
      </c>
      <c r="AB554" s="346">
        <f t="shared" si="232"/>
        <v>-149.59554092680821</v>
      </c>
      <c r="AD554">
        <f t="shared" si="236"/>
        <v>0</v>
      </c>
      <c r="AE554">
        <f t="shared" si="239"/>
        <v>0</v>
      </c>
    </row>
    <row r="555" spans="1:31" x14ac:dyDescent="0.25">
      <c r="A555" s="347">
        <v>88110.5</v>
      </c>
      <c r="B555" s="364">
        <f t="shared" si="233"/>
        <v>88.110500000000002</v>
      </c>
      <c r="C555" s="337">
        <f t="shared" si="214"/>
        <v>38.215628929764023</v>
      </c>
      <c r="D555" s="338">
        <f t="shared" si="215"/>
        <v>1.544626035097729</v>
      </c>
      <c r="E555" s="338">
        <f t="shared" si="216"/>
        <v>1.0251923748546266</v>
      </c>
      <c r="F555" s="339">
        <f t="shared" si="217"/>
        <v>0.22214689169214899</v>
      </c>
      <c r="G555" s="338">
        <f t="shared" si="218"/>
        <v>1</v>
      </c>
      <c r="H555" s="339">
        <f t="shared" si="219"/>
        <v>0</v>
      </c>
      <c r="I555" s="337">
        <f t="shared" si="220"/>
        <v>198452.67496136329</v>
      </c>
      <c r="J555" s="340">
        <f t="shared" si="221"/>
        <v>1.5707912878101604</v>
      </c>
      <c r="K555" s="348">
        <f t="shared" si="237"/>
        <v>37.216338396229062</v>
      </c>
      <c r="L555" s="349">
        <f t="shared" si="238"/>
        <v>1.5439231733815759</v>
      </c>
      <c r="M555" s="337">
        <f t="shared" si="222"/>
        <v>1.3056634311844952</v>
      </c>
      <c r="N555" s="340">
        <f t="shared" si="223"/>
        <v>0.69836546353739648</v>
      </c>
      <c r="O555" s="341">
        <f t="shared" si="224"/>
        <v>1.3128778873390434</v>
      </c>
      <c r="P555" s="342">
        <f t="shared" si="225"/>
        <v>1.2943051700203645</v>
      </c>
      <c r="Q555" s="343">
        <f t="shared" si="226"/>
        <v>-16.808653266546912</v>
      </c>
      <c r="R555" s="344">
        <f t="shared" si="227"/>
        <v>-191.48352045276991</v>
      </c>
      <c r="S555" s="346">
        <f t="shared" si="228"/>
        <v>-11.483520452769909</v>
      </c>
      <c r="U555" s="319">
        <f t="shared" si="234"/>
        <v>88110.5</v>
      </c>
      <c r="V555" s="319">
        <f t="shared" si="235"/>
        <v>7763460210.25</v>
      </c>
      <c r="X555" s="345">
        <f t="shared" si="229"/>
        <v>20.852133283793162</v>
      </c>
      <c r="Y555" s="346">
        <f t="shared" si="230"/>
        <v>-41.552823226103655</v>
      </c>
      <c r="AA555" s="345">
        <f t="shared" si="231"/>
        <v>25.94833473882256</v>
      </c>
      <c r="AB555" s="346">
        <f t="shared" si="232"/>
        <v>-149.93069722666621</v>
      </c>
      <c r="AD555">
        <f t="shared" si="236"/>
        <v>0</v>
      </c>
      <c r="AE555">
        <f t="shared" si="239"/>
        <v>0</v>
      </c>
    </row>
    <row r="556" spans="1:31" x14ac:dyDescent="0.25">
      <c r="A556" s="347">
        <v>88617.75</v>
      </c>
      <c r="B556" s="364">
        <f t="shared" si="233"/>
        <v>88.617750000000001</v>
      </c>
      <c r="C556" s="337">
        <f t="shared" si="214"/>
        <v>38.435485159975613</v>
      </c>
      <c r="D556" s="338">
        <f t="shared" si="215"/>
        <v>1.5447757666360504</v>
      </c>
      <c r="E556" s="338">
        <f t="shared" si="216"/>
        <v>1.0254796591501643</v>
      </c>
      <c r="F556" s="339">
        <f t="shared" si="217"/>
        <v>0.22338377799349812</v>
      </c>
      <c r="G556" s="338">
        <f t="shared" si="218"/>
        <v>1</v>
      </c>
      <c r="H556" s="339">
        <f t="shared" si="219"/>
        <v>0</v>
      </c>
      <c r="I556" s="337">
        <f t="shared" si="220"/>
        <v>199595.1621719863</v>
      </c>
      <c r="J556" s="340">
        <f t="shared" si="221"/>
        <v>1.5707913166534226</v>
      </c>
      <c r="K556" s="348">
        <f t="shared" si="237"/>
        <v>37.430437701823656</v>
      </c>
      <c r="L556" s="349">
        <f t="shared" si="238"/>
        <v>1.5440769225058144</v>
      </c>
      <c r="M556" s="337">
        <f t="shared" si="222"/>
        <v>1.3087761041549442</v>
      </c>
      <c r="N556" s="340">
        <f t="shared" si="223"/>
        <v>0.70119371531699115</v>
      </c>
      <c r="O556" s="341">
        <f t="shared" si="224"/>
        <v>1.3178819226232705</v>
      </c>
      <c r="P556" s="342">
        <f t="shared" si="225"/>
        <v>1.3012195098444048</v>
      </c>
      <c r="Q556" s="343">
        <f t="shared" si="226"/>
        <v>-16.909808192190944</v>
      </c>
      <c r="R556" s="344">
        <f t="shared" si="227"/>
        <v>-191.97063293080984</v>
      </c>
      <c r="S556" s="346">
        <f t="shared" si="228"/>
        <v>-11.970632930809842</v>
      </c>
      <c r="U556" s="319">
        <f t="shared" si="234"/>
        <v>88617.75</v>
      </c>
      <c r="V556" s="319">
        <f t="shared" si="235"/>
        <v>7853105615.0625</v>
      </c>
      <c r="X556" s="345">
        <f t="shared" si="229"/>
        <v>20.831415163207787</v>
      </c>
      <c r="Y556" s="346">
        <f t="shared" si="230"/>
        <v>-41.706062593324397</v>
      </c>
      <c r="AA556" s="345">
        <f t="shared" si="231"/>
        <v>25.867897933763899</v>
      </c>
      <c r="AB556" s="346">
        <f t="shared" si="232"/>
        <v>-150.26457033748542</v>
      </c>
      <c r="AD556">
        <f t="shared" si="236"/>
        <v>0</v>
      </c>
      <c r="AE556">
        <f t="shared" si="239"/>
        <v>0</v>
      </c>
    </row>
    <row r="557" spans="1:31" x14ac:dyDescent="0.25">
      <c r="A557" s="347">
        <v>89125</v>
      </c>
      <c r="B557" s="364">
        <f t="shared" si="233"/>
        <v>89.125</v>
      </c>
      <c r="C557" s="337">
        <f t="shared" si="214"/>
        <v>38.655342242090761</v>
      </c>
      <c r="D557" s="338">
        <f t="shared" si="215"/>
        <v>1.5449237949440462</v>
      </c>
      <c r="E557" s="338">
        <f t="shared" si="216"/>
        <v>1.0257685114342647</v>
      </c>
      <c r="F557" s="339">
        <f t="shared" si="217"/>
        <v>0.22461996958078831</v>
      </c>
      <c r="G557" s="338">
        <f t="shared" si="218"/>
        <v>1</v>
      </c>
      <c r="H557" s="339">
        <f t="shared" si="219"/>
        <v>0</v>
      </c>
      <c r="I557" s="337">
        <f t="shared" si="220"/>
        <v>200737.64938260952</v>
      </c>
      <c r="J557" s="340">
        <f t="shared" si="221"/>
        <v>1.5707913451683653</v>
      </c>
      <c r="K557" s="348">
        <f t="shared" si="237"/>
        <v>37.64453788216408</v>
      </c>
      <c r="L557" s="349">
        <f t="shared" si="238"/>
        <v>1.5442289227628816</v>
      </c>
      <c r="M557" s="337">
        <f t="shared" si="222"/>
        <v>1.3118991963093261</v>
      </c>
      <c r="N557" s="340">
        <f t="shared" si="223"/>
        <v>0.70400852371575973</v>
      </c>
      <c r="O557" s="341">
        <f t="shared" si="224"/>
        <v>1.3229374405666736</v>
      </c>
      <c r="P557" s="342">
        <f t="shared" si="225"/>
        <v>1.3081122598720121</v>
      </c>
      <c r="Q557" s="343">
        <f t="shared" si="226"/>
        <v>-17.010898543996461</v>
      </c>
      <c r="R557" s="344">
        <f t="shared" si="227"/>
        <v>-192.45578055581851</v>
      </c>
      <c r="S557" s="346">
        <f t="shared" si="228"/>
        <v>-12.455780555818507</v>
      </c>
      <c r="U557" s="319">
        <f t="shared" si="234"/>
        <v>89125</v>
      </c>
      <c r="V557" s="319">
        <f t="shared" si="235"/>
        <v>7943265625</v>
      </c>
      <c r="X557" s="345">
        <f t="shared" si="229"/>
        <v>20.810677798174261</v>
      </c>
      <c r="Y557" s="346">
        <f t="shared" si="230"/>
        <v>-41.858631895457158</v>
      </c>
      <c r="AA557" s="345">
        <f t="shared" si="231"/>
        <v>25.787544946991904</v>
      </c>
      <c r="AB557" s="346">
        <f t="shared" si="232"/>
        <v>-150.59714866036134</v>
      </c>
      <c r="AD557">
        <f t="shared" si="236"/>
        <v>0</v>
      </c>
      <c r="AE557">
        <f t="shared" si="239"/>
        <v>0</v>
      </c>
    </row>
    <row r="558" spans="1:31" x14ac:dyDescent="0.25">
      <c r="A558" s="347">
        <v>89644</v>
      </c>
      <c r="B558" s="364">
        <f t="shared" si="233"/>
        <v>89.644000000000005</v>
      </c>
      <c r="C558" s="337">
        <f t="shared" si="214"/>
        <v>38.880292986754384</v>
      </c>
      <c r="D558" s="338">
        <f t="shared" si="215"/>
        <v>1.5450735194593077</v>
      </c>
      <c r="E558" s="338">
        <f t="shared" si="216"/>
        <v>1.0260656762370315</v>
      </c>
      <c r="F558" s="339">
        <f t="shared" si="217"/>
        <v>0.22588407409255215</v>
      </c>
      <c r="G558" s="338">
        <f t="shared" si="218"/>
        <v>1</v>
      </c>
      <c r="H558" s="339">
        <f t="shared" si="219"/>
        <v>0</v>
      </c>
      <c r="I558" s="337">
        <f t="shared" si="220"/>
        <v>201906.60130437108</v>
      </c>
      <c r="J558" s="340">
        <f t="shared" si="221"/>
        <v>1.5707913740098289</v>
      </c>
      <c r="K558" s="348">
        <f t="shared" si="237"/>
        <v>37.863598394726452</v>
      </c>
      <c r="L558" s="349">
        <f t="shared" si="238"/>
        <v>1.5443826648049317</v>
      </c>
      <c r="M558" s="337">
        <f t="shared" si="222"/>
        <v>1.3151053387282654</v>
      </c>
      <c r="N558" s="340">
        <f t="shared" si="223"/>
        <v>0.70687467412599403</v>
      </c>
      <c r="O558" s="341">
        <f t="shared" si="224"/>
        <v>1.3281634838238603</v>
      </c>
      <c r="P558" s="342">
        <f t="shared" si="225"/>
        <v>1.3151420882981395</v>
      </c>
      <c r="Q558" s="343">
        <f t="shared" si="226"/>
        <v>-17.114264173698004</v>
      </c>
      <c r="R558" s="344">
        <f t="shared" si="227"/>
        <v>-192.95012198963525</v>
      </c>
      <c r="S558" s="346">
        <f t="shared" si="228"/>
        <v>-12.95012198963525</v>
      </c>
      <c r="U558" s="319">
        <f t="shared" si="234"/>
        <v>89644</v>
      </c>
      <c r="V558" s="319">
        <f t="shared" si="235"/>
        <v>8036046736</v>
      </c>
      <c r="X558" s="345">
        <f t="shared" si="229"/>
        <v>20.78944091882277</v>
      </c>
      <c r="Y558" s="346">
        <f t="shared" si="230"/>
        <v>-42.014043099941809</v>
      </c>
      <c r="AA558" s="345">
        <f t="shared" si="231"/>
        <v>25.705416196641856</v>
      </c>
      <c r="AB558" s="346">
        <f t="shared" si="232"/>
        <v>-150.93607888969342</v>
      </c>
      <c r="AD558">
        <f t="shared" si="236"/>
        <v>0</v>
      </c>
      <c r="AE558">
        <f t="shared" si="239"/>
        <v>0</v>
      </c>
    </row>
    <row r="559" spans="1:31" x14ac:dyDescent="0.25">
      <c r="A559" s="347">
        <v>90163</v>
      </c>
      <c r="B559" s="364">
        <f t="shared" si="233"/>
        <v>90.162999999999997</v>
      </c>
      <c r="C559" s="337">
        <f t="shared" si="214"/>
        <v>39.105244592986644</v>
      </c>
      <c r="D559" s="338">
        <f t="shared" si="215"/>
        <v>1.5452215214073637</v>
      </c>
      <c r="E559" s="338">
        <f t="shared" si="216"/>
        <v>1.0263644797009619</v>
      </c>
      <c r="F559" s="339">
        <f t="shared" si="217"/>
        <v>0.22714744458965494</v>
      </c>
      <c r="G559" s="338">
        <f t="shared" si="218"/>
        <v>1</v>
      </c>
      <c r="H559" s="339">
        <f t="shared" si="219"/>
        <v>0</v>
      </c>
      <c r="I559" s="337">
        <f t="shared" si="220"/>
        <v>203075.55322613276</v>
      </c>
      <c r="J559" s="340">
        <f t="shared" si="221"/>
        <v>1.5707914025192558</v>
      </c>
      <c r="K559" s="348">
        <f t="shared" si="237"/>
        <v>38.082659791959998</v>
      </c>
      <c r="L559" s="349">
        <f t="shared" si="238"/>
        <v>1.5445346381218461</v>
      </c>
      <c r="M559" s="337">
        <f t="shared" si="222"/>
        <v>1.3183222318996002</v>
      </c>
      <c r="N559" s="340">
        <f t="shared" si="223"/>
        <v>0.70972686024457876</v>
      </c>
      <c r="O559" s="341">
        <f t="shared" si="224"/>
        <v>1.3334436891706922</v>
      </c>
      <c r="P559" s="342">
        <f t="shared" si="225"/>
        <v>1.3221488322380335</v>
      </c>
      <c r="Q559" s="343">
        <f t="shared" si="226"/>
        <v>-17.217563024014751</v>
      </c>
      <c r="R559" s="344">
        <f t="shared" si="227"/>
        <v>-193.44238536641325</v>
      </c>
      <c r="S559" s="346">
        <f t="shared" si="228"/>
        <v>-13.442385366413248</v>
      </c>
      <c r="U559" s="319">
        <f t="shared" si="234"/>
        <v>90163</v>
      </c>
      <c r="V559" s="319">
        <f t="shared" si="235"/>
        <v>8129366569</v>
      </c>
      <c r="X559" s="345">
        <f t="shared" si="229"/>
        <v>20.768185440835296</v>
      </c>
      <c r="Y559" s="346">
        <f t="shared" si="230"/>
        <v>-42.168755530911334</v>
      </c>
      <c r="AA559" s="345">
        <f t="shared" si="231"/>
        <v>25.623372824312582</v>
      </c>
      <c r="AB559" s="346">
        <f t="shared" si="232"/>
        <v>-151.27362983550194</v>
      </c>
      <c r="AD559">
        <f t="shared" si="236"/>
        <v>0</v>
      </c>
      <c r="AE559">
        <f t="shared" si="239"/>
        <v>0</v>
      </c>
    </row>
    <row r="560" spans="1:31" x14ac:dyDescent="0.25">
      <c r="A560" s="347">
        <v>90682</v>
      </c>
      <c r="B560" s="364">
        <f t="shared" si="233"/>
        <v>90.682000000000002</v>
      </c>
      <c r="C560" s="337">
        <f t="shared" si="214"/>
        <v>39.330197046004137</v>
      </c>
      <c r="D560" s="338">
        <f t="shared" si="215"/>
        <v>1.545367830338789</v>
      </c>
      <c r="E560" s="338">
        <f t="shared" si="216"/>
        <v>1.0266649203952947</v>
      </c>
      <c r="F560" s="339">
        <f t="shared" si="217"/>
        <v>0.22841007768180943</v>
      </c>
      <c r="G560" s="338">
        <f t="shared" si="218"/>
        <v>1</v>
      </c>
      <c r="H560" s="339">
        <f t="shared" si="219"/>
        <v>0</v>
      </c>
      <c r="I560" s="337">
        <f t="shared" si="220"/>
        <v>204244.50514789464</v>
      </c>
      <c r="J560" s="340">
        <f t="shared" si="221"/>
        <v>1.5707914307023467</v>
      </c>
      <c r="K560" s="348">
        <f t="shared" si="237"/>
        <v>38.301722058685456</v>
      </c>
      <c r="L560" s="349">
        <f t="shared" si="238"/>
        <v>1.5446848730546006</v>
      </c>
      <c r="M560" s="337">
        <f t="shared" si="222"/>
        <v>1.3215497973154582</v>
      </c>
      <c r="N560" s="340">
        <f t="shared" si="223"/>
        <v>0.71256513781061415</v>
      </c>
      <c r="O560" s="341">
        <f t="shared" si="224"/>
        <v>1.3387781852038028</v>
      </c>
      <c r="P560" s="342">
        <f t="shared" si="225"/>
        <v>1.3291322553556393</v>
      </c>
      <c r="Q560" s="343">
        <f t="shared" si="226"/>
        <v>-17.3207953908889</v>
      </c>
      <c r="R560" s="344">
        <f t="shared" si="227"/>
        <v>-193.93256048799842</v>
      </c>
      <c r="S560" s="346">
        <f t="shared" si="228"/>
        <v>-13.932560487998416</v>
      </c>
      <c r="U560" s="319">
        <f t="shared" si="234"/>
        <v>90682</v>
      </c>
      <c r="V560" s="319">
        <f t="shared" si="235"/>
        <v>8223225124</v>
      </c>
      <c r="X560" s="345">
        <f t="shared" si="229"/>
        <v>20.746912132776089</v>
      </c>
      <c r="Y560" s="346">
        <f t="shared" si="230"/>
        <v>-42.322770643897705</v>
      </c>
      <c r="AA560" s="345">
        <f t="shared" si="231"/>
        <v>25.541413765497644</v>
      </c>
      <c r="AB560" s="346">
        <f t="shared" si="232"/>
        <v>-151.6097898441007</v>
      </c>
      <c r="AD560">
        <f t="shared" si="236"/>
        <v>0</v>
      </c>
      <c r="AE560">
        <f t="shared" si="239"/>
        <v>0</v>
      </c>
    </row>
    <row r="561" spans="1:31" x14ac:dyDescent="0.25">
      <c r="A561" s="347">
        <v>91201</v>
      </c>
      <c r="B561" s="364">
        <f t="shared" si="233"/>
        <v>91.200999999999993</v>
      </c>
      <c r="C561" s="337">
        <f t="shared" si="214"/>
        <v>39.555150331359734</v>
      </c>
      <c r="D561" s="338">
        <f t="shared" si="215"/>
        <v>1.5455124751322264</v>
      </c>
      <c r="E561" s="338">
        <f t="shared" si="216"/>
        <v>1.026966996883107</v>
      </c>
      <c r="F561" s="339">
        <f t="shared" si="217"/>
        <v>0.22967196999208969</v>
      </c>
      <c r="G561" s="338">
        <f t="shared" si="218"/>
        <v>1</v>
      </c>
      <c r="H561" s="339">
        <f t="shared" si="219"/>
        <v>0</v>
      </c>
      <c r="I561" s="337">
        <f t="shared" si="220"/>
        <v>205413.45706965667</v>
      </c>
      <c r="J561" s="340">
        <f t="shared" si="221"/>
        <v>1.5707914585646732</v>
      </c>
      <c r="K561" s="348">
        <f t="shared" si="237"/>
        <v>38.520785180068792</v>
      </c>
      <c r="L561" s="349">
        <f t="shared" si="238"/>
        <v>1.544833399254306</v>
      </c>
      <c r="M561" s="337">
        <f t="shared" si="222"/>
        <v>1.3247879569738481</v>
      </c>
      <c r="N561" s="340">
        <f t="shared" si="223"/>
        <v>0.7153895629172814</v>
      </c>
      <c r="O561" s="341">
        <f t="shared" si="224"/>
        <v>1.3441670963345342</v>
      </c>
      <c r="P561" s="342">
        <f t="shared" si="225"/>
        <v>1.3360921266795434</v>
      </c>
      <c r="Q561" s="343">
        <f t="shared" si="226"/>
        <v>-17.423961493528182</v>
      </c>
      <c r="R561" s="344">
        <f t="shared" si="227"/>
        <v>-194.42063748414967</v>
      </c>
      <c r="S561" s="346">
        <f t="shared" si="228"/>
        <v>-14.420637484149665</v>
      </c>
      <c r="U561" s="319">
        <f t="shared" si="234"/>
        <v>91201</v>
      </c>
      <c r="V561" s="319">
        <f t="shared" si="235"/>
        <v>8317622401</v>
      </c>
      <c r="X561" s="345">
        <f t="shared" si="229"/>
        <v>20.725621753756371</v>
      </c>
      <c r="Y561" s="346">
        <f t="shared" si="230"/>
        <v>-42.4760899542392</v>
      </c>
      <c r="AA561" s="345">
        <f t="shared" si="231"/>
        <v>25.459538041878073</v>
      </c>
      <c r="AB561" s="346">
        <f t="shared" si="232"/>
        <v>-151.94454752991047</v>
      </c>
      <c r="AD561">
        <f t="shared" si="236"/>
        <v>0</v>
      </c>
      <c r="AE561">
        <f t="shared" si="239"/>
        <v>0</v>
      </c>
    </row>
    <row r="562" spans="1:31" x14ac:dyDescent="0.25">
      <c r="A562" s="347">
        <v>91732</v>
      </c>
      <c r="B562" s="364">
        <f t="shared" si="233"/>
        <v>91.731999999999999</v>
      </c>
      <c r="C562" s="337">
        <f t="shared" si="214"/>
        <v>39.785305695449843</v>
      </c>
      <c r="D562" s="338">
        <f t="shared" si="215"/>
        <v>1.545658771448835</v>
      </c>
      <c r="E562" s="338">
        <f t="shared" si="216"/>
        <v>1.027277749256799</v>
      </c>
      <c r="F562" s="339">
        <f t="shared" si="217"/>
        <v>0.23096226882361487</v>
      </c>
      <c r="G562" s="338">
        <f t="shared" si="218"/>
        <v>1</v>
      </c>
      <c r="H562" s="339">
        <f t="shared" si="219"/>
        <v>0</v>
      </c>
      <c r="I562" s="337">
        <f t="shared" si="220"/>
        <v>206609.43678151738</v>
      </c>
      <c r="J562" s="340">
        <f t="shared" si="221"/>
        <v>1.5707914867449184</v>
      </c>
      <c r="K562" s="348">
        <f t="shared" si="237"/>
        <v>38.7449142141298</v>
      </c>
      <c r="L562" s="349">
        <f t="shared" si="238"/>
        <v>1.5449836213543995</v>
      </c>
      <c r="M562" s="337">
        <f t="shared" si="222"/>
        <v>1.3281118710609809</v>
      </c>
      <c r="N562" s="340">
        <f t="shared" si="223"/>
        <v>0.71826501491181516</v>
      </c>
      <c r="O562" s="341">
        <f t="shared" si="224"/>
        <v>1.3497370488341141</v>
      </c>
      <c r="P562" s="342">
        <f t="shared" si="225"/>
        <v>1.343188309760285</v>
      </c>
      <c r="Q562" s="343">
        <f t="shared" si="226"/>
        <v>-17.529444510215896</v>
      </c>
      <c r="R562" s="344">
        <f t="shared" si="227"/>
        <v>-194.9178180958028</v>
      </c>
      <c r="S562" s="346">
        <f t="shared" si="228"/>
        <v>-14.917818095802801</v>
      </c>
      <c r="U562" s="319">
        <f t="shared" si="234"/>
        <v>91732</v>
      </c>
      <c r="V562" s="319">
        <f t="shared" si="235"/>
        <v>8414759824</v>
      </c>
      <c r="X562" s="345">
        <f t="shared" si="229"/>
        <v>20.7038222258901</v>
      </c>
      <c r="Y562" s="346">
        <f t="shared" si="230"/>
        <v>-42.632235740181052</v>
      </c>
      <c r="AA562" s="345">
        <f t="shared" si="231"/>
        <v>25.375854553056637</v>
      </c>
      <c r="AB562" s="346">
        <f t="shared" si="232"/>
        <v>-152.28558235562173</v>
      </c>
      <c r="AD562">
        <f t="shared" si="236"/>
        <v>0</v>
      </c>
      <c r="AE562">
        <f t="shared" si="239"/>
        <v>0</v>
      </c>
    </row>
    <row r="563" spans="1:31" x14ac:dyDescent="0.25">
      <c r="A563" s="347">
        <v>92263</v>
      </c>
      <c r="B563" s="364">
        <f t="shared" si="233"/>
        <v>92.263000000000005</v>
      </c>
      <c r="C563" s="337">
        <f t="shared" si="214"/>
        <v>40.015461901254227</v>
      </c>
      <c r="D563" s="338">
        <f t="shared" si="215"/>
        <v>1.545803384868772</v>
      </c>
      <c r="E563" s="338">
        <f t="shared" si="216"/>
        <v>1.0275902108794304</v>
      </c>
      <c r="F563" s="339">
        <f t="shared" si="217"/>
        <v>0.23225178511290814</v>
      </c>
      <c r="G563" s="338">
        <f t="shared" si="218"/>
        <v>1</v>
      </c>
      <c r="H563" s="339">
        <f t="shared" si="219"/>
        <v>0</v>
      </c>
      <c r="I563" s="337">
        <f t="shared" si="220"/>
        <v>207805.41649337829</v>
      </c>
      <c r="J563" s="340">
        <f t="shared" si="221"/>
        <v>1.5707915146007927</v>
      </c>
      <c r="K563" s="348">
        <f t="shared" si="237"/>
        <v>38.969044112477341</v>
      </c>
      <c r="L563" s="349">
        <f t="shared" si="238"/>
        <v>1.5451321154573034</v>
      </c>
      <c r="M563" s="337">
        <f t="shared" si="222"/>
        <v>1.3314467113939172</v>
      </c>
      <c r="N563" s="340">
        <f t="shared" si="223"/>
        <v>0.72112608632251496</v>
      </c>
      <c r="O563" s="341">
        <f t="shared" si="224"/>
        <v>1.3553642120272227</v>
      </c>
      <c r="P563" s="342">
        <f t="shared" si="225"/>
        <v>1.3502593676072943</v>
      </c>
      <c r="Q563" s="343">
        <f t="shared" si="226"/>
        <v>-17.63485839201498</v>
      </c>
      <c r="R563" s="344">
        <f t="shared" si="227"/>
        <v>-195.41278259269203</v>
      </c>
      <c r="S563" s="346">
        <f t="shared" si="228"/>
        <v>-15.412782592692025</v>
      </c>
      <c r="U563" s="319">
        <f t="shared" si="234"/>
        <v>92263</v>
      </c>
      <c r="V563" s="319">
        <f t="shared" si="235"/>
        <v>8512461169</v>
      </c>
      <c r="X563" s="345">
        <f t="shared" si="229"/>
        <v>20.682006406054505</v>
      </c>
      <c r="Y563" s="346">
        <f t="shared" si="230"/>
        <v>-42.787656567722351</v>
      </c>
      <c r="AA563" s="345">
        <f t="shared" si="231"/>
        <v>25.292256491093141</v>
      </c>
      <c r="AB563" s="346">
        <f t="shared" si="232"/>
        <v>-152.62512602496963</v>
      </c>
      <c r="AD563">
        <f t="shared" si="236"/>
        <v>0</v>
      </c>
      <c r="AE563">
        <f t="shared" si="239"/>
        <v>0</v>
      </c>
    </row>
    <row r="564" spans="1:31" x14ac:dyDescent="0.25">
      <c r="A564" s="347">
        <v>92794</v>
      </c>
      <c r="B564" s="364">
        <f t="shared" si="233"/>
        <v>92.793999999999997</v>
      </c>
      <c r="C564" s="337">
        <f t="shared" si="214"/>
        <v>40.245618934332121</v>
      </c>
      <c r="D564" s="338">
        <f t="shared" si="215"/>
        <v>1.5459463442584336</v>
      </c>
      <c r="E564" s="338">
        <f t="shared" si="216"/>
        <v>1.027904380192272</v>
      </c>
      <c r="F564" s="339">
        <f t="shared" si="217"/>
        <v>0.23354051528701239</v>
      </c>
      <c r="G564" s="338">
        <f t="shared" si="218"/>
        <v>1</v>
      </c>
      <c r="H564" s="339">
        <f t="shared" si="219"/>
        <v>0</v>
      </c>
      <c r="I564" s="337">
        <f t="shared" si="220"/>
        <v>209001.39620523932</v>
      </c>
      <c r="J564" s="340">
        <f t="shared" si="221"/>
        <v>1.5707915421378649</v>
      </c>
      <c r="K564" s="348">
        <f t="shared" si="237"/>
        <v>39.193174860283889</v>
      </c>
      <c r="L564" s="349">
        <f t="shared" si="238"/>
        <v>1.5452789112016732</v>
      </c>
      <c r="M564" s="337">
        <f t="shared" si="222"/>
        <v>1.3347923960783843</v>
      </c>
      <c r="N564" s="340">
        <f t="shared" si="223"/>
        <v>0.7239728382697882</v>
      </c>
      <c r="O564" s="341">
        <f t="shared" si="224"/>
        <v>1.361048705774587</v>
      </c>
      <c r="P564" s="342">
        <f t="shared" si="225"/>
        <v>1.3573050705792888</v>
      </c>
      <c r="Q564" s="343">
        <f t="shared" si="226"/>
        <v>-17.740203140559348</v>
      </c>
      <c r="R564" s="344">
        <f t="shared" si="227"/>
        <v>-195.90552148006972</v>
      </c>
      <c r="S564" s="346">
        <f t="shared" si="228"/>
        <v>-15.905521480069723</v>
      </c>
      <c r="U564" s="319">
        <f t="shared" si="234"/>
        <v>92794</v>
      </c>
      <c r="V564" s="319">
        <f t="shared" si="235"/>
        <v>8610726436</v>
      </c>
      <c r="X564" s="345">
        <f t="shared" si="229"/>
        <v>20.660175076846073</v>
      </c>
      <c r="Y564" s="346">
        <f t="shared" si="230"/>
        <v>-42.942354240953676</v>
      </c>
      <c r="AA564" s="345">
        <f t="shared" si="231"/>
        <v>25.208743071757208</v>
      </c>
      <c r="AB564" s="346">
        <f t="shared" si="232"/>
        <v>-152.96316723911605</v>
      </c>
      <c r="AD564">
        <f t="shared" si="236"/>
        <v>0</v>
      </c>
      <c r="AE564">
        <f t="shared" si="239"/>
        <v>0</v>
      </c>
    </row>
    <row r="565" spans="1:31" x14ac:dyDescent="0.25">
      <c r="A565" s="347">
        <v>93325</v>
      </c>
      <c r="B565" s="364">
        <f t="shared" si="233"/>
        <v>93.325000000000003</v>
      </c>
      <c r="C565" s="337">
        <f t="shared" si="214"/>
        <v>40.475776780571174</v>
      </c>
      <c r="D565" s="338">
        <f t="shared" si="215"/>
        <v>1.5460876778279165</v>
      </c>
      <c r="E565" s="338">
        <f t="shared" si="216"/>
        <v>1.0282202556299873</v>
      </c>
      <c r="F565" s="339">
        <f t="shared" si="217"/>
        <v>0.23482845578777015</v>
      </c>
      <c r="G565" s="338">
        <f t="shared" si="218"/>
        <v>1</v>
      </c>
      <c r="H565" s="339">
        <f t="shared" si="219"/>
        <v>0</v>
      </c>
      <c r="I565" s="337">
        <f t="shared" si="220"/>
        <v>210197.37591710052</v>
      </c>
      <c r="J565" s="340">
        <f t="shared" si="221"/>
        <v>1.5707915693615764</v>
      </c>
      <c r="K565" s="348">
        <f t="shared" si="237"/>
        <v>39.417306443059132</v>
      </c>
      <c r="L565" s="349">
        <f t="shared" si="238"/>
        <v>1.5454240375523454</v>
      </c>
      <c r="M565" s="337">
        <f t="shared" si="222"/>
        <v>1.3381488437741493</v>
      </c>
      <c r="N565" s="340">
        <f t="shared" si="223"/>
        <v>0.72680533219214438</v>
      </c>
      <c r="O565" s="341">
        <f t="shared" si="224"/>
        <v>1.3667906455061714</v>
      </c>
      <c r="P565" s="342">
        <f t="shared" si="225"/>
        <v>1.3643251950918112</v>
      </c>
      <c r="Q565" s="343">
        <f t="shared" si="226"/>
        <v>-17.84547868424902</v>
      </c>
      <c r="R565" s="344">
        <f t="shared" si="227"/>
        <v>-196.39602562859315</v>
      </c>
      <c r="S565" s="346">
        <f t="shared" si="228"/>
        <v>-16.396025628593151</v>
      </c>
      <c r="U565" s="319">
        <f t="shared" si="234"/>
        <v>93325</v>
      </c>
      <c r="V565" s="319">
        <f t="shared" si="235"/>
        <v>8709555625</v>
      </c>
      <c r="X565" s="345">
        <f t="shared" si="229"/>
        <v>20.638329010729862</v>
      </c>
      <c r="Y565" s="346">
        <f t="shared" si="230"/>
        <v>-43.096330620791207</v>
      </c>
      <c r="AA565" s="345">
        <f t="shared" si="231"/>
        <v>25.125313594183748</v>
      </c>
      <c r="AB565" s="346">
        <f t="shared" si="232"/>
        <v>-153.29969500780194</v>
      </c>
      <c r="AD565">
        <f t="shared" si="236"/>
        <v>0</v>
      </c>
      <c r="AE565">
        <f t="shared" si="239"/>
        <v>0</v>
      </c>
    </row>
    <row r="566" spans="1:31" x14ac:dyDescent="0.25">
      <c r="A566" s="347">
        <v>93868.5</v>
      </c>
      <c r="B566" s="364">
        <f t="shared" si="233"/>
        <v>93.868499999999997</v>
      </c>
      <c r="C566" s="337">
        <f t="shared" si="214"/>
        <v>40.711353482911207</v>
      </c>
      <c r="D566" s="338">
        <f t="shared" si="215"/>
        <v>1.5462306835530726</v>
      </c>
      <c r="E566" s="338">
        <f t="shared" si="216"/>
        <v>1.0285453321316318</v>
      </c>
      <c r="F566" s="339">
        <f t="shared" si="217"/>
        <v>0.23614589356433283</v>
      </c>
      <c r="G566" s="338">
        <f t="shared" si="218"/>
        <v>1</v>
      </c>
      <c r="H566" s="339">
        <f t="shared" si="219"/>
        <v>0</v>
      </c>
      <c r="I566" s="337">
        <f t="shared" si="220"/>
        <v>211421.50957698122</v>
      </c>
      <c r="J566" s="340">
        <f t="shared" si="221"/>
        <v>1.5707915969071855</v>
      </c>
      <c r="K566" s="348">
        <f t="shared" si="237"/>
        <v>39.646715042940762</v>
      </c>
      <c r="L566" s="349">
        <f t="shared" si="238"/>
        <v>1.5455708809882716</v>
      </c>
      <c r="M566" s="337">
        <f t="shared" si="222"/>
        <v>1.3415953656208008</v>
      </c>
      <c r="N566" s="340">
        <f t="shared" si="223"/>
        <v>0.72968980341194756</v>
      </c>
      <c r="O566" s="341">
        <f t="shared" si="224"/>
        <v>1.3727273595416982</v>
      </c>
      <c r="P566" s="342">
        <f t="shared" si="225"/>
        <v>1.371483861066813</v>
      </c>
      <c r="Q566" s="343">
        <f t="shared" si="226"/>
        <v>-17.953160649248293</v>
      </c>
      <c r="R566" s="344">
        <f t="shared" si="227"/>
        <v>-196.8957530727462</v>
      </c>
      <c r="S566" s="346">
        <f t="shared" si="228"/>
        <v>-16.895753072746203</v>
      </c>
      <c r="U566" s="319">
        <f t="shared" si="234"/>
        <v>93868.5</v>
      </c>
      <c r="V566" s="319">
        <f t="shared" si="235"/>
        <v>8811295292.25</v>
      </c>
      <c r="X566" s="345">
        <f t="shared" si="229"/>
        <v>20.615954211819595</v>
      </c>
      <c r="Y566" s="346">
        <f t="shared" si="230"/>
        <v>-43.253186717111475</v>
      </c>
      <c r="AA566" s="345">
        <f t="shared" si="231"/>
        <v>25.040006428094735</v>
      </c>
      <c r="AB566" s="346">
        <f t="shared" si="232"/>
        <v>-153.64256635563476</v>
      </c>
      <c r="AD566">
        <f t="shared" si="236"/>
        <v>0</v>
      </c>
      <c r="AE566">
        <f t="shared" si="239"/>
        <v>0</v>
      </c>
    </row>
    <row r="567" spans="1:31" x14ac:dyDescent="0.25">
      <c r="A567" s="347">
        <v>94412</v>
      </c>
      <c r="B567" s="364">
        <f t="shared" si="233"/>
        <v>94.412000000000006</v>
      </c>
      <c r="C567" s="337">
        <f t="shared" si="214"/>
        <v>40.946931008244412</v>
      </c>
      <c r="D567" s="338">
        <f t="shared" si="215"/>
        <v>1.546372043788548</v>
      </c>
      <c r="E567" s="338">
        <f t="shared" si="216"/>
        <v>1.0288721926901758</v>
      </c>
      <c r="F567" s="339">
        <f t="shared" si="217"/>
        <v>0.23746249655595961</v>
      </c>
      <c r="G567" s="338">
        <f t="shared" si="218"/>
        <v>1</v>
      </c>
      <c r="H567" s="339">
        <f t="shared" si="219"/>
        <v>0</v>
      </c>
      <c r="I567" s="337">
        <f t="shared" si="220"/>
        <v>212645.64323686209</v>
      </c>
      <c r="J567" s="340">
        <f t="shared" si="221"/>
        <v>1.5707916241356519</v>
      </c>
      <c r="K567" s="348">
        <f t="shared" si="237"/>
        <v>39.876124487887743</v>
      </c>
      <c r="L567" s="349">
        <f t="shared" si="238"/>
        <v>1.5457160348312518</v>
      </c>
      <c r="M567" s="337">
        <f t="shared" si="222"/>
        <v>1.3450529925167132</v>
      </c>
      <c r="N567" s="340">
        <f t="shared" si="223"/>
        <v>0.73255946861796295</v>
      </c>
      <c r="O567" s="341">
        <f t="shared" si="224"/>
        <v>1.3787244866831436</v>
      </c>
      <c r="P567" s="342">
        <f t="shared" si="225"/>
        <v>1.3786152757366683</v>
      </c>
      <c r="Q567" s="343">
        <f t="shared" si="226"/>
        <v>-18.060769737341658</v>
      </c>
      <c r="R567" s="344">
        <f t="shared" si="227"/>
        <v>-197.39312114843776</v>
      </c>
      <c r="S567" s="346">
        <f t="shared" si="228"/>
        <v>-17.393121148437757</v>
      </c>
      <c r="U567" s="319">
        <f t="shared" si="234"/>
        <v>94412</v>
      </c>
      <c r="V567" s="319">
        <f t="shared" si="235"/>
        <v>8913625744</v>
      </c>
      <c r="X567" s="345">
        <f t="shared" si="229"/>
        <v>20.593565579336726</v>
      </c>
      <c r="Y567" s="346">
        <f t="shared" si="230"/>
        <v>-43.409291279703403</v>
      </c>
      <c r="AA567" s="345">
        <f t="shared" si="231"/>
        <v>24.954785972484238</v>
      </c>
      <c r="AB567" s="346">
        <f t="shared" si="232"/>
        <v>-153.98382986873429</v>
      </c>
      <c r="AD567">
        <f t="shared" si="236"/>
        <v>0</v>
      </c>
      <c r="AE567">
        <f t="shared" si="239"/>
        <v>0</v>
      </c>
    </row>
    <row r="568" spans="1:31" x14ac:dyDescent="0.25">
      <c r="A568" s="347">
        <v>94955.5</v>
      </c>
      <c r="B568" s="364">
        <f t="shared" si="233"/>
        <v>94.955500000000001</v>
      </c>
      <c r="C568" s="337">
        <f t="shared" si="214"/>
        <v>41.182509342447403</v>
      </c>
      <c r="D568" s="338">
        <f t="shared" si="215"/>
        <v>1.5465117867669707</v>
      </c>
      <c r="E568" s="338">
        <f t="shared" si="216"/>
        <v>1.0292008356058409</v>
      </c>
      <c r="F568" s="339">
        <f t="shared" si="217"/>
        <v>0.23877826099566968</v>
      </c>
      <c r="G568" s="338">
        <f t="shared" si="218"/>
        <v>1</v>
      </c>
      <c r="H568" s="339">
        <f t="shared" si="219"/>
        <v>0</v>
      </c>
      <c r="I568" s="337">
        <f t="shared" si="220"/>
        <v>213869.77689674307</v>
      </c>
      <c r="J568" s="340">
        <f t="shared" si="221"/>
        <v>1.5707916510524214</v>
      </c>
      <c r="K568" s="348">
        <f t="shared" si="237"/>
        <v>40.105534763398374</v>
      </c>
      <c r="L568" s="349">
        <f t="shared" si="238"/>
        <v>1.5458595280693674</v>
      </c>
      <c r="M568" s="337">
        <f t="shared" si="222"/>
        <v>1.3485216390414201</v>
      </c>
      <c r="N568" s="340">
        <f t="shared" si="223"/>
        <v>0.73541439461668101</v>
      </c>
      <c r="O568" s="341">
        <f t="shared" si="224"/>
        <v>1.3847821365774611</v>
      </c>
      <c r="P568" s="342">
        <f t="shared" si="225"/>
        <v>1.3857192192583352</v>
      </c>
      <c r="Q568" s="343">
        <f t="shared" si="226"/>
        <v>-18.168305650547822</v>
      </c>
      <c r="R568" s="344">
        <f t="shared" si="227"/>
        <v>-197.88812126017888</v>
      </c>
      <c r="S568" s="346">
        <f t="shared" si="228"/>
        <v>-17.888121260178877</v>
      </c>
      <c r="U568" s="319">
        <f t="shared" si="234"/>
        <v>94955.5</v>
      </c>
      <c r="V568" s="319">
        <f t="shared" si="235"/>
        <v>9016546980.25</v>
      </c>
      <c r="X568" s="345">
        <f t="shared" si="229"/>
        <v>20.571163909031043</v>
      </c>
      <c r="Y568" s="346">
        <f t="shared" si="230"/>
        <v>-43.564646475714234</v>
      </c>
      <c r="AA568" s="345">
        <f t="shared" si="231"/>
        <v>24.869651729583762</v>
      </c>
      <c r="AB568" s="346">
        <f t="shared" si="232"/>
        <v>-154.32347478446462</v>
      </c>
      <c r="AD568">
        <f t="shared" si="236"/>
        <v>0</v>
      </c>
      <c r="AE568">
        <f t="shared" si="239"/>
        <v>0</v>
      </c>
    </row>
    <row r="569" spans="1:31" x14ac:dyDescent="0.25">
      <c r="A569" s="347">
        <v>95499</v>
      </c>
      <c r="B569" s="364">
        <f t="shared" si="233"/>
        <v>95.498999999999995</v>
      </c>
      <c r="C569" s="337">
        <f t="shared" si="214"/>
        <v>41.418088471718079</v>
      </c>
      <c r="D569" s="338">
        <f t="shared" si="215"/>
        <v>1.5466499400788947</v>
      </c>
      <c r="E569" s="338">
        <f t="shared" si="216"/>
        <v>1.0295312591717558</v>
      </c>
      <c r="F569" s="339">
        <f t="shared" si="217"/>
        <v>0.24009318313289296</v>
      </c>
      <c r="G569" s="338">
        <f t="shared" si="218"/>
        <v>1</v>
      </c>
      <c r="H569" s="339">
        <f t="shared" si="219"/>
        <v>0</v>
      </c>
      <c r="I569" s="337">
        <f t="shared" si="220"/>
        <v>215093.91055662427</v>
      </c>
      <c r="J569" s="340">
        <f t="shared" si="221"/>
        <v>1.5707916776628157</v>
      </c>
      <c r="K569" s="348">
        <f t="shared" si="237"/>
        <v>40.33494585530083</v>
      </c>
      <c r="L569" s="349">
        <f t="shared" si="238"/>
        <v>1.546001389031481</v>
      </c>
      <c r="M569" s="337">
        <f t="shared" si="222"/>
        <v>1.3520012203802145</v>
      </c>
      <c r="N569" s="340">
        <f t="shared" si="223"/>
        <v>0.73825464849117872</v>
      </c>
      <c r="O569" s="341">
        <f t="shared" si="224"/>
        <v>1.3909004142121257</v>
      </c>
      <c r="P569" s="342">
        <f t="shared" si="225"/>
        <v>1.3927954785481449</v>
      </c>
      <c r="Q569" s="343">
        <f t="shared" si="226"/>
        <v>-18.275768021940394</v>
      </c>
      <c r="R569" s="344">
        <f t="shared" si="227"/>
        <v>-198.38074521564681</v>
      </c>
      <c r="S569" s="346">
        <f t="shared" si="228"/>
        <v>-18.380745215646812</v>
      </c>
      <c r="U569" s="319">
        <f t="shared" si="234"/>
        <v>95499</v>
      </c>
      <c r="V569" s="319">
        <f t="shared" si="235"/>
        <v>9120059001</v>
      </c>
      <c r="X569" s="345">
        <f t="shared" si="229"/>
        <v>20.54874998581754</v>
      </c>
      <c r="Y569" s="346">
        <f t="shared" si="230"/>
        <v>-43.719254525901825</v>
      </c>
      <c r="AA569" s="345">
        <f t="shared" si="231"/>
        <v>24.784603281404692</v>
      </c>
      <c r="AB569" s="346">
        <f t="shared" si="232"/>
        <v>-154.66149068974502</v>
      </c>
      <c r="AD569">
        <f t="shared" si="236"/>
        <v>0</v>
      </c>
      <c r="AE569">
        <f t="shared" si="239"/>
        <v>0</v>
      </c>
    </row>
    <row r="570" spans="1:31" x14ac:dyDescent="0.25">
      <c r="A570" s="347">
        <v>96611.5</v>
      </c>
      <c r="B570" s="364">
        <f t="shared" si="233"/>
        <v>96.611500000000007</v>
      </c>
      <c r="C570" s="337">
        <f t="shared" si="214"/>
        <v>41.900302083810395</v>
      </c>
      <c r="D570" s="338">
        <f t="shared" si="215"/>
        <v>1.5469278841584566</v>
      </c>
      <c r="E570" s="338">
        <f t="shared" si="216"/>
        <v>1.0302131547121769</v>
      </c>
      <c r="F570" s="339">
        <f t="shared" si="217"/>
        <v>0.24278207876369279</v>
      </c>
      <c r="G570" s="338">
        <f t="shared" si="218"/>
        <v>1</v>
      </c>
      <c r="H570" s="339">
        <f t="shared" si="219"/>
        <v>0</v>
      </c>
      <c r="I570" s="337">
        <f t="shared" si="220"/>
        <v>217599.61193034652</v>
      </c>
      <c r="J570" s="340">
        <f t="shared" si="221"/>
        <v>1.5707917311984654</v>
      </c>
      <c r="K570" s="348">
        <f t="shared" si="237"/>
        <v>40.80453406490502</v>
      </c>
      <c r="L570" s="349">
        <f t="shared" si="238"/>
        <v>1.5462867925119779</v>
      </c>
      <c r="M570" s="337">
        <f t="shared" si="222"/>
        <v>1.3591573839892908</v>
      </c>
      <c r="N570" s="340">
        <f t="shared" si="223"/>
        <v>0.7440229456790195</v>
      </c>
      <c r="O570" s="341">
        <f t="shared" si="224"/>
        <v>1.4036135061571586</v>
      </c>
      <c r="P570" s="342">
        <f t="shared" si="225"/>
        <v>1.4071928111365235</v>
      </c>
      <c r="Q570" s="343">
        <f t="shared" si="226"/>
        <v>-18.495503473286988</v>
      </c>
      <c r="R570" s="344">
        <f t="shared" si="227"/>
        <v>-199.38166399817078</v>
      </c>
      <c r="S570" s="346">
        <f t="shared" si="228"/>
        <v>-19.381663998170779</v>
      </c>
      <c r="U570" s="319">
        <f t="shared" si="234"/>
        <v>96611.5</v>
      </c>
      <c r="V570" s="319">
        <f t="shared" si="235"/>
        <v>9333781932.25</v>
      </c>
      <c r="X570" s="345">
        <f t="shared" si="229"/>
        <v>20.502835555591115</v>
      </c>
      <c r="Y570" s="346">
        <f t="shared" si="230"/>
        <v>-44.033404262577214</v>
      </c>
      <c r="AA570" s="345">
        <f t="shared" si="231"/>
        <v>24.610782260284523</v>
      </c>
      <c r="AB570" s="346">
        <f t="shared" si="232"/>
        <v>-155.34825973559356</v>
      </c>
      <c r="AD570">
        <f t="shared" si="236"/>
        <v>0</v>
      </c>
      <c r="AE570">
        <f t="shared" si="239"/>
        <v>0</v>
      </c>
    </row>
    <row r="571" spans="1:31" x14ac:dyDescent="0.25">
      <c r="A571" s="347">
        <v>97724</v>
      </c>
      <c r="B571" s="364">
        <f t="shared" si="233"/>
        <v>97.724000000000004</v>
      </c>
      <c r="C571" s="337">
        <f t="shared" si="214"/>
        <v>42.382518859165771</v>
      </c>
      <c r="D571" s="338">
        <f t="shared" si="215"/>
        <v>1.5471995035142829</v>
      </c>
      <c r="E571" s="338">
        <f t="shared" si="216"/>
        <v>1.0309024889730203</v>
      </c>
      <c r="F571" s="339">
        <f t="shared" si="217"/>
        <v>0.24546739781695082</v>
      </c>
      <c r="G571" s="338">
        <f t="shared" si="218"/>
        <v>1</v>
      </c>
      <c r="H571" s="339">
        <f t="shared" si="219"/>
        <v>0</v>
      </c>
      <c r="I571" s="337">
        <f t="shared" si="220"/>
        <v>220105.31330406939</v>
      </c>
      <c r="J571" s="340">
        <f t="shared" si="221"/>
        <v>1.5707917835152048</v>
      </c>
      <c r="K571" s="348">
        <f t="shared" si="237"/>
        <v>41.274125522617972</v>
      </c>
      <c r="L571" s="349">
        <f t="shared" si="238"/>
        <v>1.5465657017264058</v>
      </c>
      <c r="M571" s="337">
        <f t="shared" si="222"/>
        <v>1.3663582966047845</v>
      </c>
      <c r="N571" s="340">
        <f t="shared" si="223"/>
        <v>0.74973063154205555</v>
      </c>
      <c r="O571" s="341">
        <f t="shared" si="224"/>
        <v>1.4165818381255724</v>
      </c>
      <c r="P571" s="342">
        <f t="shared" si="225"/>
        <v>1.4214716127024638</v>
      </c>
      <c r="Q571" s="343">
        <f t="shared" si="226"/>
        <v>-18.714924383127716</v>
      </c>
      <c r="R571" s="344">
        <f t="shared" si="227"/>
        <v>-200.37253324727411</v>
      </c>
      <c r="S571" s="346">
        <f t="shared" si="228"/>
        <v>-20.372533247274106</v>
      </c>
      <c r="U571" s="319">
        <f t="shared" si="234"/>
        <v>97724</v>
      </c>
      <c r="V571" s="319">
        <f t="shared" si="235"/>
        <v>9549980176</v>
      </c>
      <c r="X571" s="345">
        <f t="shared" si="229"/>
        <v>20.456879519354729</v>
      </c>
      <c r="Y571" s="346">
        <f t="shared" si="230"/>
        <v>-44.34445325034541</v>
      </c>
      <c r="AA571" s="345">
        <f t="shared" si="231"/>
        <v>24.437317386680178</v>
      </c>
      <c r="AB571" s="346">
        <f t="shared" si="232"/>
        <v>-156.02807999692871</v>
      </c>
      <c r="AD571">
        <f t="shared" si="236"/>
        <v>0</v>
      </c>
      <c r="AE571">
        <f t="shared" si="239"/>
        <v>0</v>
      </c>
    </row>
    <row r="572" spans="1:31" x14ac:dyDescent="0.25">
      <c r="A572" s="347">
        <v>98862</v>
      </c>
      <c r="B572" s="364">
        <f t="shared" si="233"/>
        <v>98.861999999999995</v>
      </c>
      <c r="C572" s="337">
        <f t="shared" si="214"/>
        <v>42.875791854774221</v>
      </c>
      <c r="D572" s="338">
        <f t="shared" si="215"/>
        <v>1.547471027348317</v>
      </c>
      <c r="E572" s="338">
        <f t="shared" si="216"/>
        <v>1.0316153045900343</v>
      </c>
      <c r="F572" s="339">
        <f t="shared" si="217"/>
        <v>0.24821053465873258</v>
      </c>
      <c r="G572" s="338">
        <f t="shared" si="218"/>
        <v>1</v>
      </c>
      <c r="H572" s="339">
        <f t="shared" si="219"/>
        <v>0</v>
      </c>
      <c r="I572" s="337">
        <f t="shared" si="220"/>
        <v>222668.44873175235</v>
      </c>
      <c r="J572" s="340">
        <f t="shared" si="221"/>
        <v>1.5707918358128752</v>
      </c>
      <c r="K572" s="348">
        <f t="shared" si="237"/>
        <v>41.754483896084814</v>
      </c>
      <c r="L572" s="349">
        <f t="shared" si="238"/>
        <v>1.5468445130499144</v>
      </c>
      <c r="M572" s="337">
        <f t="shared" si="222"/>
        <v>1.3737698295170782</v>
      </c>
      <c r="N572" s="340">
        <f t="shared" si="223"/>
        <v>0.75550704321287643</v>
      </c>
      <c r="O572" s="341">
        <f t="shared" si="224"/>
        <v>1.4301122590729691</v>
      </c>
      <c r="P572" s="342">
        <f t="shared" si="225"/>
        <v>1.4359534387794357</v>
      </c>
      <c r="Q572" s="343">
        <f t="shared" si="226"/>
        <v>-18.93904349120233</v>
      </c>
      <c r="R572" s="344">
        <f t="shared" si="227"/>
        <v>-201.37566006212617</v>
      </c>
      <c r="S572" s="346">
        <f t="shared" si="228"/>
        <v>-21.375660062126173</v>
      </c>
      <c r="U572" s="319">
        <f t="shared" si="234"/>
        <v>98862</v>
      </c>
      <c r="V572" s="319">
        <f t="shared" si="235"/>
        <v>9773695044</v>
      </c>
      <c r="X572" s="345">
        <f t="shared" si="229"/>
        <v>20.409833644785941</v>
      </c>
      <c r="Y572" s="346">
        <f t="shared" si="230"/>
        <v>-44.659445544491803</v>
      </c>
      <c r="AA572" s="345">
        <f t="shared" si="231"/>
        <v>24.260244153174355</v>
      </c>
      <c r="AB572" s="346">
        <f t="shared" si="232"/>
        <v>-156.7162145176344</v>
      </c>
      <c r="AD572">
        <f t="shared" si="236"/>
        <v>0</v>
      </c>
      <c r="AE572">
        <f t="shared" si="239"/>
        <v>0</v>
      </c>
    </row>
    <row r="573" spans="1:31" x14ac:dyDescent="0.25">
      <c r="A573" s="347">
        <v>100000</v>
      </c>
      <c r="B573" s="364">
        <f t="shared" si="233"/>
        <v>100</v>
      </c>
      <c r="C573" s="337">
        <f t="shared" si="214"/>
        <v>43.369067939502514</v>
      </c>
      <c r="D573" s="338">
        <f t="shared" si="215"/>
        <v>1.547736374623623</v>
      </c>
      <c r="E573" s="338">
        <f t="shared" si="216"/>
        <v>1.0323358721514677</v>
      </c>
      <c r="F573" s="339">
        <f t="shared" si="217"/>
        <v>0.25094986268581249</v>
      </c>
      <c r="G573" s="338">
        <f t="shared" si="218"/>
        <v>1</v>
      </c>
      <c r="H573" s="339">
        <f t="shared" si="219"/>
        <v>0</v>
      </c>
      <c r="I573" s="337">
        <f t="shared" si="220"/>
        <v>225231.58415943591</v>
      </c>
      <c r="J573" s="340">
        <f t="shared" si="221"/>
        <v>1.5707918869202506</v>
      </c>
      <c r="K573" s="348">
        <f t="shared" si="237"/>
        <v>42.234845441535164</v>
      </c>
      <c r="L573" s="349">
        <f t="shared" si="238"/>
        <v>1.547116982226411</v>
      </c>
      <c r="M573" s="337">
        <f t="shared" si="222"/>
        <v>1.381226708096946</v>
      </c>
      <c r="N573" s="340">
        <f t="shared" si="223"/>
        <v>0.76122127319762012</v>
      </c>
      <c r="O573" s="341">
        <f t="shared" si="224"/>
        <v>1.4439112060121992</v>
      </c>
      <c r="P573" s="342">
        <f t="shared" si="225"/>
        <v>1.4503080612873256</v>
      </c>
      <c r="Q573" s="343">
        <f t="shared" si="226"/>
        <v>-19.162820729539355</v>
      </c>
      <c r="R573" s="344">
        <f t="shared" si="227"/>
        <v>-202.36816354946183</v>
      </c>
      <c r="S573" s="346">
        <f t="shared" si="228"/>
        <v>-22.368163549461826</v>
      </c>
      <c r="U573" s="319">
        <f t="shared" si="234"/>
        <v>100000</v>
      </c>
      <c r="V573" s="319">
        <f t="shared" si="235"/>
        <v>10000000000</v>
      </c>
      <c r="X573" s="345">
        <f t="shared" si="229"/>
        <v>20.362757406350202</v>
      </c>
      <c r="Y573" s="346">
        <f t="shared" si="230"/>
        <v>-44.971238400517251</v>
      </c>
      <c r="AA573" s="345">
        <f t="shared" si="231"/>
        <v>24.083543153273069</v>
      </c>
      <c r="AB573" s="346">
        <f t="shared" si="232"/>
        <v>-157.39692514894458</v>
      </c>
      <c r="AD573">
        <f t="shared" si="236"/>
        <v>0</v>
      </c>
      <c r="AE573">
        <f t="shared" si="239"/>
        <v>0</v>
      </c>
    </row>
    <row r="574" spans="1:31" x14ac:dyDescent="0.25">
      <c r="A574" s="347">
        <v>101165</v>
      </c>
      <c r="B574" s="364">
        <f t="shared" si="233"/>
        <v>101.16500000000001</v>
      </c>
      <c r="C574" s="337">
        <f t="shared" si="214"/>
        <v>43.874050502270087</v>
      </c>
      <c r="D574" s="338">
        <f t="shared" si="215"/>
        <v>1.5480018368417361</v>
      </c>
      <c r="E574" s="338">
        <f t="shared" si="216"/>
        <v>1.0330815488515177</v>
      </c>
      <c r="F574" s="339">
        <f t="shared" si="217"/>
        <v>0.25375020356500572</v>
      </c>
      <c r="G574" s="338">
        <f t="shared" si="218"/>
        <v>1</v>
      </c>
      <c r="H574" s="339">
        <f t="shared" si="219"/>
        <v>0</v>
      </c>
      <c r="I574" s="337">
        <f t="shared" si="220"/>
        <v>227855.53211484192</v>
      </c>
      <c r="J574" s="340">
        <f t="shared" si="221"/>
        <v>1.5707919380491386</v>
      </c>
      <c r="K574" s="348">
        <f t="shared" si="237"/>
        <v>42.726607139720549</v>
      </c>
      <c r="L574" s="349">
        <f t="shared" si="238"/>
        <v>1.5473895696124185</v>
      </c>
      <c r="M574" s="337">
        <f t="shared" si="222"/>
        <v>1.3889067169963627</v>
      </c>
      <c r="N574" s="340">
        <f t="shared" si="223"/>
        <v>0.76700732523052562</v>
      </c>
      <c r="O574" s="341">
        <f t="shared" si="224"/>
        <v>1.4583163425024059</v>
      </c>
      <c r="P574" s="342">
        <f t="shared" si="225"/>
        <v>1.4648700177028335</v>
      </c>
      <c r="Q574" s="343">
        <f t="shared" si="226"/>
        <v>-19.391544929838716</v>
      </c>
      <c r="R574" s="344">
        <f t="shared" si="227"/>
        <v>-203.37316553004595</v>
      </c>
      <c r="S574" s="346">
        <f t="shared" si="228"/>
        <v>-23.373165530045952</v>
      </c>
      <c r="U574" s="319">
        <f t="shared" si="234"/>
        <v>101165</v>
      </c>
      <c r="V574" s="319">
        <f t="shared" si="235"/>
        <v>10234357225</v>
      </c>
      <c r="X574" s="345">
        <f t="shared" si="229"/>
        <v>20.314539439136873</v>
      </c>
      <c r="Y574" s="346">
        <f t="shared" si="230"/>
        <v>-45.287139585109557</v>
      </c>
      <c r="AA574" s="345">
        <f t="shared" si="231"/>
        <v>23.903036920187041</v>
      </c>
      <c r="AB574" s="346">
        <f t="shared" si="232"/>
        <v>-158.08602594493638</v>
      </c>
      <c r="AD574">
        <f t="shared" si="236"/>
        <v>0</v>
      </c>
      <c r="AE574">
        <f t="shared" si="239"/>
        <v>0</v>
      </c>
    </row>
    <row r="575" spans="1:31" x14ac:dyDescent="0.25">
      <c r="A575" s="347">
        <v>102330</v>
      </c>
      <c r="B575" s="364">
        <f t="shared" si="233"/>
        <v>102.33</v>
      </c>
      <c r="C575" s="337">
        <f t="shared" si="214"/>
        <v>44.379036086487595</v>
      </c>
      <c r="D575" s="338">
        <f t="shared" si="215"/>
        <v>1.5482612577301074</v>
      </c>
      <c r="E575" s="338">
        <f t="shared" si="216"/>
        <v>1.0338353151595452</v>
      </c>
      <c r="F575" s="339">
        <f t="shared" si="217"/>
        <v>0.25654648290514909</v>
      </c>
      <c r="G575" s="338">
        <f t="shared" si="218"/>
        <v>1</v>
      </c>
      <c r="H575" s="339">
        <f t="shared" si="219"/>
        <v>0</v>
      </c>
      <c r="I575" s="337">
        <f t="shared" si="220"/>
        <v>230479.48007024848</v>
      </c>
      <c r="J575" s="340">
        <f t="shared" si="221"/>
        <v>1.570791988013849</v>
      </c>
      <c r="K575" s="348">
        <f t="shared" si="237"/>
        <v>43.218371940410556</v>
      </c>
      <c r="L575" s="349">
        <f t="shared" si="238"/>
        <v>1.5476559536892363</v>
      </c>
      <c r="M575" s="337">
        <f t="shared" si="222"/>
        <v>1.3966327119814312</v>
      </c>
      <c r="N575" s="340">
        <f t="shared" si="223"/>
        <v>0.77272955166512047</v>
      </c>
      <c r="O575" s="341">
        <f t="shared" si="224"/>
        <v>1.4730041147216755</v>
      </c>
      <c r="P575" s="342">
        <f t="shared" si="225"/>
        <v>1.4792958044799711</v>
      </c>
      <c r="Q575" s="343">
        <f t="shared" si="226"/>
        <v>-19.619893287965503</v>
      </c>
      <c r="R575" s="344">
        <f t="shared" si="227"/>
        <v>-204.36695055071482</v>
      </c>
      <c r="S575" s="346">
        <f t="shared" si="228"/>
        <v>-24.366950550714819</v>
      </c>
      <c r="U575" s="319">
        <f t="shared" si="234"/>
        <v>102330</v>
      </c>
      <c r="V575" s="319">
        <f t="shared" si="235"/>
        <v>10471428900</v>
      </c>
      <c r="X575" s="345">
        <f t="shared" si="229"/>
        <v>20.26630294654079</v>
      </c>
      <c r="Y575" s="346">
        <f t="shared" si="230"/>
        <v>-45.599739189023111</v>
      </c>
      <c r="AA575" s="345">
        <f t="shared" si="231"/>
        <v>23.722925054656336</v>
      </c>
      <c r="AB575" s="346">
        <f t="shared" si="232"/>
        <v>-158.76721136169175</v>
      </c>
      <c r="AD575">
        <f t="shared" si="236"/>
        <v>0</v>
      </c>
      <c r="AE575">
        <f t="shared" si="239"/>
        <v>0</v>
      </c>
    </row>
    <row r="576" spans="1:31" x14ac:dyDescent="0.25">
      <c r="A576" s="347">
        <v>103520</v>
      </c>
      <c r="B576" s="364">
        <f t="shared" si="233"/>
        <v>103.52</v>
      </c>
      <c r="C576" s="337">
        <f t="shared" si="214"/>
        <v>44.894861284611622</v>
      </c>
      <c r="D576" s="338">
        <f t="shared" si="215"/>
        <v>1.548520220346961</v>
      </c>
      <c r="E576" s="338">
        <f t="shared" si="216"/>
        <v>1.0346135901900915</v>
      </c>
      <c r="F576" s="339">
        <f t="shared" si="217"/>
        <v>0.25939853884208319</v>
      </c>
      <c r="G576" s="338">
        <f t="shared" si="218"/>
        <v>1</v>
      </c>
      <c r="H576" s="339">
        <f t="shared" si="219"/>
        <v>0</v>
      </c>
      <c r="I576" s="337">
        <f t="shared" si="220"/>
        <v>233159.73592169443</v>
      </c>
      <c r="J576" s="340">
        <f t="shared" si="221"/>
        <v>1.5707920378897131</v>
      </c>
      <c r="K576" s="348">
        <f t="shared" si="237"/>
        <v>43.72069272804741</v>
      </c>
      <c r="L576" s="349">
        <f t="shared" si="238"/>
        <v>1.5479218673630597</v>
      </c>
      <c r="M576" s="337">
        <f t="shared" si="222"/>
        <v>1.4045711886783245</v>
      </c>
      <c r="N576" s="340">
        <f t="shared" si="223"/>
        <v>0.77850938673544634</v>
      </c>
      <c r="O576" s="341">
        <f t="shared" si="224"/>
        <v>1.4882993848600332</v>
      </c>
      <c r="P576" s="342">
        <f t="shared" si="225"/>
        <v>1.4938892864900262</v>
      </c>
      <c r="Q576" s="343">
        <f t="shared" si="226"/>
        <v>-19.852743266871371</v>
      </c>
      <c r="R576" s="344">
        <f t="shared" si="227"/>
        <v>-205.37044945857653</v>
      </c>
      <c r="S576" s="346">
        <f t="shared" si="228"/>
        <v>-25.37044945857653</v>
      </c>
      <c r="U576" s="319">
        <f t="shared" si="234"/>
        <v>103520</v>
      </c>
      <c r="V576" s="319">
        <f t="shared" si="235"/>
        <v>10716390400</v>
      </c>
      <c r="X576" s="345">
        <f t="shared" si="229"/>
        <v>20.217018880928187</v>
      </c>
      <c r="Y576" s="346">
        <f t="shared" si="230"/>
        <v>-45.9156664716471</v>
      </c>
      <c r="AA576" s="345">
        <f t="shared" si="231"/>
        <v>23.539359141363072</v>
      </c>
      <c r="AB576" s="346">
        <f t="shared" si="232"/>
        <v>-159.45478298692944</v>
      </c>
      <c r="AD576">
        <f t="shared" si="236"/>
        <v>0</v>
      </c>
      <c r="AE576">
        <f t="shared" si="239"/>
        <v>0</v>
      </c>
    </row>
    <row r="577" spans="1:31" x14ac:dyDescent="0.25">
      <c r="A577" s="347">
        <v>104710</v>
      </c>
      <c r="B577" s="364">
        <f t="shared" si="233"/>
        <v>104.71</v>
      </c>
      <c r="C577" s="337">
        <f t="shared" si="214"/>
        <v>45.410689425060134</v>
      </c>
      <c r="D577" s="338">
        <f t="shared" si="215"/>
        <v>1.5487732997751336</v>
      </c>
      <c r="E577" s="338">
        <f t="shared" si="216"/>
        <v>1.0354002683067651</v>
      </c>
      <c r="F577" s="339">
        <f t="shared" si="217"/>
        <v>0.26224628403453926</v>
      </c>
      <c r="G577" s="338">
        <f t="shared" si="218"/>
        <v>1</v>
      </c>
      <c r="H577" s="339">
        <f t="shared" si="219"/>
        <v>0</v>
      </c>
      <c r="I577" s="337">
        <f t="shared" si="220"/>
        <v>235839.99177314091</v>
      </c>
      <c r="J577" s="340">
        <f t="shared" si="221"/>
        <v>1.5707920866319265</v>
      </c>
      <c r="K577" s="348">
        <f t="shared" si="237"/>
        <v>44.223016536946531</v>
      </c>
      <c r="L577" s="349">
        <f t="shared" si="238"/>
        <v>1.5481817400934432</v>
      </c>
      <c r="M577" s="337">
        <f t="shared" si="222"/>
        <v>1.4125560588699078</v>
      </c>
      <c r="N577" s="340">
        <f t="shared" si="223"/>
        <v>0.78422406663844135</v>
      </c>
      <c r="O577" s="341">
        <f t="shared" si="224"/>
        <v>1.503890503579806</v>
      </c>
      <c r="P577" s="342">
        <f t="shared" si="225"/>
        <v>1.5083382282981341</v>
      </c>
      <c r="Q577" s="343">
        <f t="shared" si="226"/>
        <v>-20.085178981429447</v>
      </c>
      <c r="R577" s="344">
        <f t="shared" si="227"/>
        <v>-206.36218966797543</v>
      </c>
      <c r="S577" s="346">
        <f t="shared" si="228"/>
        <v>-26.362189667975429</v>
      </c>
      <c r="U577" s="319">
        <f t="shared" si="234"/>
        <v>104710</v>
      </c>
      <c r="V577" s="319">
        <f t="shared" si="235"/>
        <v>10964184100</v>
      </c>
      <c r="X577" s="345">
        <f t="shared" si="229"/>
        <v>20.167728800397512</v>
      </c>
      <c r="Y577" s="346">
        <f t="shared" si="230"/>
        <v>-46.228206693775668</v>
      </c>
      <c r="AA577" s="345">
        <f t="shared" si="231"/>
        <v>23.35621350733566</v>
      </c>
      <c r="AB577" s="346">
        <f t="shared" si="232"/>
        <v>-160.13398297419974</v>
      </c>
      <c r="AD577">
        <f t="shared" si="236"/>
        <v>0</v>
      </c>
      <c r="AE577">
        <f t="shared" si="239"/>
        <v>0</v>
      </c>
    </row>
    <row r="578" spans="1:31" x14ac:dyDescent="0.25">
      <c r="A578" s="347">
        <v>105930</v>
      </c>
      <c r="B578" s="364">
        <f t="shared" si="233"/>
        <v>105.93</v>
      </c>
      <c r="C578" s="337">
        <f t="shared" si="214"/>
        <v>45.939524587043053</v>
      </c>
      <c r="D578" s="338">
        <f t="shared" si="215"/>
        <v>1.5490268592544738</v>
      </c>
      <c r="E578" s="338">
        <f t="shared" si="216"/>
        <v>1.0362154821284633</v>
      </c>
      <c r="F578" s="339">
        <f t="shared" si="217"/>
        <v>0.26516130798048287</v>
      </c>
      <c r="G578" s="338">
        <f t="shared" si="218"/>
        <v>1</v>
      </c>
      <c r="H578" s="339">
        <f t="shared" si="219"/>
        <v>0</v>
      </c>
      <c r="I578" s="337">
        <f t="shared" si="220"/>
        <v>238587.81709983456</v>
      </c>
      <c r="J578" s="340">
        <f t="shared" si="221"/>
        <v>1.570792135466051</v>
      </c>
      <c r="K578" s="348">
        <f t="shared" si="237"/>
        <v>44.738007001213965</v>
      </c>
      <c r="L578" s="349">
        <f t="shared" si="238"/>
        <v>1.5484421059189619</v>
      </c>
      <c r="M578" s="337">
        <f t="shared" si="222"/>
        <v>1.4207895720447297</v>
      </c>
      <c r="N578" s="340">
        <f t="shared" si="223"/>
        <v>0.79001593706680129</v>
      </c>
      <c r="O578" s="341">
        <f t="shared" si="224"/>
        <v>1.5201821789233665</v>
      </c>
      <c r="P578" s="342">
        <f t="shared" si="225"/>
        <v>1.5230003046172309</v>
      </c>
      <c r="Q578" s="343">
        <f t="shared" si="226"/>
        <v>-20.323031561551176</v>
      </c>
      <c r="R578" s="344">
        <f t="shared" si="227"/>
        <v>-207.366708745935</v>
      </c>
      <c r="S578" s="346">
        <f t="shared" si="228"/>
        <v>-27.366708745935</v>
      </c>
      <c r="U578" s="319">
        <f t="shared" si="234"/>
        <v>105930</v>
      </c>
      <c r="V578" s="319">
        <f t="shared" si="235"/>
        <v>11221164900</v>
      </c>
      <c r="X578" s="345">
        <f t="shared" si="229"/>
        <v>20.117196570674842</v>
      </c>
      <c r="Y578" s="346">
        <f t="shared" si="230"/>
        <v>-46.545141360227028</v>
      </c>
      <c r="AA578" s="345">
        <f t="shared" si="231"/>
        <v>23.168893156936608</v>
      </c>
      <c r="AB578" s="346">
        <f t="shared" si="232"/>
        <v>-160.82156738570799</v>
      </c>
      <c r="AD578">
        <f t="shared" si="236"/>
        <v>0</v>
      </c>
      <c r="AE578">
        <f t="shared" si="239"/>
        <v>0</v>
      </c>
    </row>
    <row r="579" spans="1:31" x14ac:dyDescent="0.25">
      <c r="A579" s="347">
        <v>107150</v>
      </c>
      <c r="B579" s="364">
        <f t="shared" si="233"/>
        <v>107.15</v>
      </c>
      <c r="C579" s="337">
        <f t="shared" si="214"/>
        <v>46.468362635362297</v>
      </c>
      <c r="D579" s="338">
        <f t="shared" si="215"/>
        <v>1.5492746474292349</v>
      </c>
      <c r="E579" s="338">
        <f t="shared" si="216"/>
        <v>1.0370394871639876</v>
      </c>
      <c r="F579" s="339">
        <f t="shared" si="217"/>
        <v>0.26807172421786474</v>
      </c>
      <c r="G579" s="338">
        <f t="shared" si="218"/>
        <v>1</v>
      </c>
      <c r="H579" s="339">
        <f t="shared" si="219"/>
        <v>0</v>
      </c>
      <c r="I579" s="337">
        <f t="shared" si="220"/>
        <v>241335.64242652874</v>
      </c>
      <c r="J579" s="340">
        <f t="shared" si="221"/>
        <v>1.570792183188134</v>
      </c>
      <c r="K579" s="348">
        <f t="shared" si="237"/>
        <v>45.25300042925884</v>
      </c>
      <c r="L579" s="349">
        <f t="shared" si="238"/>
        <v>1.5486965456708568</v>
      </c>
      <c r="M579" s="337">
        <f t="shared" si="222"/>
        <v>1.4290701965653769</v>
      </c>
      <c r="N579" s="340">
        <f t="shared" si="223"/>
        <v>0.79574087670542804</v>
      </c>
      <c r="O579" s="341">
        <f t="shared" si="224"/>
        <v>1.536785480754119</v>
      </c>
      <c r="P579" s="342">
        <f t="shared" si="225"/>
        <v>1.5375084355898059</v>
      </c>
      <c r="Q579" s="343">
        <f t="shared" si="226"/>
        <v>-20.560422088440543</v>
      </c>
      <c r="R579" s="344">
        <f t="shared" si="227"/>
        <v>-208.35884535962944</v>
      </c>
      <c r="S579" s="346">
        <f t="shared" si="228"/>
        <v>-28.358845359629441</v>
      </c>
      <c r="U579" s="319">
        <f t="shared" si="234"/>
        <v>107150</v>
      </c>
      <c r="V579" s="319">
        <f t="shared" si="235"/>
        <v>11481122500</v>
      </c>
      <c r="X579" s="345">
        <f t="shared" si="229"/>
        <v>20.066671417458753</v>
      </c>
      <c r="Y579" s="346">
        <f t="shared" si="230"/>
        <v>-46.85858065019567</v>
      </c>
      <c r="AA579" s="345">
        <f t="shared" si="231"/>
        <v>22.982027783263334</v>
      </c>
      <c r="AB579" s="346">
        <f t="shared" si="232"/>
        <v>-161.50026470943382</v>
      </c>
      <c r="AD579">
        <f t="shared" si="236"/>
        <v>0</v>
      </c>
      <c r="AE579">
        <f t="shared" si="239"/>
        <v>0</v>
      </c>
    </row>
    <row r="580" spans="1:31" x14ac:dyDescent="0.25">
      <c r="A580" s="347">
        <v>108400</v>
      </c>
      <c r="B580" s="364">
        <f t="shared" si="233"/>
        <v>108.4</v>
      </c>
      <c r="C580" s="337">
        <f t="shared" si="214"/>
        <v>47.010207789797235</v>
      </c>
      <c r="D580" s="338">
        <f t="shared" si="215"/>
        <v>1.549522746469723</v>
      </c>
      <c r="E580" s="338">
        <f t="shared" si="216"/>
        <v>1.0378928508595546</v>
      </c>
      <c r="F580" s="339">
        <f t="shared" si="217"/>
        <v>0.27104888899207397</v>
      </c>
      <c r="G580" s="338">
        <f t="shared" si="218"/>
        <v>1</v>
      </c>
      <c r="H580" s="339">
        <f t="shared" si="219"/>
        <v>0</v>
      </c>
      <c r="I580" s="337">
        <f t="shared" si="220"/>
        <v>244151.03722847003</v>
      </c>
      <c r="J580" s="340">
        <f t="shared" si="221"/>
        <v>1.5707922309695774</v>
      </c>
      <c r="K580" s="348">
        <f t="shared" si="237"/>
        <v>45.78066059952792</v>
      </c>
      <c r="L580" s="349">
        <f t="shared" si="238"/>
        <v>1.5489513047813224</v>
      </c>
      <c r="M580" s="337">
        <f t="shared" si="222"/>
        <v>1.4376024549915238</v>
      </c>
      <c r="N580" s="340">
        <f t="shared" si="223"/>
        <v>0.80153799429457873</v>
      </c>
      <c r="O580" s="341">
        <f t="shared" si="224"/>
        <v>1.5541205000644256</v>
      </c>
      <c r="P580" s="342">
        <f t="shared" si="225"/>
        <v>1.5522128249758873</v>
      </c>
      <c r="Q580" s="343">
        <f t="shared" si="226"/>
        <v>-20.80315587307016</v>
      </c>
      <c r="R580" s="344">
        <f t="shared" si="227"/>
        <v>-209.36253735141207</v>
      </c>
      <c r="S580" s="346">
        <f t="shared" si="228"/>
        <v>-29.362537351412072</v>
      </c>
      <c r="U580" s="319">
        <f t="shared" si="234"/>
        <v>108400</v>
      </c>
      <c r="V580" s="319">
        <f t="shared" si="235"/>
        <v>11750560000</v>
      </c>
      <c r="X580" s="345">
        <f t="shared" si="229"/>
        <v>20.014917915054514</v>
      </c>
      <c r="Y580" s="346">
        <f t="shared" si="230"/>
        <v>-47.176137137610773</v>
      </c>
      <c r="AA580" s="345">
        <f t="shared" si="231"/>
        <v>22.791047501037951</v>
      </c>
      <c r="AB580" s="346">
        <f t="shared" si="232"/>
        <v>-162.18640021380128</v>
      </c>
      <c r="AD580">
        <f t="shared" si="236"/>
        <v>0</v>
      </c>
      <c r="AE580">
        <f t="shared" si="239"/>
        <v>0</v>
      </c>
    </row>
    <row r="581" spans="1:31" x14ac:dyDescent="0.25">
      <c r="A581" s="347">
        <v>109650</v>
      </c>
      <c r="B581" s="364">
        <f t="shared" si="233"/>
        <v>109.65</v>
      </c>
      <c r="C581" s="337">
        <f t="shared" si="214"/>
        <v>47.552055771913246</v>
      </c>
      <c r="D581" s="338">
        <f t="shared" si="215"/>
        <v>1.5497651914279991</v>
      </c>
      <c r="E581" s="338">
        <f t="shared" si="216"/>
        <v>1.0387553987663274</v>
      </c>
      <c r="F581" s="339">
        <f t="shared" si="217"/>
        <v>0.27402113579749082</v>
      </c>
      <c r="G581" s="338">
        <f t="shared" si="218"/>
        <v>1</v>
      </c>
      <c r="H581" s="339">
        <f t="shared" si="219"/>
        <v>0</v>
      </c>
      <c r="I581" s="337">
        <f t="shared" si="220"/>
        <v>246966.43203041187</v>
      </c>
      <c r="J581" s="340">
        <f t="shared" si="221"/>
        <v>1.5707922776616126</v>
      </c>
      <c r="K581" s="348">
        <f t="shared" si="237"/>
        <v>46.3083236733505</v>
      </c>
      <c r="L581" s="349">
        <f t="shared" si="238"/>
        <v>1.5492002581705868</v>
      </c>
      <c r="M581" s="337">
        <f t="shared" si="222"/>
        <v>1.4461824552904432</v>
      </c>
      <c r="N581" s="340">
        <f t="shared" si="223"/>
        <v>0.80726651551310713</v>
      </c>
      <c r="O581" s="341">
        <f t="shared" si="224"/>
        <v>1.5717830307745884</v>
      </c>
      <c r="P581" s="342">
        <f t="shared" si="225"/>
        <v>1.5667540833205891</v>
      </c>
      <c r="Q581" s="343">
        <f t="shared" si="226"/>
        <v>-21.045373691058543</v>
      </c>
      <c r="R581" s="344">
        <f t="shared" si="227"/>
        <v>-210.35324274518572</v>
      </c>
      <c r="S581" s="346">
        <f t="shared" si="228"/>
        <v>-30.353242745185725</v>
      </c>
      <c r="U581" s="319">
        <f t="shared" si="234"/>
        <v>109650</v>
      </c>
      <c r="V581" s="319">
        <f t="shared" si="235"/>
        <v>12023122500</v>
      </c>
      <c r="X581" s="345">
        <f t="shared" si="229"/>
        <v>19.963185284829382</v>
      </c>
      <c r="Y581" s="346">
        <f t="shared" si="230"/>
        <v>-47.490095923398577</v>
      </c>
      <c r="AA581" s="345">
        <f t="shared" si="231"/>
        <v>22.6005623132747</v>
      </c>
      <c r="AB581" s="346">
        <f t="shared" si="232"/>
        <v>-162.86314682178718</v>
      </c>
      <c r="AD581">
        <f t="shared" si="236"/>
        <v>0</v>
      </c>
      <c r="AE581">
        <f t="shared" si="239"/>
        <v>0</v>
      </c>
    </row>
    <row r="582" spans="1:31" x14ac:dyDescent="0.25">
      <c r="A582" s="347">
        <v>110925</v>
      </c>
      <c r="B582" s="364">
        <f t="shared" si="233"/>
        <v>110.925</v>
      </c>
      <c r="C582" s="337">
        <f t="shared" si="214"/>
        <v>48.104743527654342</v>
      </c>
      <c r="D582" s="338">
        <f t="shared" si="215"/>
        <v>1.5500068585645479</v>
      </c>
      <c r="E582" s="338">
        <f t="shared" si="216"/>
        <v>1.0396446354977915</v>
      </c>
      <c r="F582" s="339">
        <f t="shared" si="217"/>
        <v>0.27704771935118128</v>
      </c>
      <c r="G582" s="338">
        <f t="shared" si="218"/>
        <v>1</v>
      </c>
      <c r="H582" s="339">
        <f t="shared" si="219"/>
        <v>0</v>
      </c>
      <c r="I582" s="337">
        <f t="shared" si="220"/>
        <v>249838.13472839311</v>
      </c>
      <c r="J582" s="340">
        <f t="shared" si="221"/>
        <v>1.5707923242033743</v>
      </c>
      <c r="K582" s="348">
        <f t="shared" si="237"/>
        <v>46.846542898139639</v>
      </c>
      <c r="L582" s="349">
        <f t="shared" si="238"/>
        <v>1.5494484129950721</v>
      </c>
      <c r="M582" s="337">
        <f t="shared" si="222"/>
        <v>1.4549823633425414</v>
      </c>
      <c r="N582" s="340">
        <f t="shared" si="223"/>
        <v>0.81303981134348768</v>
      </c>
      <c r="O582" s="341">
        <f t="shared" si="224"/>
        <v>1.5901362783960997</v>
      </c>
      <c r="P582" s="342">
        <f t="shared" si="225"/>
        <v>1.5814175624732014</v>
      </c>
      <c r="Q582" s="343">
        <f t="shared" si="226"/>
        <v>-21.291887463539684</v>
      </c>
      <c r="R582" s="344">
        <f t="shared" si="227"/>
        <v>-211.35040418524798</v>
      </c>
      <c r="S582" s="346">
        <f t="shared" si="228"/>
        <v>-31.350404185247982</v>
      </c>
      <c r="U582" s="319">
        <f t="shared" si="234"/>
        <v>110925</v>
      </c>
      <c r="V582" s="319">
        <f t="shared" si="235"/>
        <v>12304355625</v>
      </c>
      <c r="X582" s="345">
        <f t="shared" si="229"/>
        <v>19.910446185117578</v>
      </c>
      <c r="Y582" s="346">
        <f t="shared" si="230"/>
        <v>-47.806665851259297</v>
      </c>
      <c r="AA582" s="345">
        <f t="shared" si="231"/>
        <v>22.406787640505364</v>
      </c>
      <c r="AB582" s="346">
        <f t="shared" si="232"/>
        <v>-163.54373833398873</v>
      </c>
      <c r="AD582">
        <f t="shared" si="236"/>
        <v>0</v>
      </c>
      <c r="AE582">
        <f t="shared" si="239"/>
        <v>0</v>
      </c>
    </row>
    <row r="583" spans="1:31" x14ac:dyDescent="0.25">
      <c r="A583" s="347">
        <v>112200</v>
      </c>
      <c r="B583" s="364">
        <f t="shared" si="233"/>
        <v>112.2</v>
      </c>
      <c r="C583" s="337">
        <f t="shared" si="214"/>
        <v>48.657434029032963</v>
      </c>
      <c r="D583" s="338">
        <f t="shared" si="215"/>
        <v>1.5502430356129209</v>
      </c>
      <c r="E583" s="338">
        <f t="shared" si="216"/>
        <v>1.0405433792624175</v>
      </c>
      <c r="F583" s="339">
        <f t="shared" si="217"/>
        <v>0.28006910226744275</v>
      </c>
      <c r="G583" s="338">
        <f t="shared" si="218"/>
        <v>1</v>
      </c>
      <c r="H583" s="339">
        <f t="shared" si="219"/>
        <v>0</v>
      </c>
      <c r="I583" s="337">
        <f t="shared" si="220"/>
        <v>252709.8374263749</v>
      </c>
      <c r="J583" s="340">
        <f t="shared" si="221"/>
        <v>1.5707923696873689</v>
      </c>
      <c r="K583" s="348">
        <f t="shared" si="237"/>
        <v>47.384764942242029</v>
      </c>
      <c r="L583" s="349">
        <f t="shared" si="238"/>
        <v>1.5496909304781086</v>
      </c>
      <c r="M583" s="337">
        <f t="shared" si="222"/>
        <v>1.46383018332231</v>
      </c>
      <c r="N583" s="340">
        <f t="shared" si="223"/>
        <v>0.81874350438289567</v>
      </c>
      <c r="O583" s="341">
        <f t="shared" si="224"/>
        <v>1.6088303151429966</v>
      </c>
      <c r="P583" s="342">
        <f t="shared" si="225"/>
        <v>1.5959103781341939</v>
      </c>
      <c r="Q583" s="343">
        <f t="shared" si="226"/>
        <v>-21.537829975137214</v>
      </c>
      <c r="R583" s="344">
        <f t="shared" si="227"/>
        <v>-212.33410573230395</v>
      </c>
      <c r="S583" s="346">
        <f t="shared" si="228"/>
        <v>-32.334105732303954</v>
      </c>
      <c r="U583" s="319">
        <f t="shared" si="234"/>
        <v>112200</v>
      </c>
      <c r="V583" s="319">
        <f t="shared" si="235"/>
        <v>12588840000</v>
      </c>
      <c r="X583" s="345">
        <f t="shared" si="229"/>
        <v>19.857742089157032</v>
      </c>
      <c r="Y583" s="346">
        <f t="shared" si="230"/>
        <v>-48.119570768217855</v>
      </c>
      <c r="AA583" s="345">
        <f t="shared" si="231"/>
        <v>22.21354922486838</v>
      </c>
      <c r="AB583" s="346">
        <f t="shared" si="232"/>
        <v>-164.21453496408611</v>
      </c>
      <c r="AD583">
        <f t="shared" si="236"/>
        <v>0</v>
      </c>
      <c r="AE583">
        <f t="shared" si="239"/>
        <v>0</v>
      </c>
    </row>
    <row r="584" spans="1:31" x14ac:dyDescent="0.25">
      <c r="A584" s="347">
        <v>113510</v>
      </c>
      <c r="B584" s="364">
        <f t="shared" si="233"/>
        <v>113.51</v>
      </c>
      <c r="C584" s="337">
        <f t="shared" si="214"/>
        <v>49.225299189048997</v>
      </c>
      <c r="D584" s="338">
        <f t="shared" si="215"/>
        <v>1.5504801720774679</v>
      </c>
      <c r="E584" s="338">
        <f t="shared" si="216"/>
        <v>1.0414766706342875</v>
      </c>
      <c r="F584" s="339">
        <f t="shared" si="217"/>
        <v>0.28316796461641219</v>
      </c>
      <c r="G584" s="338">
        <f t="shared" si="218"/>
        <v>1</v>
      </c>
      <c r="H584" s="339">
        <f t="shared" si="219"/>
        <v>0</v>
      </c>
      <c r="I584" s="337">
        <f t="shared" si="220"/>
        <v>255660.37117881156</v>
      </c>
      <c r="J584" s="340">
        <f t="shared" si="221"/>
        <v>1.5707924153556876</v>
      </c>
      <c r="K584" s="348">
        <f t="shared" si="237"/>
        <v>47.93776454577592</v>
      </c>
      <c r="L584" s="349">
        <f t="shared" si="238"/>
        <v>1.5499344332628797</v>
      </c>
      <c r="M584" s="337">
        <f t="shared" si="222"/>
        <v>1.4729698799294684</v>
      </c>
      <c r="N584" s="340">
        <f t="shared" si="223"/>
        <v>0.82453220633234359</v>
      </c>
      <c r="O584" s="341">
        <f t="shared" si="224"/>
        <v>1.6283923676949843</v>
      </c>
      <c r="P584" s="342">
        <f t="shared" si="225"/>
        <v>1.6106230396801715</v>
      </c>
      <c r="Q584" s="343">
        <f t="shared" si="226"/>
        <v>-21.789910196063023</v>
      </c>
      <c r="R584" s="344">
        <f t="shared" si="227"/>
        <v>-213.33083345542846</v>
      </c>
      <c r="S584" s="346">
        <f t="shared" si="228"/>
        <v>-33.330833455428461</v>
      </c>
      <c r="U584" s="319">
        <f t="shared" si="234"/>
        <v>113510</v>
      </c>
      <c r="V584" s="319">
        <f t="shared" si="235"/>
        <v>12884520100</v>
      </c>
      <c r="X584" s="345">
        <f t="shared" si="229"/>
        <v>19.803634332701407</v>
      </c>
      <c r="Y584" s="346">
        <f t="shared" si="230"/>
        <v>-48.437289893878273</v>
      </c>
      <c r="AA584" s="345">
        <f t="shared" si="231"/>
        <v>22.015576760398197</v>
      </c>
      <c r="AB584" s="346">
        <f t="shared" si="232"/>
        <v>-164.89354356155019</v>
      </c>
      <c r="AD584">
        <f t="shared" si="236"/>
        <v>0</v>
      </c>
      <c r="AE584">
        <f t="shared" si="239"/>
        <v>0</v>
      </c>
    </row>
    <row r="585" spans="1:31" x14ac:dyDescent="0.25">
      <c r="A585" s="347">
        <v>114820</v>
      </c>
      <c r="B585" s="364">
        <f t="shared" si="233"/>
        <v>114.82</v>
      </c>
      <c r="C585" s="337">
        <f t="shared" si="214"/>
        <v>49.793167054047835</v>
      </c>
      <c r="D585" s="338">
        <f t="shared" si="215"/>
        <v>1.5507118996930698</v>
      </c>
      <c r="E585" s="338">
        <f t="shared" si="216"/>
        <v>1.042419945287878</v>
      </c>
      <c r="F585" s="339">
        <f t="shared" si="217"/>
        <v>0.286261248370697</v>
      </c>
      <c r="G585" s="338">
        <f t="shared" si="218"/>
        <v>1</v>
      </c>
      <c r="H585" s="339">
        <f t="shared" si="219"/>
        <v>0</v>
      </c>
      <c r="I585" s="337">
        <f t="shared" si="220"/>
        <v>258610.90493124878</v>
      </c>
      <c r="J585" s="340">
        <f t="shared" si="221"/>
        <v>1.5707924599819318</v>
      </c>
      <c r="K585" s="348">
        <f t="shared" si="237"/>
        <v>48.49076692688184</v>
      </c>
      <c r="L585" s="349">
        <f t="shared" si="238"/>
        <v>1.5501723821126356</v>
      </c>
      <c r="M585" s="337">
        <f t="shared" si="222"/>
        <v>1.4821583247017835</v>
      </c>
      <c r="N585" s="340">
        <f t="shared" si="223"/>
        <v>0.83024932530097872</v>
      </c>
      <c r="O585" s="341">
        <f t="shared" si="224"/>
        <v>1.648313882617946</v>
      </c>
      <c r="P585" s="342">
        <f t="shared" si="225"/>
        <v>1.6251552190662699</v>
      </c>
      <c r="Q585" s="343">
        <f t="shared" si="226"/>
        <v>-22.041349252272205</v>
      </c>
      <c r="R585" s="344">
        <f t="shared" si="227"/>
        <v>-214.31344679285678</v>
      </c>
      <c r="S585" s="346">
        <f t="shared" si="228"/>
        <v>-34.31344679285678</v>
      </c>
      <c r="U585" s="319">
        <f t="shared" si="234"/>
        <v>114820</v>
      </c>
      <c r="V585" s="319">
        <f t="shared" si="235"/>
        <v>13183632400</v>
      </c>
      <c r="X585" s="345">
        <f t="shared" si="229"/>
        <v>19.749576827747127</v>
      </c>
      <c r="Y585" s="346">
        <f t="shared" si="230"/>
        <v>-48.751225774178408</v>
      </c>
      <c r="AA585" s="345">
        <f t="shared" si="231"/>
        <v>21.818195209143294</v>
      </c>
      <c r="AB585" s="346">
        <f t="shared" si="232"/>
        <v>-165.5622210186784</v>
      </c>
      <c r="AD585">
        <f t="shared" si="236"/>
        <v>0</v>
      </c>
      <c r="AE585">
        <f t="shared" si="239"/>
        <v>0</v>
      </c>
    </row>
    <row r="586" spans="1:31" x14ac:dyDescent="0.25">
      <c r="A586" s="347">
        <v>116155</v>
      </c>
      <c r="B586" s="364">
        <f t="shared" si="233"/>
        <v>116.155</v>
      </c>
      <c r="C586" s="337">
        <f t="shared" si="214"/>
        <v>50.371874780232773</v>
      </c>
      <c r="D586" s="338">
        <f t="shared" si="215"/>
        <v>1.5509426742959453</v>
      </c>
      <c r="E586" s="338">
        <f t="shared" si="216"/>
        <v>1.0433914642121007</v>
      </c>
      <c r="F586" s="339">
        <f t="shared" si="217"/>
        <v>0.28940777941794993</v>
      </c>
      <c r="G586" s="338">
        <f t="shared" si="218"/>
        <v>1</v>
      </c>
      <c r="H586" s="339">
        <f t="shared" si="219"/>
        <v>0</v>
      </c>
      <c r="I586" s="337">
        <f t="shared" si="220"/>
        <v>261617.74657972541</v>
      </c>
      <c r="J586" s="340">
        <f t="shared" si="221"/>
        <v>1.5707925044242315</v>
      </c>
      <c r="K586" s="348">
        <f t="shared" si="237"/>
        <v>49.054325548873862</v>
      </c>
      <c r="L586" s="349">
        <f t="shared" si="238"/>
        <v>1.5504093524838072</v>
      </c>
      <c r="M586" s="337">
        <f t="shared" si="222"/>
        <v>1.4915713412039766</v>
      </c>
      <c r="N586" s="340">
        <f t="shared" si="223"/>
        <v>0.83600289085792512</v>
      </c>
      <c r="O586" s="341">
        <f t="shared" si="224"/>
        <v>1.6689851189377087</v>
      </c>
      <c r="P586" s="342">
        <f t="shared" si="225"/>
        <v>1.6397791416896446</v>
      </c>
      <c r="Q586" s="343">
        <f t="shared" si="226"/>
        <v>-22.296907036095774</v>
      </c>
      <c r="R586" s="344">
        <f t="shared" si="227"/>
        <v>-215.30035546966218</v>
      </c>
      <c r="S586" s="346">
        <f t="shared" si="228"/>
        <v>-35.300355469662179</v>
      </c>
      <c r="U586" s="319">
        <f t="shared" si="234"/>
        <v>116155</v>
      </c>
      <c r="V586" s="319">
        <f t="shared" si="235"/>
        <v>13491984025</v>
      </c>
      <c r="X586" s="345">
        <f t="shared" si="229"/>
        <v>19.694545961658068</v>
      </c>
      <c r="Y586" s="346">
        <f t="shared" si="230"/>
        <v>-49.067305942322875</v>
      </c>
      <c r="AA586" s="345">
        <f t="shared" si="231"/>
        <v>21.617668291408787</v>
      </c>
      <c r="AB586" s="346">
        <f t="shared" si="232"/>
        <v>-166.23304952733932</v>
      </c>
      <c r="AD586">
        <f t="shared" si="236"/>
        <v>0</v>
      </c>
      <c r="AE586">
        <f t="shared" si="239"/>
        <v>0</v>
      </c>
    </row>
    <row r="587" spans="1:31" x14ac:dyDescent="0.25">
      <c r="A587" s="347">
        <v>117490</v>
      </c>
      <c r="B587" s="364">
        <f t="shared" si="233"/>
        <v>117.49</v>
      </c>
      <c r="C587" s="337">
        <f t="shared" si="214"/>
        <v>50.950585128128147</v>
      </c>
      <c r="D587" s="338">
        <f t="shared" si="215"/>
        <v>1.5511682065115096</v>
      </c>
      <c r="E587" s="338">
        <f t="shared" si="216"/>
        <v>1.0443732941191219</v>
      </c>
      <c r="F587" s="339">
        <f t="shared" si="217"/>
        <v>0.29254842531570169</v>
      </c>
      <c r="G587" s="338">
        <f t="shared" si="218"/>
        <v>1</v>
      </c>
      <c r="H587" s="339">
        <f t="shared" si="219"/>
        <v>0</v>
      </c>
      <c r="I587" s="337">
        <f t="shared" si="220"/>
        <v>264624.58822820254</v>
      </c>
      <c r="J587" s="340">
        <f t="shared" si="221"/>
        <v>1.5707925478565647</v>
      </c>
      <c r="K587" s="348">
        <f t="shared" si="237"/>
        <v>49.617886862934995</v>
      </c>
      <c r="L587" s="349">
        <f t="shared" si="238"/>
        <v>1.5506409398358434</v>
      </c>
      <c r="M587" s="337">
        <f t="shared" si="222"/>
        <v>1.5010331137368671</v>
      </c>
      <c r="N587" s="340">
        <f t="shared" si="223"/>
        <v>0.84168410723688325</v>
      </c>
      <c r="O587" s="341">
        <f t="shared" si="224"/>
        <v>1.6900290275593008</v>
      </c>
      <c r="P587" s="342">
        <f t="shared" si="225"/>
        <v>1.6542159854747747</v>
      </c>
      <c r="Q587" s="343">
        <f t="shared" si="226"/>
        <v>-22.551758316812528</v>
      </c>
      <c r="R587" s="344">
        <f t="shared" si="227"/>
        <v>-216.27274521000473</v>
      </c>
      <c r="S587" s="346">
        <f t="shared" si="228"/>
        <v>-36.272745210004729</v>
      </c>
      <c r="U587" s="319">
        <f t="shared" si="234"/>
        <v>117490</v>
      </c>
      <c r="V587" s="319">
        <f t="shared" si="235"/>
        <v>13803900100</v>
      </c>
      <c r="X587" s="345">
        <f t="shared" si="229"/>
        <v>19.63958032275178</v>
      </c>
      <c r="Y587" s="346">
        <f t="shared" si="230"/>
        <v>-49.379549174323657</v>
      </c>
      <c r="AA587" s="345">
        <f t="shared" si="231"/>
        <v>21.417782649598323</v>
      </c>
      <c r="AB587" s="346">
        <f t="shared" si="232"/>
        <v>-166.89319603568106</v>
      </c>
      <c r="AD587">
        <f t="shared" si="236"/>
        <v>0</v>
      </c>
      <c r="AE587">
        <f t="shared" si="239"/>
        <v>0</v>
      </c>
    </row>
    <row r="588" spans="1:31" x14ac:dyDescent="0.25">
      <c r="A588" s="347">
        <v>118860</v>
      </c>
      <c r="B588" s="364">
        <f t="shared" si="233"/>
        <v>118.86</v>
      </c>
      <c r="C588" s="337">
        <f t="shared" si="214"/>
        <v>51.544470290531116</v>
      </c>
      <c r="D588" s="338">
        <f t="shared" si="215"/>
        <v>1.5513943863668742</v>
      </c>
      <c r="E588" s="338">
        <f t="shared" si="216"/>
        <v>1.0453915544288921</v>
      </c>
      <c r="F588" s="339">
        <f t="shared" si="217"/>
        <v>0.29576524414415278</v>
      </c>
      <c r="G588" s="338">
        <f t="shared" si="218"/>
        <v>1</v>
      </c>
      <c r="H588" s="339">
        <f t="shared" si="219"/>
        <v>0</v>
      </c>
      <c r="I588" s="337">
        <f t="shared" si="220"/>
        <v>267710.26093113463</v>
      </c>
      <c r="J588" s="340">
        <f t="shared" si="221"/>
        <v>1.5707925914132324</v>
      </c>
      <c r="K588" s="348">
        <f t="shared" si="237"/>
        <v>50.196225896489061</v>
      </c>
      <c r="L588" s="349">
        <f t="shared" si="238"/>
        <v>1.5508731923277665</v>
      </c>
      <c r="M588" s="337">
        <f t="shared" si="222"/>
        <v>1.5107926771405948</v>
      </c>
      <c r="N588" s="340">
        <f t="shared" si="223"/>
        <v>0.84744009488086536</v>
      </c>
      <c r="O588" s="341">
        <f t="shared" si="224"/>
        <v>1.7120116475394724</v>
      </c>
      <c r="P588" s="342">
        <f t="shared" si="225"/>
        <v>1.6688372731995904</v>
      </c>
      <c r="Q588" s="343">
        <f t="shared" si="226"/>
        <v>-22.812535240025554</v>
      </c>
      <c r="R588" s="344">
        <f t="shared" si="227"/>
        <v>-217.25562150457532</v>
      </c>
      <c r="S588" s="346">
        <f t="shared" si="228"/>
        <v>-37.255621504575316</v>
      </c>
      <c r="U588" s="319">
        <f t="shared" si="234"/>
        <v>118860</v>
      </c>
      <c r="V588" s="319">
        <f t="shared" si="235"/>
        <v>14127699600</v>
      </c>
      <c r="X588" s="345">
        <f t="shared" si="229"/>
        <v>19.583247932497212</v>
      </c>
      <c r="Y588" s="346">
        <f t="shared" si="230"/>
        <v>-49.696038381659569</v>
      </c>
      <c r="AA588" s="345">
        <f t="shared" si="231"/>
        <v>21.213338116639857</v>
      </c>
      <c r="AB588" s="346">
        <f t="shared" si="232"/>
        <v>-167.55958312291571</v>
      </c>
      <c r="AD588">
        <f t="shared" si="236"/>
        <v>0</v>
      </c>
      <c r="AE588">
        <f t="shared" si="239"/>
        <v>0</v>
      </c>
    </row>
    <row r="589" spans="1:31" x14ac:dyDescent="0.25">
      <c r="A589" s="347">
        <v>120230</v>
      </c>
      <c r="B589" s="364">
        <f t="shared" si="233"/>
        <v>120.23</v>
      </c>
      <c r="C589" s="337">
        <f t="shared" ref="C589:C613" si="240">SQRT(1+(A589/pole1)^2)</f>
        <v>52.138358029740324</v>
      </c>
      <c r="D589" s="338">
        <f t="shared" ref="D589:D613" si="241">ATAN(A589/pole1)</f>
        <v>1.5516154135799682</v>
      </c>
      <c r="E589" s="338">
        <f t="shared" ref="E589:E613" si="242">SQRT(1+(A589/Zero1)^2)</f>
        <v>1.0464206112521046</v>
      </c>
      <c r="F589" s="339">
        <f t="shared" ref="F589:F613" si="243">ATAN(A589/Zero1)</f>
        <v>0.29897576925965474</v>
      </c>
      <c r="G589" s="338">
        <f t="shared" ref="G589:G613" si="244">IF(VIN_nom&gt;Vout, 1, SQRT(1+(A589/z_RHP)^2))</f>
        <v>1</v>
      </c>
      <c r="H589" s="339">
        <f t="shared" ref="H589:H613" si="245">IF(VIN_nom&gt;Vout, 0, -ATAN(A589/z_RHP))</f>
        <v>0</v>
      </c>
      <c r="I589" s="337">
        <f t="shared" ref="I589:I613" si="246">SQRT(1+(A589/Pole2)^2)</f>
        <v>270795.93363406719</v>
      </c>
      <c r="J589" s="340">
        <f t="shared" ref="J589:J613" si="247">ATAN(A589/Pole2)</f>
        <v>1.5707926339772587</v>
      </c>
      <c r="K589" s="348">
        <f t="shared" si="237"/>
        <v>50.77456757600676</v>
      </c>
      <c r="L589" s="349">
        <f t="shared" si="238"/>
        <v>1.5511001539428697</v>
      </c>
      <c r="M589" s="337">
        <f t="shared" ref="M589:M613" si="248">SQRT(1+(A589/pole4)^2)</f>
        <v>1.5206016517270473</v>
      </c>
      <c r="N589" s="340">
        <f t="shared" ref="N589:N613" si="249">ATAN(A589/pole4)</f>
        <v>0.85312200823800632</v>
      </c>
      <c r="O589" s="341">
        <f t="shared" ref="O589:O613" si="250">SQRT((1-(V589/pterm2))^2+(A589/pterm1)^2)</f>
        <v>1.7343857317001492</v>
      </c>
      <c r="P589" s="342">
        <f t="shared" ref="P589:P613" si="251">IF((ATAN((A589/pterm1)/(1-A589^2/pterm2))&gt;0),ATAN((A589/pterm1)/(1-A589^2/pterm2)),PI()+ATAN((A589/pterm1)/(1-A589^2/pterm2)))</f>
        <v>1.6832626280151328</v>
      </c>
      <c r="Q589" s="343">
        <f t="shared" ref="Q589:Q613" si="252">20*LOG10(((E589*K589*G589)/(C589*I589*O589*M589))*Adc)</f>
        <v>-23.072524993007452</v>
      </c>
      <c r="R589" s="344">
        <f t="shared" ref="R589:R613" si="253">((F589+L589+H589)-(D589+J589+P589+N589))*radconv</f>
        <v>-218.22339599292462</v>
      </c>
      <c r="S589" s="346">
        <f t="shared" ref="S589:S613" si="254">IF(R589&gt;0,R589,R589+180)</f>
        <v>-38.223395992924623</v>
      </c>
      <c r="U589" s="319">
        <f t="shared" si="234"/>
        <v>120230</v>
      </c>
      <c r="V589" s="319">
        <f t="shared" si="235"/>
        <v>14455252900</v>
      </c>
      <c r="X589" s="345">
        <f t="shared" ref="X589:X613" si="255">20*LOG10((K589/(I589*M589))*AEA)</f>
        <v>19.526997139877025</v>
      </c>
      <c r="Y589" s="346">
        <f t="shared" ref="Y589:Y613" si="256">(L589-(J589+N589))*radconv</f>
        <v>-50.008586533022068</v>
      </c>
      <c r="AA589" s="345">
        <f t="shared" ref="AA589:AA613" si="257">20*LOG10((E589*G589/(C589*O589))*Acs*Am)</f>
        <v>21.009599156278146</v>
      </c>
      <c r="AB589" s="346">
        <f t="shared" ref="AB589:AB613" si="258">(F589+H589-(D589+P589))*radconv</f>
        <v>-168.21480945990254</v>
      </c>
      <c r="AD589">
        <f t="shared" si="236"/>
        <v>0</v>
      </c>
      <c r="AE589">
        <f t="shared" si="239"/>
        <v>0</v>
      </c>
    </row>
    <row r="590" spans="1:31" x14ac:dyDescent="0.25">
      <c r="A590" s="347">
        <v>126030</v>
      </c>
      <c r="B590" s="364">
        <f t="shared" ref="B590:B613" si="259">A590/1000</f>
        <v>126.03</v>
      </c>
      <c r="C590" s="337">
        <f t="shared" si="240"/>
        <v>54.652653903746057</v>
      </c>
      <c r="D590" s="338">
        <f t="shared" si="241"/>
        <v>1.5524979325550374</v>
      </c>
      <c r="E590" s="338">
        <f t="shared" si="242"/>
        <v>1.0508960737133843</v>
      </c>
      <c r="F590" s="339">
        <f t="shared" si="243"/>
        <v>0.3124969682081899</v>
      </c>
      <c r="G590" s="338">
        <f t="shared" si="244"/>
        <v>1</v>
      </c>
      <c r="H590" s="339">
        <f t="shared" si="245"/>
        <v>0</v>
      </c>
      <c r="I590" s="337">
        <f t="shared" si="246"/>
        <v>283859.36551510071</v>
      </c>
      <c r="J590" s="340">
        <f t="shared" si="247"/>
        <v>1.570792803923639</v>
      </c>
      <c r="K590" s="348">
        <f t="shared" si="237"/>
        <v>53.223048729114197</v>
      </c>
      <c r="L590" s="349">
        <f t="shared" si="238"/>
        <v>1.5520063688714609</v>
      </c>
      <c r="M590" s="337">
        <f t="shared" si="248"/>
        <v>1.5626545869057142</v>
      </c>
      <c r="N590" s="340">
        <f t="shared" si="249"/>
        <v>0.87638045631115546</v>
      </c>
      <c r="O590" s="341">
        <f t="shared" si="250"/>
        <v>1.8334296032238548</v>
      </c>
      <c r="P590" s="342">
        <f t="shared" si="251"/>
        <v>1.7421839058561694</v>
      </c>
      <c r="Q590" s="343">
        <f t="shared" si="252"/>
        <v>-24.164006524297715</v>
      </c>
      <c r="R590" s="344">
        <f t="shared" si="253"/>
        <v>-222.15589187921702</v>
      </c>
      <c r="S590" s="346">
        <f t="shared" si="254"/>
        <v>-42.155891879217023</v>
      </c>
      <c r="U590" s="319">
        <f t="shared" ref="U590:U613" si="260">IF(Q590&lt;0,A590,1000000000)</f>
        <v>126030</v>
      </c>
      <c r="V590" s="319">
        <f t="shared" ref="V590:V613" si="261">A590^2</f>
        <v>15883560900</v>
      </c>
      <c r="X590" s="345">
        <f t="shared" si="255"/>
        <v>19.289894989789826</v>
      </c>
      <c r="Y590" s="346">
        <f t="shared" si="256"/>
        <v>-51.28928489357142</v>
      </c>
      <c r="AA590" s="345">
        <f t="shared" si="257"/>
        <v>20.155219775075089</v>
      </c>
      <c r="AB590" s="346">
        <f t="shared" si="258"/>
        <v>-170.86660698564563</v>
      </c>
      <c r="AD590">
        <f t="shared" ref="AD590:AD613" si="262">SUM((Q591&lt;0)*(Q590&gt;0))*A590</f>
        <v>0</v>
      </c>
      <c r="AE590">
        <f t="shared" si="239"/>
        <v>0</v>
      </c>
    </row>
    <row r="591" spans="1:31" x14ac:dyDescent="0.25">
      <c r="A591" s="347">
        <v>131830</v>
      </c>
      <c r="B591" s="364">
        <f t="shared" si="259"/>
        <v>131.83000000000001</v>
      </c>
      <c r="C591" s="337">
        <f t="shared" si="240"/>
        <v>57.166988599180456</v>
      </c>
      <c r="D591" s="338">
        <f t="shared" si="241"/>
        <v>1.5533028217124538</v>
      </c>
      <c r="E591" s="338">
        <f t="shared" si="242"/>
        <v>1.0555620143741926</v>
      </c>
      <c r="F591" s="339">
        <f t="shared" si="243"/>
        <v>0.32590106350574838</v>
      </c>
      <c r="G591" s="338">
        <f t="shared" si="244"/>
        <v>1</v>
      </c>
      <c r="H591" s="339">
        <f t="shared" si="245"/>
        <v>0</v>
      </c>
      <c r="I591" s="337">
        <f t="shared" si="246"/>
        <v>296922.79739614174</v>
      </c>
      <c r="J591" s="340">
        <f t="shared" si="247"/>
        <v>1.5707929589160783</v>
      </c>
      <c r="K591" s="348">
        <f t="shared" si="237"/>
        <v>55.671569745688402</v>
      </c>
      <c r="L591" s="349">
        <f t="shared" si="238"/>
        <v>1.5528328709852168</v>
      </c>
      <c r="M591" s="337">
        <f t="shared" si="248"/>
        <v>1.6055083074000034</v>
      </c>
      <c r="N591" s="340">
        <f t="shared" si="249"/>
        <v>0.89840868624193004</v>
      </c>
      <c r="O591" s="341">
        <f t="shared" si="250"/>
        <v>1.9394193828015456</v>
      </c>
      <c r="P591" s="342">
        <f t="shared" si="251"/>
        <v>1.797699111267969</v>
      </c>
      <c r="Q591" s="343">
        <f t="shared" si="252"/>
        <v>-25.239481144306453</v>
      </c>
      <c r="R591" s="344">
        <f t="shared" si="253"/>
        <v>-225.82957591798024</v>
      </c>
      <c r="S591" s="346">
        <f t="shared" si="254"/>
        <v>-45.829575917980236</v>
      </c>
      <c r="U591" s="319">
        <f t="shared" si="260"/>
        <v>131830</v>
      </c>
      <c r="V591" s="319">
        <f t="shared" si="261"/>
        <v>17379148900</v>
      </c>
      <c r="X591" s="345">
        <f t="shared" si="255"/>
        <v>19.054771730304601</v>
      </c>
      <c r="Y591" s="346">
        <f t="shared" si="256"/>
        <v>-52.504063297672424</v>
      </c>
      <c r="AA591" s="345">
        <f t="shared" si="257"/>
        <v>19.314868414551569</v>
      </c>
      <c r="AB591" s="346">
        <f t="shared" si="258"/>
        <v>-173.32551262030785</v>
      </c>
      <c r="AD591">
        <f t="shared" si="262"/>
        <v>0</v>
      </c>
      <c r="AE591">
        <f t="shared" si="239"/>
        <v>0</v>
      </c>
    </row>
    <row r="592" spans="1:31" x14ac:dyDescent="0.25">
      <c r="A592" s="347">
        <v>144540</v>
      </c>
      <c r="B592" s="364">
        <f t="shared" si="259"/>
        <v>144.54</v>
      </c>
      <c r="C592" s="337">
        <f t="shared" si="240"/>
        <v>62.676962554267632</v>
      </c>
      <c r="D592" s="338">
        <f t="shared" si="241"/>
        <v>1.5548408243234602</v>
      </c>
      <c r="E592" s="338">
        <f t="shared" si="242"/>
        <v>1.066440554193226</v>
      </c>
      <c r="F592" s="339">
        <f t="shared" si="243"/>
        <v>0.35484954820239639</v>
      </c>
      <c r="G592" s="338">
        <f t="shared" si="244"/>
        <v>1</v>
      </c>
      <c r="H592" s="339">
        <f t="shared" si="245"/>
        <v>0</v>
      </c>
      <c r="I592" s="337">
        <f t="shared" si="246"/>
        <v>325549.73174237582</v>
      </c>
      <c r="J592" s="340">
        <f t="shared" si="247"/>
        <v>1.570793255067592</v>
      </c>
      <c r="K592" s="348">
        <f t="shared" si="237"/>
        <v>61.03732399803755</v>
      </c>
      <c r="L592" s="349">
        <f t="shared" si="238"/>
        <v>1.5544121756564644</v>
      </c>
      <c r="M592" s="337">
        <f t="shared" si="248"/>
        <v>1.7019200790749678</v>
      </c>
      <c r="N592" s="340">
        <f t="shared" si="249"/>
        <v>0.94274178974918754</v>
      </c>
      <c r="O592" s="341">
        <f t="shared" si="250"/>
        <v>2.1956103626382557</v>
      </c>
      <c r="P592" s="342">
        <f t="shared" si="251"/>
        <v>1.908086546356573</v>
      </c>
      <c r="Q592" s="343">
        <f t="shared" si="252"/>
        <v>-27.534114205755124</v>
      </c>
      <c r="R592" s="344">
        <f t="shared" si="253"/>
        <v>-233.03343432982354</v>
      </c>
      <c r="S592" s="346">
        <f t="shared" si="254"/>
        <v>-53.033434329823535</v>
      </c>
      <c r="U592" s="319">
        <f t="shared" si="260"/>
        <v>144540</v>
      </c>
      <c r="V592" s="319">
        <f t="shared" si="261"/>
        <v>20891811600</v>
      </c>
      <c r="X592" s="345">
        <f t="shared" si="255"/>
        <v>18.548004022754899</v>
      </c>
      <c r="Y592" s="346">
        <f t="shared" si="256"/>
        <v>-54.953692500158077</v>
      </c>
      <c r="AA592" s="345">
        <f t="shared" si="257"/>
        <v>17.5270030606526</v>
      </c>
      <c r="AB592" s="346">
        <f t="shared" si="258"/>
        <v>-178.07974182966544</v>
      </c>
      <c r="AD592">
        <f t="shared" si="262"/>
        <v>0</v>
      </c>
      <c r="AE592">
        <f t="shared" si="239"/>
        <v>0</v>
      </c>
    </row>
    <row r="593" spans="1:31" x14ac:dyDescent="0.25">
      <c r="A593" s="347">
        <v>158490</v>
      </c>
      <c r="B593" s="364">
        <f t="shared" si="259"/>
        <v>158.49</v>
      </c>
      <c r="C593" s="337">
        <f t="shared" si="240"/>
        <v>68.724636904839684</v>
      </c>
      <c r="D593" s="338">
        <f t="shared" si="241"/>
        <v>1.5562449906781708</v>
      </c>
      <c r="E593" s="338">
        <f t="shared" si="242"/>
        <v>1.0793868376178679</v>
      </c>
      <c r="F593" s="339">
        <f t="shared" si="243"/>
        <v>0.38592163020837089</v>
      </c>
      <c r="G593" s="338">
        <f t="shared" si="244"/>
        <v>1</v>
      </c>
      <c r="H593" s="339">
        <f t="shared" si="245"/>
        <v>0</v>
      </c>
      <c r="I593" s="337">
        <f t="shared" si="246"/>
        <v>356969.53773217223</v>
      </c>
      <c r="J593" s="340">
        <f t="shared" si="247"/>
        <v>1.5707935254354126</v>
      </c>
      <c r="K593" s="348">
        <f t="shared" si="237"/>
        <v>66.926712242405756</v>
      </c>
      <c r="L593" s="349">
        <f t="shared" si="238"/>
        <v>1.5558540536817604</v>
      </c>
      <c r="M593" s="337">
        <f t="shared" si="248"/>
        <v>1.8111537723739664</v>
      </c>
      <c r="N593" s="340">
        <f t="shared" si="249"/>
        <v>0.98587446776036225</v>
      </c>
      <c r="O593" s="341">
        <f t="shared" si="250"/>
        <v>2.5137717313890131</v>
      </c>
      <c r="P593" s="342">
        <f t="shared" si="251"/>
        <v>2.0131026225356945</v>
      </c>
      <c r="Q593" s="343">
        <f t="shared" si="252"/>
        <v>-29.945325896131813</v>
      </c>
      <c r="R593" s="344">
        <f t="shared" si="253"/>
        <v>-239.73928830445652</v>
      </c>
      <c r="S593" s="346">
        <f t="shared" si="254"/>
        <v>-59.739288304456522</v>
      </c>
      <c r="U593" s="319">
        <f t="shared" si="260"/>
        <v>158490</v>
      </c>
      <c r="V593" s="319">
        <f t="shared" si="261"/>
        <v>25119080100</v>
      </c>
      <c r="X593" s="345">
        <f t="shared" si="255"/>
        <v>18.007484586621167</v>
      </c>
      <c r="Y593" s="346">
        <f t="shared" si="256"/>
        <v>-57.342414877537543</v>
      </c>
      <c r="AA593" s="345">
        <f t="shared" si="257"/>
        <v>15.656310806409648</v>
      </c>
      <c r="AB593" s="346">
        <f t="shared" si="258"/>
        <v>-182.39687342691894</v>
      </c>
      <c r="AD593">
        <f t="shared" si="262"/>
        <v>0</v>
      </c>
      <c r="AE593">
        <f t="shared" si="239"/>
        <v>0</v>
      </c>
    </row>
    <row r="594" spans="1:31" x14ac:dyDescent="0.25">
      <c r="A594" s="347">
        <v>173780</v>
      </c>
      <c r="B594" s="364">
        <f t="shared" si="259"/>
        <v>173.78</v>
      </c>
      <c r="C594" s="337">
        <f t="shared" si="240"/>
        <v>75.353364280856496</v>
      </c>
      <c r="D594" s="338">
        <f t="shared" si="241"/>
        <v>1.5575251296259387</v>
      </c>
      <c r="E594" s="338">
        <f t="shared" si="242"/>
        <v>1.0947433689002337</v>
      </c>
      <c r="F594" s="339">
        <f t="shared" si="243"/>
        <v>0.41909867894204728</v>
      </c>
      <c r="G594" s="338">
        <f t="shared" si="244"/>
        <v>1</v>
      </c>
      <c r="H594" s="339">
        <f t="shared" si="245"/>
        <v>0</v>
      </c>
      <c r="I594" s="337">
        <f t="shared" si="246"/>
        <v>391407.44694968732</v>
      </c>
      <c r="J594" s="340">
        <f t="shared" si="247"/>
        <v>1.57079377191249</v>
      </c>
      <c r="K594" s="348">
        <f t="shared" si="237"/>
        <v>73.381952445166704</v>
      </c>
      <c r="L594" s="349">
        <f t="shared" si="238"/>
        <v>1.5571685761021623</v>
      </c>
      <c r="M594" s="337">
        <f t="shared" si="248"/>
        <v>1.9342882307117657</v>
      </c>
      <c r="N594" s="340">
        <f t="shared" si="249"/>
        <v>1.0274701494976117</v>
      </c>
      <c r="O594" s="341">
        <f t="shared" si="250"/>
        <v>2.9056427815299424</v>
      </c>
      <c r="P594" s="342">
        <f t="shared" si="251"/>
        <v>2.1115709062493542</v>
      </c>
      <c r="Q594" s="343">
        <f t="shared" si="252"/>
        <v>-32.452233715524507</v>
      </c>
      <c r="R594" s="344">
        <f t="shared" si="253"/>
        <v>-245.86150161874525</v>
      </c>
      <c r="S594" s="346">
        <f t="shared" si="254"/>
        <v>-65.861501618745251</v>
      </c>
      <c r="U594" s="319">
        <f t="shared" si="260"/>
        <v>173780</v>
      </c>
      <c r="V594" s="319">
        <f t="shared" si="261"/>
        <v>30199488400</v>
      </c>
      <c r="X594" s="345">
        <f t="shared" si="255"/>
        <v>17.436004181078314</v>
      </c>
      <c r="Y594" s="346">
        <f t="shared" si="256"/>
        <v>-59.650369425020486</v>
      </c>
      <c r="AA594" s="345">
        <f t="shared" si="257"/>
        <v>13.720883392559809</v>
      </c>
      <c r="AB594" s="346">
        <f t="shared" si="258"/>
        <v>-186.21113219372475</v>
      </c>
      <c r="AD594">
        <f t="shared" si="262"/>
        <v>0</v>
      </c>
      <c r="AE594">
        <f t="shared" si="239"/>
        <v>0</v>
      </c>
    </row>
    <row r="595" spans="1:31" x14ac:dyDescent="0.25">
      <c r="A595" s="347">
        <v>190550</v>
      </c>
      <c r="B595" s="364">
        <f t="shared" si="259"/>
        <v>190.55</v>
      </c>
      <c r="C595" s="337">
        <f t="shared" si="240"/>
        <v>82.623839359507372</v>
      </c>
      <c r="D595" s="338">
        <f t="shared" si="241"/>
        <v>1.5586929868471404</v>
      </c>
      <c r="E595" s="338">
        <f t="shared" si="242"/>
        <v>1.1129308714857897</v>
      </c>
      <c r="F595" s="339">
        <f t="shared" si="243"/>
        <v>0.45439120478708389</v>
      </c>
      <c r="G595" s="338">
        <f t="shared" si="244"/>
        <v>1</v>
      </c>
      <c r="H595" s="339">
        <f t="shared" si="245"/>
        <v>0</v>
      </c>
      <c r="I595" s="337">
        <f t="shared" si="246"/>
        <v>429178.78361274005</v>
      </c>
      <c r="J595" s="340">
        <f t="shared" si="247"/>
        <v>1.5707939967635947</v>
      </c>
      <c r="K595" s="348">
        <f t="shared" si="237"/>
        <v>80.462150780914186</v>
      </c>
      <c r="L595" s="349">
        <f t="shared" si="238"/>
        <v>1.5583678031293169</v>
      </c>
      <c r="M595" s="337">
        <f t="shared" si="248"/>
        <v>2.0727064612753558</v>
      </c>
      <c r="N595" s="340">
        <f t="shared" si="249"/>
        <v>1.0673341735253918</v>
      </c>
      <c r="O595" s="341">
        <f t="shared" si="250"/>
        <v>3.3858176613823816</v>
      </c>
      <c r="P595" s="342">
        <f t="shared" si="251"/>
        <v>2.2030029434111889</v>
      </c>
      <c r="Q595" s="343">
        <f t="shared" si="252"/>
        <v>-35.038065738698322</v>
      </c>
      <c r="R595" s="344">
        <f t="shared" si="253"/>
        <v>-251.360314544142</v>
      </c>
      <c r="S595" s="346">
        <f t="shared" si="254"/>
        <v>-71.360314544142</v>
      </c>
      <c r="U595" s="319">
        <f t="shared" si="260"/>
        <v>190550</v>
      </c>
      <c r="V595" s="319">
        <f t="shared" si="261"/>
        <v>36309302500</v>
      </c>
      <c r="X595" s="345">
        <f t="shared" si="255"/>
        <v>16.835536229627056</v>
      </c>
      <c r="Y595" s="346">
        <f t="shared" si="256"/>
        <v>-61.86571199443712</v>
      </c>
      <c r="AA595" s="345">
        <f t="shared" si="257"/>
        <v>11.735519320837248</v>
      </c>
      <c r="AB595" s="346">
        <f t="shared" si="258"/>
        <v>-189.49460254970489</v>
      </c>
      <c r="AD595">
        <f t="shared" si="262"/>
        <v>0</v>
      </c>
      <c r="AE595">
        <f t="shared" si="239"/>
        <v>0</v>
      </c>
    </row>
    <row r="596" spans="1:31" x14ac:dyDescent="0.25">
      <c r="A596" s="347">
        <v>208930</v>
      </c>
      <c r="B596" s="364">
        <f t="shared" si="259"/>
        <v>208.93</v>
      </c>
      <c r="C596" s="337">
        <f t="shared" si="240"/>
        <v>90.592422392967975</v>
      </c>
      <c r="D596" s="338">
        <f t="shared" si="241"/>
        <v>1.5597576517865699</v>
      </c>
      <c r="E596" s="338">
        <f t="shared" si="242"/>
        <v>1.134401918441412</v>
      </c>
      <c r="F596" s="339">
        <f t="shared" si="243"/>
        <v>0.49172062673159689</v>
      </c>
      <c r="G596" s="338">
        <f t="shared" si="244"/>
        <v>1</v>
      </c>
      <c r="H596" s="339">
        <f t="shared" si="245"/>
        <v>0</v>
      </c>
      <c r="I596" s="337">
        <f t="shared" si="246"/>
        <v>470576.34878073388</v>
      </c>
      <c r="J596" s="340">
        <f t="shared" si="247"/>
        <v>1.5707942017412202</v>
      </c>
      <c r="K596" s="348">
        <f t="shared" si="237"/>
        <v>88.222192488051931</v>
      </c>
      <c r="L596" s="349">
        <f t="shared" si="238"/>
        <v>1.5594610676406901</v>
      </c>
      <c r="M596" s="337">
        <f t="shared" si="248"/>
        <v>2.2277005210365899</v>
      </c>
      <c r="N596" s="340">
        <f t="shared" si="249"/>
        <v>1.1052697862169576</v>
      </c>
      <c r="O596" s="341">
        <f t="shared" si="250"/>
        <v>3.9710030486539631</v>
      </c>
      <c r="P596" s="342">
        <f t="shared" si="251"/>
        <v>2.2871723346495254</v>
      </c>
      <c r="Q596" s="343">
        <f t="shared" si="252"/>
        <v>-37.68304652390983</v>
      </c>
      <c r="R596" s="344">
        <f t="shared" si="253"/>
        <v>-256.21597071280308</v>
      </c>
      <c r="S596" s="346">
        <f t="shared" si="254"/>
        <v>-76.215970712803085</v>
      </c>
      <c r="U596" s="319">
        <f t="shared" si="260"/>
        <v>208930</v>
      </c>
      <c r="V596" s="319">
        <f t="shared" si="261"/>
        <v>43651744900</v>
      </c>
      <c r="X596" s="345">
        <f t="shared" si="255"/>
        <v>16.209043290351225</v>
      </c>
      <c r="Y596" s="346">
        <f t="shared" si="256"/>
        <v>-63.97663479927855</v>
      </c>
      <c r="AA596" s="345">
        <f t="shared" si="257"/>
        <v>9.7170314749015727</v>
      </c>
      <c r="AB596" s="346">
        <f t="shared" si="258"/>
        <v>-192.23933591352451</v>
      </c>
      <c r="AD596">
        <f t="shared" si="262"/>
        <v>0</v>
      </c>
      <c r="AE596">
        <f t="shared" si="239"/>
        <v>0</v>
      </c>
    </row>
    <row r="597" spans="1:31" x14ac:dyDescent="0.25">
      <c r="A597" s="347">
        <v>229090</v>
      </c>
      <c r="B597" s="364">
        <f t="shared" si="259"/>
        <v>229.09</v>
      </c>
      <c r="C597" s="337">
        <f t="shared" si="240"/>
        <v>99.332816260624128</v>
      </c>
      <c r="D597" s="338">
        <f t="shared" si="241"/>
        <v>1.5607289902416523</v>
      </c>
      <c r="E597" s="338">
        <f t="shared" si="242"/>
        <v>1.1596979394065876</v>
      </c>
      <c r="F597" s="339">
        <f t="shared" si="243"/>
        <v>0.53101501106900861</v>
      </c>
      <c r="G597" s="338">
        <f t="shared" si="244"/>
        <v>1</v>
      </c>
      <c r="H597" s="339">
        <f t="shared" si="245"/>
        <v>0</v>
      </c>
      <c r="I597" s="337">
        <f t="shared" si="246"/>
        <v>515983.03614673507</v>
      </c>
      <c r="J597" s="340">
        <f t="shared" si="247"/>
        <v>1.5707943887466858</v>
      </c>
      <c r="K597" s="348">
        <f t="shared" si="237"/>
        <v>96.733851608811946</v>
      </c>
      <c r="L597" s="349">
        <f t="shared" si="238"/>
        <v>1.5604584999083628</v>
      </c>
      <c r="M597" s="337">
        <f t="shared" si="248"/>
        <v>2.4008893331896188</v>
      </c>
      <c r="N597" s="340">
        <f t="shared" si="249"/>
        <v>1.1411906698053338</v>
      </c>
      <c r="O597" s="341">
        <f t="shared" si="250"/>
        <v>4.682082663239207</v>
      </c>
      <c r="P597" s="342">
        <f t="shared" si="251"/>
        <v>2.364274328028185</v>
      </c>
      <c r="Q597" s="343">
        <f t="shared" si="252"/>
        <v>-40.372683111752998</v>
      </c>
      <c r="R597" s="344">
        <f t="shared" si="253"/>
        <v>-260.43881782445834</v>
      </c>
      <c r="S597" s="346">
        <f t="shared" si="254"/>
        <v>-80.43881782445834</v>
      </c>
      <c r="U597" s="319">
        <f t="shared" si="260"/>
        <v>229090</v>
      </c>
      <c r="V597" s="319">
        <f t="shared" si="261"/>
        <v>52482228100</v>
      </c>
      <c r="X597" s="345">
        <f t="shared" si="255"/>
        <v>15.558642689727238</v>
      </c>
      <c r="Y597" s="346">
        <f t="shared" si="256"/>
        <v>-65.977611882895829</v>
      </c>
      <c r="AA597" s="345">
        <f t="shared" si="257"/>
        <v>7.677795487682392</v>
      </c>
      <c r="AB597" s="346">
        <f t="shared" si="258"/>
        <v>-194.4612059415625</v>
      </c>
      <c r="AD597">
        <f t="shared" si="262"/>
        <v>0</v>
      </c>
      <c r="AE597">
        <f t="shared" si="239"/>
        <v>0</v>
      </c>
    </row>
    <row r="598" spans="1:31" x14ac:dyDescent="0.25">
      <c r="A598" s="347">
        <v>251190</v>
      </c>
      <c r="B598" s="364">
        <f t="shared" si="259"/>
        <v>251.19</v>
      </c>
      <c r="C598" s="337">
        <f t="shared" si="240"/>
        <v>108.91438918522155</v>
      </c>
      <c r="D598" s="338">
        <f t="shared" si="241"/>
        <v>1.5616146745074839</v>
      </c>
      <c r="E598" s="338">
        <f t="shared" si="242"/>
        <v>1.1893918381050035</v>
      </c>
      <c r="F598" s="339">
        <f t="shared" si="243"/>
        <v>0.57210013986018171</v>
      </c>
      <c r="G598" s="338">
        <f t="shared" si="244"/>
        <v>1</v>
      </c>
      <c r="H598" s="339">
        <f t="shared" si="245"/>
        <v>0</v>
      </c>
      <c r="I598" s="337">
        <f t="shared" si="246"/>
        <v>565759.21624539455</v>
      </c>
      <c r="J598" s="340">
        <f t="shared" si="247"/>
        <v>1.5707945592585113</v>
      </c>
      <c r="K598" s="348">
        <f t="shared" si="237"/>
        <v>106.06468101142943</v>
      </c>
      <c r="L598" s="349">
        <f t="shared" si="238"/>
        <v>1.5613679779209395</v>
      </c>
      <c r="M598" s="337">
        <f t="shared" si="248"/>
        <v>2.5938026160523826</v>
      </c>
      <c r="N598" s="340">
        <f t="shared" si="249"/>
        <v>1.1750094568731855</v>
      </c>
      <c r="O598" s="341">
        <f t="shared" si="250"/>
        <v>5.5432367893371639</v>
      </c>
      <c r="P598" s="342">
        <f t="shared" si="251"/>
        <v>2.4345869653962118</v>
      </c>
      <c r="Q598" s="343">
        <f t="shared" si="252"/>
        <v>-43.090792758747369</v>
      </c>
      <c r="R598" s="344">
        <f t="shared" si="253"/>
        <v>-264.04975097130068</v>
      </c>
      <c r="S598" s="346">
        <f t="shared" si="254"/>
        <v>-84.049750971300682</v>
      </c>
      <c r="U598" s="319">
        <f t="shared" si="260"/>
        <v>251190</v>
      </c>
      <c r="V598" s="319">
        <f t="shared" si="261"/>
        <v>63096416100</v>
      </c>
      <c r="X598" s="345">
        <f t="shared" si="255"/>
        <v>14.887268977924021</v>
      </c>
      <c r="Y598" s="346">
        <f t="shared" si="256"/>
        <v>-67.863186170217276</v>
      </c>
      <c r="AA598" s="345">
        <f t="shared" si="257"/>
        <v>5.6310595524912408</v>
      </c>
      <c r="AB598" s="346">
        <f t="shared" si="258"/>
        <v>-196.18656480108342</v>
      </c>
      <c r="AD598">
        <f t="shared" si="262"/>
        <v>0</v>
      </c>
      <c r="AE598">
        <f t="shared" si="239"/>
        <v>0</v>
      </c>
    </row>
    <row r="599" spans="1:31" x14ac:dyDescent="0.25">
      <c r="A599" s="347">
        <v>275420</v>
      </c>
      <c r="B599" s="364">
        <f t="shared" si="259"/>
        <v>275.42</v>
      </c>
      <c r="C599" s="337">
        <f t="shared" si="240"/>
        <v>119.41951664526968</v>
      </c>
      <c r="D599" s="338">
        <f t="shared" si="241"/>
        <v>1.5624223883020196</v>
      </c>
      <c r="E599" s="338">
        <f t="shared" si="242"/>
        <v>1.2241350871719439</v>
      </c>
      <c r="F599" s="339">
        <f t="shared" si="243"/>
        <v>0.61477488842905548</v>
      </c>
      <c r="G599" s="338">
        <f t="shared" si="244"/>
        <v>1</v>
      </c>
      <c r="H599" s="339">
        <f t="shared" si="245"/>
        <v>0</v>
      </c>
      <c r="I599" s="337">
        <f t="shared" si="246"/>
        <v>620332.82908661035</v>
      </c>
      <c r="J599" s="340">
        <f t="shared" si="247"/>
        <v>1.5707947147570467</v>
      </c>
      <c r="K599" s="348">
        <f t="shared" ref="K599:K613" si="263">SQRT(1+(A599/Zero2)^2)</f>
        <v>116.29490046004537</v>
      </c>
      <c r="L599" s="349">
        <f t="shared" ref="L599:L613" si="264">ATAN(A599/Zero2)</f>
        <v>1.5621973915039673</v>
      </c>
      <c r="M599" s="337">
        <f t="shared" si="248"/>
        <v>2.8082248384039898</v>
      </c>
      <c r="N599" s="340">
        <f t="shared" si="249"/>
        <v>1.2067087356586785</v>
      </c>
      <c r="O599" s="341">
        <f t="shared" si="250"/>
        <v>6.5840782429449041</v>
      </c>
      <c r="P599" s="342">
        <f t="shared" si="251"/>
        <v>2.498558192454162</v>
      </c>
      <c r="Q599" s="343">
        <f t="shared" si="252"/>
        <v>-45.825100926464287</v>
      </c>
      <c r="R599" s="344">
        <f t="shared" si="253"/>
        <v>-267.08494980181439</v>
      </c>
      <c r="S599" s="346">
        <f t="shared" si="254"/>
        <v>-87.084949801814389</v>
      </c>
      <c r="U599" s="319">
        <f t="shared" si="260"/>
        <v>275420</v>
      </c>
      <c r="V599" s="319">
        <f t="shared" si="261"/>
        <v>75856176400</v>
      </c>
      <c r="X599" s="345">
        <f t="shared" si="255"/>
        <v>14.197304992677902</v>
      </c>
      <c r="Y599" s="346">
        <f t="shared" si="256"/>
        <v>-69.631908071887182</v>
      </c>
      <c r="AA599" s="345">
        <f t="shared" si="257"/>
        <v>3.5867153700204426</v>
      </c>
      <c r="AB599" s="346">
        <f t="shared" si="258"/>
        <v>-197.45304172992724</v>
      </c>
      <c r="AD599">
        <f t="shared" si="262"/>
        <v>0</v>
      </c>
      <c r="AE599">
        <f t="shared" si="239"/>
        <v>0</v>
      </c>
    </row>
    <row r="600" spans="1:31" x14ac:dyDescent="0.25">
      <c r="A600" s="347">
        <v>302000</v>
      </c>
      <c r="B600" s="364">
        <f t="shared" si="259"/>
        <v>302</v>
      </c>
      <c r="C600" s="337">
        <f t="shared" si="240"/>
        <v>130.94358160049381</v>
      </c>
      <c r="D600" s="338">
        <f t="shared" si="241"/>
        <v>1.5631593757634161</v>
      </c>
      <c r="E600" s="338">
        <f t="shared" si="242"/>
        <v>1.2646614351949867</v>
      </c>
      <c r="F600" s="339">
        <f t="shared" si="243"/>
        <v>0.65880316720266752</v>
      </c>
      <c r="G600" s="338">
        <f t="shared" si="244"/>
        <v>1</v>
      </c>
      <c r="H600" s="339">
        <f t="shared" si="245"/>
        <v>0</v>
      </c>
      <c r="I600" s="337">
        <f t="shared" si="246"/>
        <v>680199.38415552734</v>
      </c>
      <c r="J600" s="340">
        <f t="shared" si="247"/>
        <v>1.570794856637729</v>
      </c>
      <c r="K600" s="348">
        <f t="shared" si="263"/>
        <v>127.5173968462245</v>
      </c>
      <c r="L600" s="349">
        <f t="shared" si="264"/>
        <v>1.5629541791767223</v>
      </c>
      <c r="M600" s="337">
        <f t="shared" si="248"/>
        <v>3.046207897309348</v>
      </c>
      <c r="N600" s="340">
        <f t="shared" si="249"/>
        <v>1.2363174159245069</v>
      </c>
      <c r="O600" s="341">
        <f t="shared" si="250"/>
        <v>7.8408798892098792</v>
      </c>
      <c r="P600" s="342">
        <f t="shared" si="251"/>
        <v>2.5567045253577607</v>
      </c>
      <c r="Q600" s="343">
        <f t="shared" si="252"/>
        <v>-48.566384141603109</v>
      </c>
      <c r="R600" s="344">
        <f t="shared" si="253"/>
        <v>-269.58918079806563</v>
      </c>
      <c r="S600" s="346">
        <f t="shared" si="254"/>
        <v>-89.589180798065627</v>
      </c>
      <c r="U600" s="319">
        <f t="shared" si="260"/>
        <v>302000</v>
      </c>
      <c r="V600" s="319">
        <f t="shared" si="261"/>
        <v>91204000000</v>
      </c>
      <c r="X600" s="345">
        <f t="shared" si="255"/>
        <v>13.490697686958079</v>
      </c>
      <c r="Y600" s="346">
        <f t="shared" si="256"/>
        <v>-71.285007879488262</v>
      </c>
      <c r="AA600" s="345">
        <f t="shared" si="257"/>
        <v>1.5520394606014394</v>
      </c>
      <c r="AB600" s="346">
        <f t="shared" si="258"/>
        <v>-198.30417291857731</v>
      </c>
      <c r="AD600">
        <f t="shared" si="262"/>
        <v>0</v>
      </c>
      <c r="AE600">
        <f t="shared" si="239"/>
        <v>0</v>
      </c>
    </row>
    <row r="601" spans="1:31" x14ac:dyDescent="0.25">
      <c r="A601" s="347">
        <v>331130</v>
      </c>
      <c r="B601" s="364">
        <f t="shared" si="259"/>
        <v>331.13</v>
      </c>
      <c r="C601" s="337">
        <f t="shared" si="240"/>
        <v>143.57329635031635</v>
      </c>
      <c r="D601" s="338">
        <f t="shared" si="241"/>
        <v>1.5638311869604349</v>
      </c>
      <c r="E601" s="338">
        <f t="shared" si="242"/>
        <v>1.3117055938914173</v>
      </c>
      <c r="F601" s="339">
        <f t="shared" si="243"/>
        <v>0.70383469269205168</v>
      </c>
      <c r="G601" s="338">
        <f t="shared" si="244"/>
        <v>1</v>
      </c>
      <c r="H601" s="339">
        <f t="shared" si="245"/>
        <v>0</v>
      </c>
      <c r="I601" s="337">
        <f t="shared" si="246"/>
        <v>745809.34462045971</v>
      </c>
      <c r="J601" s="340">
        <f t="shared" si="247"/>
        <v>1.5707949859696479</v>
      </c>
      <c r="K601" s="348">
        <f t="shared" si="263"/>
        <v>139.8166133304143</v>
      </c>
      <c r="L601" s="349">
        <f t="shared" si="264"/>
        <v>1.5636440399378582</v>
      </c>
      <c r="M601" s="337">
        <f t="shared" si="248"/>
        <v>3.3096255834778265</v>
      </c>
      <c r="N601" s="340">
        <f t="shared" si="249"/>
        <v>1.263850127344331</v>
      </c>
      <c r="O601" s="341">
        <f t="shared" si="250"/>
        <v>9.3552931869714584</v>
      </c>
      <c r="P601" s="342">
        <f t="shared" si="251"/>
        <v>2.6094670221843046</v>
      </c>
      <c r="Q601" s="343">
        <f t="shared" si="252"/>
        <v>-51.303214810952923</v>
      </c>
      <c r="R601" s="344">
        <f t="shared" si="253"/>
        <v>-271.60861423876372</v>
      </c>
      <c r="S601" s="346">
        <f t="shared" si="254"/>
        <v>-91.608614238763721</v>
      </c>
      <c r="U601" s="319">
        <f t="shared" si="260"/>
        <v>331130</v>
      </c>
      <c r="V601" s="319">
        <f t="shared" si="261"/>
        <v>109647076900</v>
      </c>
      <c r="X601" s="345">
        <f t="shared" si="255"/>
        <v>12.770266256264581</v>
      </c>
      <c r="Y601" s="346">
        <f t="shared" si="256"/>
        <v>-72.822997344261566</v>
      </c>
      <c r="AA601" s="345">
        <f t="shared" si="257"/>
        <v>-0.46435977805487189</v>
      </c>
      <c r="AB601" s="346">
        <f t="shared" si="258"/>
        <v>-198.78561689450214</v>
      </c>
      <c r="AD601">
        <f t="shared" si="262"/>
        <v>0</v>
      </c>
      <c r="AE601">
        <f t="shared" si="239"/>
        <v>0</v>
      </c>
    </row>
    <row r="602" spans="1:31" x14ac:dyDescent="0.25">
      <c r="A602" s="347">
        <v>363080</v>
      </c>
      <c r="B602" s="364">
        <f t="shared" si="259"/>
        <v>363.08</v>
      </c>
      <c r="C602" s="337">
        <f t="shared" si="240"/>
        <v>157.42572311544123</v>
      </c>
      <c r="D602" s="338">
        <f t="shared" si="241"/>
        <v>1.5644440820320298</v>
      </c>
      <c r="E602" s="338">
        <f t="shared" si="242"/>
        <v>1.366137883333115</v>
      </c>
      <c r="F602" s="339">
        <f t="shared" si="243"/>
        <v>0.74955733481551567</v>
      </c>
      <c r="G602" s="338">
        <f t="shared" si="244"/>
        <v>1</v>
      </c>
      <c r="H602" s="339">
        <f t="shared" si="245"/>
        <v>0</v>
      </c>
      <c r="I602" s="337">
        <f t="shared" si="246"/>
        <v>817770.83575863112</v>
      </c>
      <c r="J602" s="340">
        <f t="shared" si="247"/>
        <v>1.5707951039584291</v>
      </c>
      <c r="K602" s="348">
        <f t="shared" si="263"/>
        <v>153.30654881222429</v>
      </c>
      <c r="L602" s="349">
        <f t="shared" si="264"/>
        <v>1.5642734019804796</v>
      </c>
      <c r="M602" s="337">
        <f t="shared" si="248"/>
        <v>3.6009852009285468</v>
      </c>
      <c r="N602" s="340">
        <f t="shared" si="249"/>
        <v>1.2893953638436226</v>
      </c>
      <c r="O602" s="341">
        <f t="shared" si="250"/>
        <v>11.180087766997753</v>
      </c>
      <c r="P602" s="342">
        <f t="shared" si="251"/>
        <v>2.6573715788569681</v>
      </c>
      <c r="Q602" s="343">
        <f t="shared" si="252"/>
        <v>-54.030735054803259</v>
      </c>
      <c r="R602" s="344">
        <f t="shared" si="253"/>
        <v>-273.19632624589622</v>
      </c>
      <c r="S602" s="346">
        <f t="shared" si="254"/>
        <v>-93.196326245896216</v>
      </c>
      <c r="U602" s="319">
        <f t="shared" si="260"/>
        <v>363080</v>
      </c>
      <c r="V602" s="319">
        <f t="shared" si="261"/>
        <v>131827086400</v>
      </c>
      <c r="X602" s="345">
        <f t="shared" si="255"/>
        <v>12.037379446710029</v>
      </c>
      <c r="Y602" s="346">
        <f t="shared" si="256"/>
        <v>-74.250578555397027</v>
      </c>
      <c r="AA602" s="345">
        <f t="shared" si="257"/>
        <v>-2.458993212350661</v>
      </c>
      <c r="AB602" s="346">
        <f t="shared" si="258"/>
        <v>-198.94574769049922</v>
      </c>
      <c r="AD602">
        <f t="shared" si="262"/>
        <v>0</v>
      </c>
      <c r="AE602">
        <f t="shared" ref="AE602:AE613" si="265">IF(AD602&gt;0,S602,0)</f>
        <v>0</v>
      </c>
    </row>
    <row r="603" spans="1:31" x14ac:dyDescent="0.25">
      <c r="A603" s="347">
        <v>398110</v>
      </c>
      <c r="B603" s="364">
        <f t="shared" si="259"/>
        <v>398.11</v>
      </c>
      <c r="C603" s="337">
        <f t="shared" si="240"/>
        <v>172.61358901960261</v>
      </c>
      <c r="D603" s="338">
        <f t="shared" si="241"/>
        <v>1.5650030077436026</v>
      </c>
      <c r="E603" s="338">
        <f t="shared" si="242"/>
        <v>1.4288333205885906</v>
      </c>
      <c r="F603" s="339">
        <f t="shared" si="243"/>
        <v>0.79557847529839298</v>
      </c>
      <c r="G603" s="338">
        <f t="shared" si="244"/>
        <v>1</v>
      </c>
      <c r="H603" s="339">
        <f t="shared" si="245"/>
        <v>0</v>
      </c>
      <c r="I603" s="337">
        <f t="shared" si="246"/>
        <v>896669.4596888501</v>
      </c>
      <c r="J603" s="340">
        <f t="shared" si="247"/>
        <v>1.5707952115567347</v>
      </c>
      <c r="K603" s="348">
        <f t="shared" si="263"/>
        <v>168.09698056515072</v>
      </c>
      <c r="L603" s="349">
        <f t="shared" si="264"/>
        <v>1.5648473448735085</v>
      </c>
      <c r="M603" s="337">
        <f t="shared" si="248"/>
        <v>3.9227110968946888</v>
      </c>
      <c r="N603" s="340">
        <f t="shared" si="249"/>
        <v>1.3130254293940953</v>
      </c>
      <c r="O603" s="341">
        <f t="shared" si="250"/>
        <v>13.376820991072531</v>
      </c>
      <c r="P603" s="342">
        <f t="shared" si="251"/>
        <v>2.7008518853573347</v>
      </c>
      <c r="Q603" s="343">
        <f t="shared" si="252"/>
        <v>-56.742464958918468</v>
      </c>
      <c r="R603" s="344">
        <f t="shared" si="253"/>
        <v>-274.40379595310537</v>
      </c>
      <c r="S603" s="346">
        <f t="shared" si="254"/>
        <v>-94.403795953105373</v>
      </c>
      <c r="U603" s="319">
        <f t="shared" si="260"/>
        <v>398110</v>
      </c>
      <c r="V603" s="319">
        <f t="shared" si="261"/>
        <v>158491572100</v>
      </c>
      <c r="X603" s="345">
        <f t="shared" si="255"/>
        <v>11.294048609167742</v>
      </c>
      <c r="Y603" s="346">
        <f t="shared" si="256"/>
        <v>-75.571603242042812</v>
      </c>
      <c r="AA603" s="345">
        <f t="shared" si="257"/>
        <v>-4.4273922789235796</v>
      </c>
      <c r="AB603" s="346">
        <f t="shared" si="258"/>
        <v>-198.83219271106262</v>
      </c>
      <c r="AD603">
        <f t="shared" si="262"/>
        <v>0</v>
      </c>
      <c r="AE603">
        <f t="shared" si="265"/>
        <v>0</v>
      </c>
    </row>
    <row r="604" spans="1:31" x14ac:dyDescent="0.25">
      <c r="A604" s="347">
        <v>436520</v>
      </c>
      <c r="B604" s="364">
        <f t="shared" si="259"/>
        <v>436.52</v>
      </c>
      <c r="C604" s="337">
        <f t="shared" si="240"/>
        <v>189.26696427701995</v>
      </c>
      <c r="D604" s="338">
        <f t="shared" si="241"/>
        <v>1.5655127599742695</v>
      </c>
      <c r="E604" s="338">
        <f t="shared" si="242"/>
        <v>1.5007472328545364</v>
      </c>
      <c r="F604" s="339">
        <f t="shared" si="243"/>
        <v>0.84151392366182409</v>
      </c>
      <c r="G604" s="338">
        <f t="shared" si="244"/>
        <v>1</v>
      </c>
      <c r="H604" s="339">
        <f t="shared" si="245"/>
        <v>0</v>
      </c>
      <c r="I604" s="337">
        <f t="shared" si="246"/>
        <v>983180.91116358771</v>
      </c>
      <c r="J604" s="340">
        <f t="shared" si="247"/>
        <v>1.5707953096880869</v>
      </c>
      <c r="K604" s="348">
        <f t="shared" si="263"/>
        <v>184.31457514229891</v>
      </c>
      <c r="L604" s="349">
        <f t="shared" si="264"/>
        <v>1.5653707932725813</v>
      </c>
      <c r="M604" s="337">
        <f t="shared" si="248"/>
        <v>4.2775996974450692</v>
      </c>
      <c r="N604" s="340">
        <f t="shared" si="249"/>
        <v>1.3348368679678795</v>
      </c>
      <c r="O604" s="341">
        <f t="shared" si="250"/>
        <v>16.020431173935389</v>
      </c>
      <c r="P604" s="342">
        <f t="shared" si="251"/>
        <v>2.74033075159605</v>
      </c>
      <c r="Q604" s="343">
        <f t="shared" si="252"/>
        <v>-59.434669886525668</v>
      </c>
      <c r="R604" s="344">
        <f t="shared" si="253"/>
        <v>-275.28278531353789</v>
      </c>
      <c r="S604" s="346">
        <f t="shared" si="254"/>
        <v>-95.282785313537886</v>
      </c>
      <c r="U604" s="319">
        <f t="shared" si="260"/>
        <v>436520</v>
      </c>
      <c r="V604" s="319">
        <f t="shared" si="261"/>
        <v>190549710400</v>
      </c>
      <c r="X604" s="345">
        <f t="shared" si="255"/>
        <v>10.541746424112704</v>
      </c>
      <c r="Y604" s="346">
        <f t="shared" si="256"/>
        <v>-76.791320857275764</v>
      </c>
      <c r="AA604" s="345">
        <f t="shared" si="257"/>
        <v>-6.3672950214757407</v>
      </c>
      <c r="AB604" s="346">
        <f t="shared" si="258"/>
        <v>-198.49146445626204</v>
      </c>
      <c r="AD604">
        <f t="shared" si="262"/>
        <v>0</v>
      </c>
      <c r="AE604">
        <f t="shared" si="265"/>
        <v>0</v>
      </c>
    </row>
    <row r="605" spans="1:31" x14ac:dyDescent="0.25">
      <c r="A605" s="347">
        <v>478630</v>
      </c>
      <c r="B605" s="364">
        <f t="shared" si="259"/>
        <v>478.63</v>
      </c>
      <c r="C605" s="337">
        <f t="shared" si="240"/>
        <v>207.52459087570108</v>
      </c>
      <c r="D605" s="338">
        <f t="shared" si="241"/>
        <v>1.565977602103964</v>
      </c>
      <c r="E605" s="338">
        <f t="shared" si="242"/>
        <v>1.5828761795404516</v>
      </c>
      <c r="F605" s="339">
        <f t="shared" si="243"/>
        <v>0.88697297495670024</v>
      </c>
      <c r="G605" s="338">
        <f t="shared" si="244"/>
        <v>1</v>
      </c>
      <c r="H605" s="339">
        <f t="shared" si="245"/>
        <v>0</v>
      </c>
      <c r="I605" s="337">
        <f t="shared" si="246"/>
        <v>1078025.9312521466</v>
      </c>
      <c r="J605" s="340">
        <f t="shared" si="247"/>
        <v>1.5707953991734258</v>
      </c>
      <c r="K605" s="348">
        <f t="shared" si="263"/>
        <v>202.09444397126265</v>
      </c>
      <c r="L605" s="349">
        <f t="shared" si="264"/>
        <v>1.5658481250475131</v>
      </c>
      <c r="M605" s="337">
        <f t="shared" si="248"/>
        <v>4.6686396023866648</v>
      </c>
      <c r="N605" s="340">
        <f t="shared" si="249"/>
        <v>1.3549285364108572</v>
      </c>
      <c r="O605" s="341">
        <f t="shared" si="250"/>
        <v>19.200429619072384</v>
      </c>
      <c r="P605" s="342">
        <f t="shared" si="251"/>
        <v>2.7761851544616367</v>
      </c>
      <c r="Q605" s="343">
        <f t="shared" si="252"/>
        <v>-62.104337649259477</v>
      </c>
      <c r="R605" s="344">
        <f t="shared" si="253"/>
        <v>-275.88293682384966</v>
      </c>
      <c r="S605" s="346">
        <f t="shared" si="254"/>
        <v>-95.882936823849661</v>
      </c>
      <c r="U605" s="319">
        <f t="shared" si="260"/>
        <v>478630</v>
      </c>
      <c r="V605" s="319">
        <f t="shared" si="261"/>
        <v>229086676900</v>
      </c>
      <c r="X605" s="345">
        <f t="shared" si="255"/>
        <v>9.7819207328318996</v>
      </c>
      <c r="Y605" s="346">
        <f t="shared" si="256"/>
        <v>-77.915144694719899</v>
      </c>
      <c r="AA605" s="345">
        <f t="shared" si="257"/>
        <v>-8.2771370929287507</v>
      </c>
      <c r="AB605" s="346">
        <f t="shared" si="258"/>
        <v>-197.96779212912978</v>
      </c>
      <c r="AD605">
        <f t="shared" si="262"/>
        <v>0</v>
      </c>
      <c r="AE605">
        <f t="shared" si="265"/>
        <v>0</v>
      </c>
    </row>
    <row r="606" spans="1:31" x14ac:dyDescent="0.25">
      <c r="A606" s="347">
        <v>524810</v>
      </c>
      <c r="B606" s="364">
        <f t="shared" si="259"/>
        <v>524.80999999999995</v>
      </c>
      <c r="C606" s="337">
        <f t="shared" si="240"/>
        <v>227.54688966415327</v>
      </c>
      <c r="D606" s="338">
        <f t="shared" si="241"/>
        <v>1.5664016140374517</v>
      </c>
      <c r="E606" s="338">
        <f t="shared" si="242"/>
        <v>1.6763125353590729</v>
      </c>
      <c r="F606" s="339">
        <f t="shared" si="243"/>
        <v>0.93160393337382996</v>
      </c>
      <c r="G606" s="338">
        <f t="shared" si="244"/>
        <v>1</v>
      </c>
      <c r="H606" s="339">
        <f t="shared" si="245"/>
        <v>0</v>
      </c>
      <c r="I606" s="337">
        <f t="shared" si="246"/>
        <v>1182037.8768159081</v>
      </c>
      <c r="J606" s="340">
        <f t="shared" si="247"/>
        <v>1.5707954807983175</v>
      </c>
      <c r="K606" s="348">
        <f t="shared" si="263"/>
        <v>221.59281007647698</v>
      </c>
      <c r="L606" s="349">
        <f t="shared" si="264"/>
        <v>1.5662835296789346</v>
      </c>
      <c r="M606" s="337">
        <f t="shared" si="248"/>
        <v>5.0992919263556686</v>
      </c>
      <c r="N606" s="340">
        <f t="shared" si="249"/>
        <v>1.3734114512704387</v>
      </c>
      <c r="O606" s="341">
        <f t="shared" si="250"/>
        <v>23.026010060542426</v>
      </c>
      <c r="P606" s="342">
        <f t="shared" si="251"/>
        <v>2.8087710939375459</v>
      </c>
      <c r="Q606" s="343">
        <f t="shared" si="252"/>
        <v>-64.750766687893616</v>
      </c>
      <c r="R606" s="344">
        <f t="shared" si="253"/>
        <v>-276.25115301258995</v>
      </c>
      <c r="S606" s="346">
        <f t="shared" si="254"/>
        <v>-96.251153012589953</v>
      </c>
      <c r="U606" s="319">
        <f t="shared" si="260"/>
        <v>524810</v>
      </c>
      <c r="V606" s="319">
        <f t="shared" si="261"/>
        <v>275425536100</v>
      </c>
      <c r="X606" s="345">
        <f t="shared" si="255"/>
        <v>9.0155123291398525</v>
      </c>
      <c r="Y606" s="346">
        <f t="shared" si="256"/>
        <v>-78.949195539456042</v>
      </c>
      <c r="AA606" s="345">
        <f t="shared" si="257"/>
        <v>-10.157157727870844</v>
      </c>
      <c r="AB606" s="346">
        <f t="shared" si="258"/>
        <v>-197.30195747313394</v>
      </c>
      <c r="AD606">
        <f t="shared" si="262"/>
        <v>0</v>
      </c>
      <c r="AE606">
        <f t="shared" si="265"/>
        <v>0</v>
      </c>
    </row>
    <row r="607" spans="1:31" x14ac:dyDescent="0.25">
      <c r="A607" s="347">
        <v>575440</v>
      </c>
      <c r="B607" s="364">
        <f t="shared" si="259"/>
        <v>575.44000000000005</v>
      </c>
      <c r="C607" s="337">
        <f t="shared" si="240"/>
        <v>249.49861754358531</v>
      </c>
      <c r="D607" s="338">
        <f t="shared" si="241"/>
        <v>1.5667882778234841</v>
      </c>
      <c r="E607" s="338">
        <f t="shared" si="242"/>
        <v>1.7821634469426642</v>
      </c>
      <c r="F607" s="339">
        <f t="shared" si="243"/>
        <v>0.97506317580416402</v>
      </c>
      <c r="G607" s="338">
        <f t="shared" si="244"/>
        <v>1</v>
      </c>
      <c r="H607" s="339">
        <f t="shared" si="245"/>
        <v>0</v>
      </c>
      <c r="I607" s="337">
        <f t="shared" si="246"/>
        <v>1296072.6278746694</v>
      </c>
      <c r="J607" s="340">
        <f t="shared" si="247"/>
        <v>1.5707955552331967</v>
      </c>
      <c r="K607" s="348">
        <f t="shared" si="263"/>
        <v>242.97011908988296</v>
      </c>
      <c r="L607" s="349">
        <f t="shared" si="264"/>
        <v>1.5666805827397172</v>
      </c>
      <c r="M607" s="337">
        <f t="shared" si="248"/>
        <v>5.5731200006404276</v>
      </c>
      <c r="N607" s="340">
        <f t="shared" si="249"/>
        <v>1.3903865593122424</v>
      </c>
      <c r="O607" s="341">
        <f t="shared" si="250"/>
        <v>27.626377401688799</v>
      </c>
      <c r="P607" s="342">
        <f t="shared" si="251"/>
        <v>2.8383912383866448</v>
      </c>
      <c r="Q607" s="343">
        <f t="shared" si="252"/>
        <v>-67.372750971456753</v>
      </c>
      <c r="R607" s="344">
        <f t="shared" si="253"/>
        <v>-276.43024215698478</v>
      </c>
      <c r="S607" s="346">
        <f t="shared" si="254"/>
        <v>-96.430242156984775</v>
      </c>
      <c r="U607" s="319">
        <f t="shared" si="260"/>
        <v>575440</v>
      </c>
      <c r="V607" s="319">
        <f t="shared" si="261"/>
        <v>331131193600</v>
      </c>
      <c r="X607" s="345">
        <f t="shared" si="255"/>
        <v>8.2437270690670665</v>
      </c>
      <c r="Y607" s="346">
        <f t="shared" si="256"/>
        <v>-79.899052388294152</v>
      </c>
      <c r="AA607" s="345">
        <f t="shared" si="257"/>
        <v>-12.007356751361197</v>
      </c>
      <c r="AB607" s="346">
        <f t="shared" si="258"/>
        <v>-196.53118976869061</v>
      </c>
      <c r="AD607">
        <f t="shared" si="262"/>
        <v>0</v>
      </c>
      <c r="AE607">
        <f t="shared" si="265"/>
        <v>0</v>
      </c>
    </row>
    <row r="608" spans="1:31" x14ac:dyDescent="0.25">
      <c r="A608" s="347">
        <v>630960</v>
      </c>
      <c r="B608" s="364">
        <f t="shared" si="259"/>
        <v>630.96</v>
      </c>
      <c r="C608" s="337">
        <f t="shared" si="240"/>
        <v>273.57054599826256</v>
      </c>
      <c r="D608" s="338">
        <f t="shared" si="241"/>
        <v>1.5671409543814945</v>
      </c>
      <c r="E608" s="338">
        <f t="shared" si="242"/>
        <v>1.9016511155683844</v>
      </c>
      <c r="F608" s="339">
        <f t="shared" si="243"/>
        <v>1.0170718385376143</v>
      </c>
      <c r="G608" s="338">
        <f t="shared" si="244"/>
        <v>1</v>
      </c>
      <c r="H608" s="339">
        <f t="shared" si="245"/>
        <v>0</v>
      </c>
      <c r="I608" s="337">
        <f t="shared" si="246"/>
        <v>1421121.2033987218</v>
      </c>
      <c r="J608" s="340">
        <f t="shared" si="247"/>
        <v>1.5707956231251479</v>
      </c>
      <c r="K608" s="348">
        <f t="shared" si="263"/>
        <v>266.41215050876082</v>
      </c>
      <c r="L608" s="349">
        <f t="shared" si="264"/>
        <v>1.5670427354277778</v>
      </c>
      <c r="M608" s="337">
        <f t="shared" si="248"/>
        <v>6.094256667730126</v>
      </c>
      <c r="N608" s="340">
        <f t="shared" si="249"/>
        <v>1.4059619845861144</v>
      </c>
      <c r="O608" s="341">
        <f t="shared" si="250"/>
        <v>33.159015554766214</v>
      </c>
      <c r="P608" s="342">
        <f t="shared" si="251"/>
        <v>2.8653320520946051</v>
      </c>
      <c r="Q608" s="343">
        <f t="shared" si="252"/>
        <v>-69.971121704217609</v>
      </c>
      <c r="R608" s="344">
        <f t="shared" si="253"/>
        <v>-276.45878508149508</v>
      </c>
      <c r="S608" s="346">
        <f t="shared" si="254"/>
        <v>-96.45878508149508</v>
      </c>
      <c r="U608" s="319">
        <f t="shared" si="260"/>
        <v>630960</v>
      </c>
      <c r="V608" s="319">
        <f t="shared" si="261"/>
        <v>398110521600</v>
      </c>
      <c r="X608" s="345">
        <f t="shared" si="255"/>
        <v>7.4672677568592984</v>
      </c>
      <c r="Y608" s="346">
        <f t="shared" si="256"/>
        <v>-80.770712590961523</v>
      </c>
      <c r="AA608" s="345">
        <f t="shared" si="257"/>
        <v>-13.829268171914284</v>
      </c>
      <c r="AB608" s="346">
        <f t="shared" si="258"/>
        <v>-195.68807249053353</v>
      </c>
      <c r="AD608">
        <f t="shared" si="262"/>
        <v>0</v>
      </c>
      <c r="AE608">
        <f t="shared" si="265"/>
        <v>0</v>
      </c>
    </row>
    <row r="609" spans="1:31" x14ac:dyDescent="0.25">
      <c r="A609" s="347">
        <v>691830</v>
      </c>
      <c r="B609" s="364">
        <f t="shared" si="259"/>
        <v>691.83</v>
      </c>
      <c r="C609" s="337">
        <f t="shared" si="240"/>
        <v>299.96211823911</v>
      </c>
      <c r="D609" s="338">
        <f t="shared" si="241"/>
        <v>1.5674625663247437</v>
      </c>
      <c r="E609" s="338">
        <f t="shared" si="242"/>
        <v>2.0360308056180236</v>
      </c>
      <c r="F609" s="339">
        <f t="shared" si="243"/>
        <v>1.0573849002735896</v>
      </c>
      <c r="G609" s="338">
        <f t="shared" si="244"/>
        <v>1</v>
      </c>
      <c r="H609" s="339">
        <f t="shared" si="245"/>
        <v>0</v>
      </c>
      <c r="I609" s="337">
        <f t="shared" si="246"/>
        <v>1558219.6686751882</v>
      </c>
      <c r="J609" s="340">
        <f t="shared" si="247"/>
        <v>1.570795685036857</v>
      </c>
      <c r="K609" s="348">
        <f t="shared" si="263"/>
        <v>292.11312865648949</v>
      </c>
      <c r="L609" s="349">
        <f t="shared" si="264"/>
        <v>1.5673729888647971</v>
      </c>
      <c r="M609" s="337">
        <f t="shared" si="248"/>
        <v>6.667031280668458</v>
      </c>
      <c r="N609" s="340">
        <f t="shared" si="249"/>
        <v>1.4202363512543861</v>
      </c>
      <c r="O609" s="341">
        <f t="shared" si="250"/>
        <v>39.811042630581497</v>
      </c>
      <c r="P609" s="342">
        <f t="shared" si="251"/>
        <v>2.8898403089018689</v>
      </c>
      <c r="Q609" s="343">
        <f t="shared" si="252"/>
        <v>-72.546276942862335</v>
      </c>
      <c r="R609" s="344">
        <f t="shared" si="253"/>
        <v>-276.37060585442367</v>
      </c>
      <c r="S609" s="346">
        <f t="shared" si="254"/>
        <v>-96.370605854423673</v>
      </c>
      <c r="U609" s="319">
        <f t="shared" si="260"/>
        <v>691830</v>
      </c>
      <c r="V609" s="319">
        <f t="shared" si="261"/>
        <v>478628748900</v>
      </c>
      <c r="X609" s="345">
        <f t="shared" si="255"/>
        <v>6.687022430938784</v>
      </c>
      <c r="Y609" s="346">
        <f t="shared" si="256"/>
        <v>-81.56965497635737</v>
      </c>
      <c r="AA609" s="345">
        <f t="shared" si="257"/>
        <v>-15.624178084638487</v>
      </c>
      <c r="AB609" s="346">
        <f t="shared" si="258"/>
        <v>-194.80095087806626</v>
      </c>
      <c r="AD609">
        <f t="shared" si="262"/>
        <v>0</v>
      </c>
      <c r="AE609">
        <f t="shared" si="265"/>
        <v>0</v>
      </c>
    </row>
    <row r="610" spans="1:31" x14ac:dyDescent="0.25">
      <c r="A610" s="347">
        <v>758580</v>
      </c>
      <c r="B610" s="364">
        <f t="shared" si="259"/>
        <v>758.58</v>
      </c>
      <c r="C610" s="337">
        <f t="shared" si="240"/>
        <v>328.90312781481373</v>
      </c>
      <c r="D610" s="338">
        <f t="shared" si="241"/>
        <v>1.5677559132015952</v>
      </c>
      <c r="E610" s="338">
        <f t="shared" si="242"/>
        <v>2.1867014252223664</v>
      </c>
      <c r="F610" s="339">
        <f t="shared" si="243"/>
        <v>1.0958285355615409</v>
      </c>
      <c r="G610" s="338">
        <f t="shared" si="244"/>
        <v>1</v>
      </c>
      <c r="H610" s="339">
        <f t="shared" si="245"/>
        <v>0</v>
      </c>
      <c r="I610" s="337">
        <f t="shared" si="246"/>
        <v>1708561.7511001015</v>
      </c>
      <c r="J610" s="340">
        <f t="shared" si="247"/>
        <v>1.5707957415073006</v>
      </c>
      <c r="K610" s="348">
        <f t="shared" si="263"/>
        <v>320.29683402329533</v>
      </c>
      <c r="L610" s="349">
        <f t="shared" si="264"/>
        <v>1.5676742178060727</v>
      </c>
      <c r="M610" s="337">
        <f t="shared" si="248"/>
        <v>7.2964399560012652</v>
      </c>
      <c r="N610" s="340">
        <f t="shared" si="249"/>
        <v>1.43331046228655</v>
      </c>
      <c r="O610" s="341">
        <f t="shared" si="250"/>
        <v>47.810293490819589</v>
      </c>
      <c r="P610" s="342">
        <f t="shared" si="251"/>
        <v>2.9121481514573042</v>
      </c>
      <c r="Q610" s="343">
        <f t="shared" si="252"/>
        <v>-75.100142038072903</v>
      </c>
      <c r="R610" s="344">
        <f t="shared" si="253"/>
        <v>-276.19473604107282</v>
      </c>
      <c r="S610" s="346">
        <f t="shared" si="254"/>
        <v>-96.194736041072815</v>
      </c>
      <c r="U610" s="319">
        <f t="shared" si="260"/>
        <v>758580</v>
      </c>
      <c r="V610" s="319">
        <f t="shared" si="261"/>
        <v>575443616400</v>
      </c>
      <c r="X610" s="345">
        <f t="shared" si="255"/>
        <v>5.9034434651283672</v>
      </c>
      <c r="Y610" s="346">
        <f t="shared" si="256"/>
        <v>-82.301490448737823</v>
      </c>
      <c r="AA610" s="345">
        <f t="shared" si="257"/>
        <v>-17.394464214038646</v>
      </c>
      <c r="AB610" s="346">
        <f t="shared" si="258"/>
        <v>-193.89324559233501</v>
      </c>
      <c r="AD610">
        <f t="shared" si="262"/>
        <v>0</v>
      </c>
      <c r="AE610">
        <f t="shared" si="265"/>
        <v>0</v>
      </c>
    </row>
    <row r="611" spans="1:31" x14ac:dyDescent="0.25">
      <c r="A611" s="347">
        <v>831760</v>
      </c>
      <c r="B611" s="364">
        <f t="shared" si="259"/>
        <v>831.76</v>
      </c>
      <c r="C611" s="337">
        <f t="shared" si="240"/>
        <v>360.63203997195558</v>
      </c>
      <c r="D611" s="338">
        <f t="shared" si="241"/>
        <v>1.5680234137681264</v>
      </c>
      <c r="E611" s="338">
        <f t="shared" si="242"/>
        <v>2.3550984654229596</v>
      </c>
      <c r="F611" s="339">
        <f t="shared" si="243"/>
        <v>1.1322644753869735</v>
      </c>
      <c r="G611" s="338">
        <f t="shared" si="244"/>
        <v>1</v>
      </c>
      <c r="H611" s="339">
        <f t="shared" si="245"/>
        <v>0</v>
      </c>
      <c r="I611" s="337">
        <f t="shared" si="246"/>
        <v>1873386.2243863265</v>
      </c>
      <c r="J611" s="340">
        <f t="shared" si="247"/>
        <v>1.5707957930021383</v>
      </c>
      <c r="K611" s="348">
        <f t="shared" si="263"/>
        <v>351.19549189596756</v>
      </c>
      <c r="L611" s="349">
        <f t="shared" si="264"/>
        <v>1.5679489059868916</v>
      </c>
      <c r="M611" s="337">
        <f t="shared" si="248"/>
        <v>7.9876756217358853</v>
      </c>
      <c r="N611" s="340">
        <f t="shared" si="249"/>
        <v>1.4452741030639016</v>
      </c>
      <c r="O611" s="341">
        <f t="shared" si="250"/>
        <v>57.426916476770643</v>
      </c>
      <c r="P611" s="342">
        <f t="shared" si="251"/>
        <v>2.9324543916507118</v>
      </c>
      <c r="Q611" s="343">
        <f t="shared" si="252"/>
        <v>-77.633753527539142</v>
      </c>
      <c r="R611" s="344">
        <f t="shared" si="253"/>
        <v>-275.95562958169711</v>
      </c>
      <c r="S611" s="346">
        <f t="shared" si="254"/>
        <v>-95.95562958169711</v>
      </c>
      <c r="U611" s="319">
        <f t="shared" si="260"/>
        <v>831760</v>
      </c>
      <c r="V611" s="319">
        <f t="shared" si="261"/>
        <v>691824697600</v>
      </c>
      <c r="X611" s="345">
        <f t="shared" si="255"/>
        <v>5.1172482035489733</v>
      </c>
      <c r="Y611" s="346">
        <f t="shared" si="256"/>
        <v>-82.971221050649788</v>
      </c>
      <c r="AA611" s="345">
        <f t="shared" si="257"/>
        <v>-19.141880441925483</v>
      </c>
      <c r="AB611" s="346">
        <f t="shared" si="258"/>
        <v>-192.98440853104734</v>
      </c>
      <c r="AD611">
        <f t="shared" si="262"/>
        <v>0</v>
      </c>
      <c r="AE611">
        <f t="shared" si="265"/>
        <v>0</v>
      </c>
    </row>
    <row r="612" spans="1:31" x14ac:dyDescent="0.25">
      <c r="A612" s="347">
        <v>912010</v>
      </c>
      <c r="B612" s="364">
        <f t="shared" si="259"/>
        <v>912.01</v>
      </c>
      <c r="C612" s="337">
        <f t="shared" si="240"/>
        <v>395.4263417801688</v>
      </c>
      <c r="D612" s="338">
        <f t="shared" si="241"/>
        <v>1.5682674081057575</v>
      </c>
      <c r="E612" s="338">
        <f t="shared" si="242"/>
        <v>2.5428569107817989</v>
      </c>
      <c r="F612" s="339">
        <f t="shared" si="243"/>
        <v>1.1666233976838554</v>
      </c>
      <c r="G612" s="338">
        <f t="shared" si="244"/>
        <v>1</v>
      </c>
      <c r="H612" s="339">
        <f t="shared" si="245"/>
        <v>0</v>
      </c>
      <c r="I612" s="337">
        <f t="shared" si="246"/>
        <v>2054134.570672469</v>
      </c>
      <c r="J612" s="340">
        <f t="shared" si="247"/>
        <v>1.5707958399718742</v>
      </c>
      <c r="K612" s="348">
        <f t="shared" si="263"/>
        <v>385.07932830639032</v>
      </c>
      <c r="L612" s="349">
        <f t="shared" si="264"/>
        <v>1.5681994563569144</v>
      </c>
      <c r="M612" s="337">
        <f t="shared" si="248"/>
        <v>8.7467887304023897</v>
      </c>
      <c r="N612" s="340">
        <f t="shared" si="249"/>
        <v>1.4562181182194471</v>
      </c>
      <c r="O612" s="341">
        <f t="shared" si="250"/>
        <v>68.990629294036481</v>
      </c>
      <c r="P612" s="342">
        <f t="shared" si="251"/>
        <v>2.9509483393886797</v>
      </c>
      <c r="Q612" s="343">
        <f t="shared" si="252"/>
        <v>-80.149584667919044</v>
      </c>
      <c r="R612" s="344">
        <f t="shared" si="253"/>
        <v>-275.67330643458752</v>
      </c>
      <c r="S612" s="346">
        <f t="shared" si="254"/>
        <v>-95.673306434587516</v>
      </c>
      <c r="U612" s="319">
        <f t="shared" si="260"/>
        <v>912010</v>
      </c>
      <c r="V612" s="319">
        <f t="shared" si="261"/>
        <v>831762240100</v>
      </c>
      <c r="X612" s="345">
        <f t="shared" si="255"/>
        <v>4.3286779435680707</v>
      </c>
      <c r="Y612" s="346">
        <f t="shared" si="256"/>
        <v>-83.583914143099733</v>
      </c>
      <c r="AA612" s="345">
        <f t="shared" si="257"/>
        <v>-20.869141322324491</v>
      </c>
      <c r="AB612" s="346">
        <f t="shared" si="258"/>
        <v>-192.08939229148777</v>
      </c>
      <c r="AD612">
        <f t="shared" si="262"/>
        <v>0</v>
      </c>
      <c r="AE612">
        <f t="shared" si="265"/>
        <v>0</v>
      </c>
    </row>
    <row r="613" spans="1:31" x14ac:dyDescent="0.25">
      <c r="A613" s="347">
        <v>1000000</v>
      </c>
      <c r="B613" s="364">
        <f t="shared" si="259"/>
        <v>1000</v>
      </c>
      <c r="C613" s="337">
        <f t="shared" si="240"/>
        <v>433.57652772505861</v>
      </c>
      <c r="D613" s="338">
        <f t="shared" si="241"/>
        <v>1.5684899268340233</v>
      </c>
      <c r="E613" s="338">
        <f t="shared" si="242"/>
        <v>2.7516786318669464</v>
      </c>
      <c r="F613" s="339">
        <f t="shared" si="243"/>
        <v>1.1988659166945119</v>
      </c>
      <c r="G613" s="338">
        <f t="shared" si="244"/>
        <v>1</v>
      </c>
      <c r="H613" s="339">
        <f t="shared" si="245"/>
        <v>0</v>
      </c>
      <c r="I613" s="337">
        <f t="shared" si="246"/>
        <v>2252315.841572382</v>
      </c>
      <c r="J613" s="340">
        <f t="shared" si="247"/>
        <v>1.570795882807432</v>
      </c>
      <c r="K613" s="348">
        <f t="shared" si="263"/>
        <v>422.23123634690552</v>
      </c>
      <c r="L613" s="349">
        <f t="shared" si="264"/>
        <v>1.5684279540910735</v>
      </c>
      <c r="M613" s="337">
        <f t="shared" si="248"/>
        <v>9.5801211848302135</v>
      </c>
      <c r="N613" s="340">
        <f t="shared" si="249"/>
        <v>1.4662230229048632</v>
      </c>
      <c r="O613" s="341">
        <f t="shared" si="250"/>
        <v>82.893432581833409</v>
      </c>
      <c r="P613" s="342">
        <f t="shared" si="251"/>
        <v>2.9677930027744246</v>
      </c>
      <c r="Q613" s="343">
        <f t="shared" si="252"/>
        <v>-82.64912481580626</v>
      </c>
      <c r="R613" s="344">
        <f t="shared" si="253"/>
        <v>-275.36397298877313</v>
      </c>
      <c r="S613" s="346">
        <f t="shared" si="254"/>
        <v>-95.363972988773128</v>
      </c>
      <c r="U613" s="319">
        <f t="shared" si="260"/>
        <v>1000000</v>
      </c>
      <c r="V613" s="319">
        <f t="shared" si="261"/>
        <v>1000000000000</v>
      </c>
      <c r="X613" s="345">
        <f t="shared" si="255"/>
        <v>3.5382256952692064</v>
      </c>
      <c r="Y613" s="346">
        <f t="shared" si="256"/>
        <v>-84.144063455145869</v>
      </c>
      <c r="AA613" s="345">
        <f t="shared" si="257"/>
        <v>-22.578229221912846</v>
      </c>
      <c r="AB613" s="346">
        <f t="shared" si="258"/>
        <v>-191.21990953362729</v>
      </c>
      <c r="AD613">
        <f t="shared" si="262"/>
        <v>0</v>
      </c>
      <c r="AE613">
        <f t="shared" si="265"/>
        <v>0</v>
      </c>
    </row>
    <row r="614" spans="1:31" x14ac:dyDescent="0.25">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5">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5">
      <c r="A616" s="319" t="s">
        <v>362</v>
      </c>
      <c r="G616" s="338"/>
      <c r="H616" s="339"/>
      <c r="Q616" s="343"/>
      <c r="R616" s="344"/>
      <c r="S616" s="353"/>
      <c r="AA616" s="345"/>
      <c r="AB616" s="346"/>
    </row>
    <row r="617" spans="1:31" x14ac:dyDescent="0.25">
      <c r="A617" s="354">
        <f>Q4*1000</f>
        <v>20655</v>
      </c>
      <c r="B617" s="354"/>
      <c r="C617" s="355">
        <f t="shared" ref="C617:C626" si="266">SQRT(1+(A617/pole1)^2)</f>
        <v>9.0111580166689738</v>
      </c>
      <c r="D617" s="348">
        <f t="shared" ref="D617:D626" si="267">ATAN(A617/pole1)</f>
        <v>1.4595937513244588</v>
      </c>
      <c r="E617" s="348">
        <f t="shared" ref="E617:E626" si="268">SQRT(1+(A617/Zero1)^2)</f>
        <v>1.0014008652985287</v>
      </c>
      <c r="F617" s="349">
        <f t="shared" ref="F617:F626" si="269">ATAN(A617/Zero1)</f>
        <v>5.2900508467681281E-2</v>
      </c>
      <c r="G617" s="338">
        <f>IF(VIN_nom&gt;Vout, 1, SQRT(1+(A617/z_RHP)^2))</f>
        <v>1</v>
      </c>
      <c r="H617" s="339">
        <f>IF(VIN_nom&gt;Vout, 0, -ATAN(A617/z_RHP))</f>
        <v>0</v>
      </c>
      <c r="I617" s="355">
        <f t="shared" ref="I617:I626" si="270">SQRT(1+(A617/Pole2)^2)</f>
        <v>46521.583718420654</v>
      </c>
      <c r="J617" s="356">
        <f t="shared" ref="J617:J626" si="271">ATAN(A617/Pole2)</f>
        <v>1.570774831395984</v>
      </c>
      <c r="K617" s="348">
        <f t="shared" ref="K617:K626" si="272">SQRT(1+(A617/Zero2)^2)</f>
        <v>8.7783063215436172</v>
      </c>
      <c r="L617" s="349">
        <f t="shared" ref="L617:L626" si="273">ATAN(A617/Zero2)</f>
        <v>1.456631299217783</v>
      </c>
      <c r="M617" s="355">
        <f t="shared" ref="M617:M626" si="274">SQRT(1+(A617/pole4)^2)</f>
        <v>1.0191804735285028</v>
      </c>
      <c r="N617" s="356">
        <f t="shared" ref="N617:N626" si="275">ATAN(A617/pole4)</f>
        <v>0.19431332170659441</v>
      </c>
      <c r="O617" s="355">
        <f t="shared" ref="O617:O626" si="276">SQRT((1-(A617^2/(pole3^2)))^2+(A617/(Q*pole3))^2)</f>
        <v>1.0091520913979566</v>
      </c>
      <c r="P617" s="420">
        <f t="shared" ref="P617:P626" si="277">ATAN((A617/(Q*pole3))/(1-A617^2/pole3^2))</f>
        <v>0.29777356932786381</v>
      </c>
      <c r="Q617" s="343">
        <f>20*LOG10(((E617*K617*G617)/(C617*I617*O617*M617))*Adc)</f>
        <v>2.7154975949025564E-2</v>
      </c>
      <c r="R617" s="344">
        <f>((F617+L617+H617)-(D617+J617+P617+N617))*radconv</f>
        <v>-115.33203067956585</v>
      </c>
      <c r="S617" s="346">
        <f t="shared" ref="S617:S626" si="278">IF(R617&gt;0,R617,R617+180)</f>
        <v>64.667969320434153</v>
      </c>
      <c r="T617" s="319" t="s">
        <v>363</v>
      </c>
      <c r="X617" s="345">
        <f t="shared" ref="X617:X626" si="279">20*LOG10((K617/(I617*M617))*AEA)</f>
        <v>23.057327327270748</v>
      </c>
      <c r="Y617" s="346">
        <f t="shared" ref="Y617:Y626" si="280">(L617-(J617+N617))*radconv</f>
        <v>-17.673275909676946</v>
      </c>
      <c r="AA617" s="345">
        <f>20*LOG10((E617*G617/(C617*O617))*Acs*Am)</f>
        <v>40.578948937840906</v>
      </c>
      <c r="AB617" s="346">
        <f>(F617+H617-(D617+P617))*radconv</f>
        <v>-97.658754769888901</v>
      </c>
    </row>
    <row r="618" spans="1:31" x14ac:dyDescent="0.25">
      <c r="A618" s="354">
        <f>A617</f>
        <v>20655</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5">
      <c r="A619" s="319">
        <f>A618</f>
        <v>20655</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5">
      <c r="A620" s="354">
        <v>1000000</v>
      </c>
      <c r="B620" s="354"/>
      <c r="C620" s="355"/>
      <c r="D620" s="348"/>
      <c r="E620" s="348"/>
      <c r="F620" s="349"/>
      <c r="G620" s="338"/>
      <c r="H620" s="339"/>
      <c r="I620" s="355"/>
      <c r="J620" s="356"/>
      <c r="K620" s="348"/>
      <c r="L620" s="349"/>
      <c r="M620" s="337"/>
      <c r="N620" s="340"/>
      <c r="O620" s="355"/>
      <c r="P620" s="342"/>
      <c r="Q620" s="343"/>
      <c r="R620" s="344">
        <f>R617</f>
        <v>-115.33203067956585</v>
      </c>
      <c r="S620" s="346"/>
      <c r="X620" s="345"/>
      <c r="Y620" s="346"/>
      <c r="AA620" s="345"/>
      <c r="AB620" s="346"/>
    </row>
    <row r="621" spans="1:31" x14ac:dyDescent="0.25">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5">
      <c r="A622" s="429">
        <f>pole1</f>
        <v>2306.4040504988106</v>
      </c>
      <c r="B622" s="354"/>
      <c r="C622" s="355">
        <f t="shared" si="266"/>
        <v>1.4142135623730951</v>
      </c>
      <c r="D622" s="348">
        <f t="shared" si="267"/>
        <v>0.78539816339744828</v>
      </c>
      <c r="E622" s="348">
        <f t="shared" si="268"/>
        <v>1.0000174790190184</v>
      </c>
      <c r="F622" s="349">
        <f t="shared" si="269"/>
        <v>5.9124892262885234E-3</v>
      </c>
      <c r="G622" s="338">
        <f t="shared" ref="G622:G628" si="281">IF(VIN_nom&gt;Vout, 1, SQRT(1+(A622/z_RHP)^2))</f>
        <v>1</v>
      </c>
      <c r="H622" s="339">
        <f t="shared" ref="H622:H628" si="282">IF(VIN_nom&gt;Vout, 0, -ATAN(A622/z_RHP))</f>
        <v>0</v>
      </c>
      <c r="I622" s="355">
        <f t="shared" si="270"/>
        <v>5194.7504762556819</v>
      </c>
      <c r="J622" s="356">
        <f t="shared" si="271"/>
        <v>1.5706038247660221</v>
      </c>
      <c r="K622" s="348">
        <f t="shared" si="272"/>
        <v>1.3958334111242507</v>
      </c>
      <c r="L622" s="349">
        <f t="shared" si="273"/>
        <v>0.77214204529857977</v>
      </c>
      <c r="M622" s="337">
        <f t="shared" si="274"/>
        <v>1.0002414195477658</v>
      </c>
      <c r="N622" s="340">
        <f t="shared" si="275"/>
        <v>2.1971389954714753E-2</v>
      </c>
      <c r="O622" s="355">
        <f t="shared" si="276"/>
        <v>1.0001069772472695</v>
      </c>
      <c r="P622" s="342">
        <f t="shared" si="277"/>
        <v>3.3063473555901085E-2</v>
      </c>
      <c r="Q622" s="343">
        <f t="shared" ref="Q622:Q628" si="283">20*LOG10(((E622*K622*G622)/(C622*I622*O622*M622))*Adc)</f>
        <v>19.411841391193679</v>
      </c>
      <c r="R622" s="344">
        <f t="shared" ref="R622:R628" si="284">((F622+L622+H622)-(D622+J622+P622+N622))*radconv</f>
        <v>-93.562994899055155</v>
      </c>
      <c r="S622" s="346">
        <f t="shared" si="278"/>
        <v>86.437005100944845</v>
      </c>
      <c r="T622" s="319" t="s">
        <v>337</v>
      </c>
      <c r="X622" s="345">
        <f t="shared" si="279"/>
        <v>26.290505669373204</v>
      </c>
      <c r="Y622" s="346">
        <f t="shared" si="280"/>
        <v>-47.007358034144957</v>
      </c>
      <c r="AA622" s="345">
        <f t="shared" ref="AA622:AA628" si="285">20*LOG10((E622*G622/(C622*O622))*Acs*Am)</f>
        <v>56.730457010983102</v>
      </c>
      <c r="AB622" s="346">
        <f t="shared" ref="AB622:AB628" si="286">(F622+H622-(D622+P622))*radconv</f>
        <v>-46.555636864910205</v>
      </c>
    </row>
    <row r="623" spans="1:31" x14ac:dyDescent="0.25">
      <c r="A623" s="429">
        <f>Zero1</f>
        <v>390085.64527881466</v>
      </c>
      <c r="B623" s="354"/>
      <c r="C623" s="355">
        <f t="shared" si="266"/>
        <v>169.13448600164452</v>
      </c>
      <c r="D623" s="348">
        <f t="shared" si="267"/>
        <v>1.564883837568608</v>
      </c>
      <c r="E623" s="348">
        <f t="shared" si="268"/>
        <v>1.4142135623730951</v>
      </c>
      <c r="F623" s="349">
        <f t="shared" si="269"/>
        <v>0.78539816339744828</v>
      </c>
      <c r="G623" s="338">
        <f t="shared" si="281"/>
        <v>1</v>
      </c>
      <c r="H623" s="339">
        <f t="shared" si="282"/>
        <v>0</v>
      </c>
      <c r="I623" s="355">
        <f t="shared" si="270"/>
        <v>878596.07843194157</v>
      </c>
      <c r="J623" s="356">
        <f t="shared" si="271"/>
        <v>1.5707951886154481</v>
      </c>
      <c r="K623" s="348">
        <f t="shared" si="272"/>
        <v>164.70891803925161</v>
      </c>
      <c r="L623" s="349">
        <f t="shared" si="273"/>
        <v>1.5647249728239805</v>
      </c>
      <c r="M623" s="337">
        <f t="shared" si="274"/>
        <v>3.8488321071567912</v>
      </c>
      <c r="N623" s="340">
        <f t="shared" si="275"/>
        <v>1.3079614874742909</v>
      </c>
      <c r="O623" s="355">
        <f t="shared" si="276"/>
        <v>12.855545356349245</v>
      </c>
      <c r="P623" s="342">
        <f t="shared" si="277"/>
        <v>-0.44999447212770749</v>
      </c>
      <c r="Q623" s="343">
        <f t="shared" si="283"/>
        <v>-56.144538357719497</v>
      </c>
      <c r="R623" s="344">
        <f t="shared" si="284"/>
        <v>-94.16692611489843</v>
      </c>
      <c r="S623" s="346">
        <f t="shared" si="278"/>
        <v>85.83307388510157</v>
      </c>
      <c r="T623" s="319" t="s">
        <v>332</v>
      </c>
      <c r="X623" s="345">
        <f t="shared" si="279"/>
        <v>11.459202141666086</v>
      </c>
      <c r="Y623" s="346">
        <f t="shared" si="280"/>
        <v>-75.288470829544522</v>
      </c>
      <c r="AA623" s="345">
        <f t="shared" si="285"/>
        <v>-3.9946192102229494</v>
      </c>
      <c r="AB623" s="346">
        <f t="shared" si="286"/>
        <v>-18.878455285353873</v>
      </c>
    </row>
    <row r="624" spans="1:31" x14ac:dyDescent="0.25">
      <c r="A624" s="429">
        <f>Pole2</f>
        <v>0.44398746460975064</v>
      </c>
      <c r="B624" s="354"/>
      <c r="C624" s="355">
        <f t="shared" si="266"/>
        <v>1.0000000185285158</v>
      </c>
      <c r="D624" s="348">
        <f t="shared" si="267"/>
        <v>1.925020288745343E-4</v>
      </c>
      <c r="E624" s="348">
        <f t="shared" si="268"/>
        <v>1.0000000000006477</v>
      </c>
      <c r="F624" s="349">
        <f t="shared" si="269"/>
        <v>1.1381794484957728E-6</v>
      </c>
      <c r="G624" s="338">
        <f t="shared" si="281"/>
        <v>1</v>
      </c>
      <c r="H624" s="339">
        <f t="shared" si="282"/>
        <v>0</v>
      </c>
      <c r="I624" s="355">
        <f t="shared" si="270"/>
        <v>1.4142135623730951</v>
      </c>
      <c r="J624" s="356">
        <f t="shared" si="271"/>
        <v>0.78539816339744828</v>
      </c>
      <c r="K624" s="348">
        <f t="shared" si="272"/>
        <v>1.0000000175715349</v>
      </c>
      <c r="L624" s="349">
        <f t="shared" si="273"/>
        <v>1.8746484814453109E-4</v>
      </c>
      <c r="M624" s="337">
        <f t="shared" si="274"/>
        <v>1.0000000000089475</v>
      </c>
      <c r="N624" s="340">
        <f t="shared" si="275"/>
        <v>4.230217918856616E-6</v>
      </c>
      <c r="O624" s="355">
        <f t="shared" si="276"/>
        <v>1.0000000000039608</v>
      </c>
      <c r="P624" s="342">
        <f t="shared" si="277"/>
        <v>6.364306989537794E-6</v>
      </c>
      <c r="Q624" s="343">
        <f t="shared" si="283"/>
        <v>90.829337437394514</v>
      </c>
      <c r="R624" s="344">
        <f t="shared" si="284"/>
        <v>-45.000830469301881</v>
      </c>
      <c r="S624" s="346">
        <f t="shared" si="278"/>
        <v>134.99916953069811</v>
      </c>
      <c r="T624" s="319" t="s">
        <v>340</v>
      </c>
      <c r="W624" s="319">
        <f>Pole2</f>
        <v>0.44398746460975064</v>
      </c>
      <c r="X624" s="345">
        <f t="shared" si="279"/>
        <v>94.69692459653713</v>
      </c>
      <c r="Y624" s="346">
        <f t="shared" si="280"/>
        <v>-44.989501480435422</v>
      </c>
      <c r="AA624" s="345">
        <f t="shared" si="285"/>
        <v>59.741534130020028</v>
      </c>
      <c r="AB624" s="346">
        <f t="shared" si="286"/>
        <v>-1.132898886646037E-2</v>
      </c>
    </row>
    <row r="625" spans="1:28" x14ac:dyDescent="0.25">
      <c r="A625" s="429">
        <f>Zero2</f>
        <v>2368.3771320499459</v>
      </c>
      <c r="B625" s="354"/>
      <c r="C625" s="355">
        <f t="shared" si="266"/>
        <v>1.4333394577342078</v>
      </c>
      <c r="D625" s="348">
        <f t="shared" si="267"/>
        <v>0.79865428149631679</v>
      </c>
      <c r="E625" s="348">
        <f t="shared" si="268"/>
        <v>1.000018430952599</v>
      </c>
      <c r="F625" s="349">
        <f t="shared" si="269"/>
        <v>6.0713539709162353E-3</v>
      </c>
      <c r="G625" s="338">
        <f t="shared" si="281"/>
        <v>1</v>
      </c>
      <c r="H625" s="339">
        <f t="shared" si="282"/>
        <v>0</v>
      </c>
      <c r="I625" s="355">
        <f t="shared" si="270"/>
        <v>5334.333427065756</v>
      </c>
      <c r="J625" s="356">
        <f t="shared" si="271"/>
        <v>1.570608861946752</v>
      </c>
      <c r="K625" s="348">
        <f t="shared" si="272"/>
        <v>1.4142135623730951</v>
      </c>
      <c r="L625" s="349">
        <f t="shared" si="273"/>
        <v>0.78539816339744828</v>
      </c>
      <c r="M625" s="337">
        <f t="shared" si="274"/>
        <v>1.0002545660663142</v>
      </c>
      <c r="N625" s="340">
        <f t="shared" si="275"/>
        <v>2.2561563545451923E-2</v>
      </c>
      <c r="O625" s="355">
        <f t="shared" si="276"/>
        <v>1.0001128086626785</v>
      </c>
      <c r="P625" s="342">
        <f t="shared" si="277"/>
        <v>3.3952028172775206E-2</v>
      </c>
      <c r="Q625" s="343">
        <f t="shared" si="283"/>
        <v>19.178322513629983</v>
      </c>
      <c r="R625" s="344">
        <f t="shared" si="284"/>
        <v>-93.638906114300852</v>
      </c>
      <c r="S625" s="346">
        <f t="shared" si="278"/>
        <v>86.361093885699148</v>
      </c>
      <c r="T625" s="319" t="s">
        <v>335</v>
      </c>
      <c r="W625" s="319">
        <f>Zero2</f>
        <v>2368.3771320499459</v>
      </c>
      <c r="X625" s="345">
        <f t="shared" si="279"/>
        <v>26.173710342910162</v>
      </c>
      <c r="Y625" s="346">
        <f t="shared" si="280"/>
        <v>-46.281941478649685</v>
      </c>
      <c r="AA625" s="345">
        <f t="shared" si="285"/>
        <v>56.613733459882454</v>
      </c>
      <c r="AB625" s="346">
        <f t="shared" si="286"/>
        <v>-47.356964635651167</v>
      </c>
    </row>
    <row r="626" spans="1:28" x14ac:dyDescent="0.25">
      <c r="A626" s="429">
        <f>pole3</f>
        <v>110000</v>
      </c>
      <c r="B626" s="354"/>
      <c r="C626" s="355">
        <f t="shared" si="266"/>
        <v>47.703773700503334</v>
      </c>
      <c r="D626" s="348">
        <f t="shared" si="267"/>
        <v>1.5498320890406214</v>
      </c>
      <c r="E626" s="348">
        <f t="shared" si="268"/>
        <v>1.0389985548816636</v>
      </c>
      <c r="F626" s="349">
        <f t="shared" si="269"/>
        <v>0.27485247811509572</v>
      </c>
      <c r="G626" s="338">
        <f t="shared" si="281"/>
        <v>1</v>
      </c>
      <c r="H626" s="339">
        <f t="shared" si="282"/>
        <v>0</v>
      </c>
      <c r="I626" s="355">
        <f t="shared" si="270"/>
        <v>247754.74257495569</v>
      </c>
      <c r="J626" s="356">
        <f t="shared" si="271"/>
        <v>1.5707922905452183</v>
      </c>
      <c r="K626" s="348">
        <f t="shared" si="272"/>
        <v>46.456069840862995</v>
      </c>
      <c r="L626" s="349">
        <f t="shared" si="273"/>
        <v>1.5492689516729385</v>
      </c>
      <c r="M626" s="337">
        <f t="shared" si="274"/>
        <v>1.4485932952985787</v>
      </c>
      <c r="N626" s="340">
        <f t="shared" si="275"/>
        <v>0.80885832357713461</v>
      </c>
      <c r="O626" s="355">
        <f t="shared" si="276"/>
        <v>1.5767872398436844</v>
      </c>
      <c r="P626" s="342" t="e">
        <f t="shared" si="277"/>
        <v>#DIV/0!</v>
      </c>
      <c r="Q626" s="343">
        <f t="shared" si="283"/>
        <v>-21.113100013496762</v>
      </c>
      <c r="R626" s="344" t="e">
        <f t="shared" si="284"/>
        <v>#DIV/0!</v>
      </c>
      <c r="S626" s="346" t="e">
        <f t="shared" si="278"/>
        <v>#DIV/0!</v>
      </c>
      <c r="T626" s="319" t="s">
        <v>333</v>
      </c>
      <c r="X626" s="345">
        <f t="shared" si="279"/>
        <v>19.948704771947938</v>
      </c>
      <c r="Y626" s="346">
        <f t="shared" si="280"/>
        <v>-47.577364697773454</v>
      </c>
      <c r="AA626" s="345">
        <f t="shared" si="285"/>
        <v>22.54731650371793</v>
      </c>
      <c r="AB626" s="346" t="e">
        <f t="shared" si="286"/>
        <v>#DIV/0!</v>
      </c>
    </row>
    <row r="627" spans="1:28" ht="13" thickBot="1" x14ac:dyDescent="0.3">
      <c r="A627" s="406">
        <f>Fp2_u</f>
        <v>104956.16848200282</v>
      </c>
      <c r="C627" s="355">
        <f>SQRT(1+(A627/pole1)^2)</f>
        <v>45.517396195184617</v>
      </c>
      <c r="D627" s="348">
        <f>ATAN(A627/pole1)</f>
        <v>1.5488249368401819</v>
      </c>
      <c r="E627" s="348">
        <f>SQRT(1+(A627/Zero1)^2)</f>
        <v>1.0355640510918049</v>
      </c>
      <c r="F627" s="349">
        <f>ATAN(A627/Zero1)</f>
        <v>0.2628348393206057</v>
      </c>
      <c r="G627" s="338">
        <f t="shared" si="281"/>
        <v>1</v>
      </c>
      <c r="H627" s="339">
        <f t="shared" si="282"/>
        <v>0</v>
      </c>
      <c r="I627" s="355">
        <f>SQRT(1+(A627/Pole2)^2)</f>
        <v>236394.44094484666</v>
      </c>
      <c r="J627" s="356">
        <f>ATAN(A627/Pole2)</f>
        <v>1.5707920965769777</v>
      </c>
      <c r="K627" s="348">
        <f>SQRT(1+(A627/Zero2)^2)</f>
        <v>44.32692975298275</v>
      </c>
      <c r="L627" s="349">
        <f>ATAN(A627/Zero2)</f>
        <v>1.5482347632494446</v>
      </c>
      <c r="M627" s="337">
        <f>SQRT(1+(A627/pole4)^2)</f>
        <v>1.4142135623730951</v>
      </c>
      <c r="N627" s="340">
        <f>ATAN(A627/pole4)</f>
        <v>0.78539816339744828</v>
      </c>
      <c r="O627" s="355">
        <f>SQRT((1-(A627^2/(pole3^2)))^2+(A627/(Q*pole3))^2)</f>
        <v>1.5071527135615626</v>
      </c>
      <c r="P627" s="342">
        <f>ATAN((A627/(Q*pole3))/(1-A627^2/pole3^2))</f>
        <v>1.5113090585594573</v>
      </c>
      <c r="Q627" s="343">
        <f t="shared" si="283"/>
        <v>-20.133208802840038</v>
      </c>
      <c r="R627" s="344">
        <f t="shared" si="284"/>
        <v>-206.56587591160891</v>
      </c>
      <c r="S627" s="346">
        <f>IF(R627&gt;0,R627,R627+180)</f>
        <v>-26.565875911608913</v>
      </c>
      <c r="T627" s="319" t="s">
        <v>345</v>
      </c>
      <c r="X627" s="357"/>
      <c r="Y627" s="358"/>
      <c r="AA627" s="345">
        <f t="shared" si="285"/>
        <v>23.318380201414016</v>
      </c>
      <c r="AB627" s="346">
        <f t="shared" si="286"/>
        <v>-160.27343586197463</v>
      </c>
    </row>
    <row r="628" spans="1:28" x14ac:dyDescent="0.25">
      <c r="A628" s="406">
        <f>z_RHP</f>
        <v>0</v>
      </c>
      <c r="C628" s="355">
        <f>SQRT(1+(A628/pole1)^2)</f>
        <v>1</v>
      </c>
      <c r="D628" s="348">
        <f>ATAN(A628/pole1)</f>
        <v>0</v>
      </c>
      <c r="E628" s="348">
        <f>SQRT(1+(A628/Zero1)^2)</f>
        <v>1</v>
      </c>
      <c r="F628" s="349">
        <f>ATAN(A628/Zero1)</f>
        <v>0</v>
      </c>
      <c r="G628" s="338">
        <f t="shared" si="281"/>
        <v>1</v>
      </c>
      <c r="H628" s="339">
        <f t="shared" si="282"/>
        <v>0</v>
      </c>
      <c r="I628" s="355">
        <f>SQRT(1+(A628/Pole2)^2)</f>
        <v>1</v>
      </c>
      <c r="J628" s="356">
        <f>ATAN(A628/Pole2)</f>
        <v>0</v>
      </c>
      <c r="K628" s="348">
        <f>SQRT(1+(A628/Zero2)^2)</f>
        <v>1</v>
      </c>
      <c r="L628" s="349">
        <f>ATAN(A628/Zero2)</f>
        <v>0</v>
      </c>
      <c r="M628" s="337">
        <f>SQRT(1+(A628/pole4)^2)</f>
        <v>1</v>
      </c>
      <c r="N628" s="340">
        <f>ATAN(A628/pole4)</f>
        <v>0</v>
      </c>
      <c r="O628" s="355">
        <f>SQRT((1-(A628^2/(pole3^2)))^2+(A628/(Q*pole3))^2)</f>
        <v>1</v>
      </c>
      <c r="P628" s="342">
        <f>ATAN((A628/(Q*pole3))/(1-A628^2/pole3^2))</f>
        <v>0</v>
      </c>
      <c r="Q628" s="343">
        <f t="shared" si="283"/>
        <v>93.83963740245305</v>
      </c>
      <c r="R628" s="344">
        <f t="shared" si="284"/>
        <v>0</v>
      </c>
      <c r="S628" s="346">
        <f>IF(R628&gt;0,R628,R628+180)</f>
        <v>180</v>
      </c>
      <c r="T628" s="319" t="s">
        <v>439</v>
      </c>
      <c r="X628" s="353"/>
      <c r="Y628" s="353"/>
      <c r="AA628" s="345">
        <f t="shared" si="285"/>
        <v>59.741534290985442</v>
      </c>
      <c r="AB628" s="346">
        <f t="shared" si="286"/>
        <v>0</v>
      </c>
    </row>
    <row r="629" spans="1:28" x14ac:dyDescent="0.25">
      <c r="A629" s="406">
        <f>Fp2_u</f>
        <v>104956.16848200282</v>
      </c>
      <c r="Q629" s="343">
        <v>-25</v>
      </c>
    </row>
    <row r="631" spans="1:28" x14ac:dyDescent="0.25">
      <c r="D631" s="319" t="s">
        <v>364</v>
      </c>
      <c r="E631" s="319" t="s">
        <v>365</v>
      </c>
    </row>
    <row r="632" spans="1:28" x14ac:dyDescent="0.25">
      <c r="A632" s="319" t="s">
        <v>337</v>
      </c>
      <c r="B632" s="319" t="s">
        <v>436</v>
      </c>
      <c r="C632" s="359">
        <f>pole1</f>
        <v>2306.4040504988106</v>
      </c>
      <c r="D632" s="359">
        <f>Q622</f>
        <v>19.411841391193679</v>
      </c>
      <c r="E632" s="359">
        <f>AA622</f>
        <v>56.730457010983102</v>
      </c>
    </row>
    <row r="633" spans="1:28" x14ac:dyDescent="0.25">
      <c r="A633" s="319" t="s">
        <v>332</v>
      </c>
      <c r="B633" s="319" t="s">
        <v>446</v>
      </c>
      <c r="C633" s="359">
        <f>Zero1</f>
        <v>390085.64527881466</v>
      </c>
      <c r="D633" s="359">
        <f>Q623</f>
        <v>-56.144538357719497</v>
      </c>
      <c r="E633" s="359">
        <f>AA623</f>
        <v>-3.9946192102229494</v>
      </c>
    </row>
    <row r="634" spans="1:28" x14ac:dyDescent="0.25">
      <c r="A634" s="319" t="s">
        <v>340</v>
      </c>
      <c r="B634" s="319" t="s">
        <v>447</v>
      </c>
      <c r="C634" s="359">
        <f>Pole2</f>
        <v>0.44398746460975064</v>
      </c>
      <c r="D634" s="359">
        <f>Q624</f>
        <v>90.829337437394514</v>
      </c>
      <c r="E634" s="359">
        <f>AA624</f>
        <v>59.741534130020028</v>
      </c>
    </row>
    <row r="635" spans="1:28" x14ac:dyDescent="0.25">
      <c r="A635" s="319" t="s">
        <v>335</v>
      </c>
      <c r="B635" s="319" t="s">
        <v>448</v>
      </c>
      <c r="C635" s="359">
        <f>Zero2</f>
        <v>2368.3771320499459</v>
      </c>
      <c r="D635" s="359">
        <f>Q625</f>
        <v>19.178322513629983</v>
      </c>
      <c r="E635" s="359">
        <f>AA625</f>
        <v>56.613733459882454</v>
      </c>
    </row>
    <row r="636" spans="1:28" x14ac:dyDescent="0.25">
      <c r="A636" s="319" t="s">
        <v>333</v>
      </c>
      <c r="B636" s="319" t="s">
        <v>445</v>
      </c>
      <c r="C636" s="319">
        <f>pole3</f>
        <v>110000</v>
      </c>
      <c r="D636" s="359">
        <f>Q626</f>
        <v>-21.113100013496762</v>
      </c>
      <c r="E636" s="359">
        <f>AA626</f>
        <v>22.54731650371793</v>
      </c>
    </row>
    <row r="637" spans="1:28" x14ac:dyDescent="0.25">
      <c r="C637" s="406"/>
      <c r="D637" s="359"/>
      <c r="E637" s="359"/>
    </row>
    <row r="639" spans="1:28" x14ac:dyDescent="0.25">
      <c r="A639" s="359">
        <f>Q4*1000</f>
        <v>20655</v>
      </c>
    </row>
    <row r="640" spans="1:28" x14ac:dyDescent="0.25">
      <c r="A640" s="359">
        <f>Q4*1000</f>
        <v>20655</v>
      </c>
    </row>
    <row r="687" spans="30:31" x14ac:dyDescent="0.25">
      <c r="AD687" t="s">
        <v>44</v>
      </c>
      <c r="AE687" s="4">
        <f>SUM(AE689:AE1306)</f>
        <v>0</v>
      </c>
    </row>
  </sheetData>
  <mergeCells count="20">
    <mergeCell ref="B10:B11"/>
    <mergeCell ref="A2:D2"/>
    <mergeCell ref="J2:L2"/>
    <mergeCell ref="M2:O2"/>
    <mergeCell ref="A10:A12"/>
    <mergeCell ref="O10:P10"/>
    <mergeCell ref="P2:R2"/>
    <mergeCell ref="G11:H11"/>
    <mergeCell ref="E2:G2"/>
    <mergeCell ref="C10:H10"/>
    <mergeCell ref="I10:N10"/>
    <mergeCell ref="Q10:S10"/>
    <mergeCell ref="X10:Y10"/>
    <mergeCell ref="AA10:AB10"/>
    <mergeCell ref="C11:D11"/>
    <mergeCell ref="E11:F11"/>
    <mergeCell ref="I11:J11"/>
    <mergeCell ref="K11:L11"/>
    <mergeCell ref="M11:N11"/>
    <mergeCell ref="O11:P11"/>
  </mergeCells>
  <pageMargins left="0.75" right="0.75" top="1" bottom="1" header="0.5" footer="0.5"/>
  <pageSetup scale="48" orientation="portrait" horizontalDpi="300" verticalDpi="300" r:id="rId1"/>
  <headerFooter alignWithMargins="0"/>
  <colBreaks count="1" manualBreakCount="1">
    <brk id="19" max="1048575" man="1"/>
  </colBreaks>
  <ignoredErrors>
    <ignoredError sqref="F13 A62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E687"/>
  <sheetViews>
    <sheetView zoomScaleNormal="100" workbookViewId="0">
      <pane ySplit="11" topLeftCell="A606" activePane="bottomLeft" state="frozen"/>
      <selection activeCell="A93" sqref="A93"/>
      <selection pane="bottomLeft" activeCell="F5" sqref="F5"/>
    </sheetView>
  </sheetViews>
  <sheetFormatPr defaultColWidth="9.08984375" defaultRowHeight="12.5" x14ac:dyDescent="0.25"/>
  <cols>
    <col min="1" max="1" width="16.08984375" style="319" customWidth="1"/>
    <col min="2" max="2" width="15.6328125" style="319" customWidth="1"/>
    <col min="3" max="3" width="10" style="319" customWidth="1"/>
    <col min="4" max="4" width="10.90625" style="319" customWidth="1"/>
    <col min="5" max="5" width="10.08984375" style="319" customWidth="1"/>
    <col min="6" max="8" width="11.90625" style="319" customWidth="1"/>
    <col min="9" max="9" width="14.36328125" style="319" customWidth="1"/>
    <col min="10" max="10" width="11" style="319" customWidth="1"/>
    <col min="11" max="11" width="12" style="319" customWidth="1"/>
    <col min="12" max="12" width="11.453125" style="319" customWidth="1"/>
    <col min="13" max="13" width="10.90625" style="319" customWidth="1"/>
    <col min="14" max="14" width="11.453125" style="319" customWidth="1"/>
    <col min="15" max="15" width="12.36328125" style="319" customWidth="1"/>
    <col min="16" max="16" width="12.08984375" style="319" customWidth="1"/>
    <col min="17" max="17" width="9.453125" style="319" customWidth="1"/>
    <col min="18" max="18" width="16.08984375" style="319" bestFit="1" customWidth="1"/>
    <col min="19" max="19" width="15.36328125" style="359" customWidth="1"/>
    <col min="20" max="20" width="9.08984375" style="319"/>
    <col min="21" max="21" width="13.453125" style="319" bestFit="1" customWidth="1"/>
    <col min="22" max="22" width="9.36328125" style="319" bestFit="1" customWidth="1"/>
    <col min="23" max="23" width="9.08984375" style="319"/>
    <col min="24" max="24" width="13.54296875" style="319" customWidth="1"/>
    <col min="25" max="25" width="10.54296875" style="319" customWidth="1"/>
    <col min="26" max="26" width="9.08984375" style="319"/>
    <col min="27" max="27" width="9.36328125" style="319" bestFit="1" customWidth="1"/>
    <col min="28" max="28" width="11.36328125" style="319" bestFit="1" customWidth="1"/>
    <col min="29" max="29" width="9.08984375" style="319"/>
    <col min="30" max="30" width="12.36328125" customWidth="1"/>
    <col min="31" max="31" width="8.90625" customWidth="1"/>
    <col min="32" max="16384" width="9.08984375" style="319"/>
  </cols>
  <sheetData>
    <row r="1" spans="1:31" ht="13" thickBot="1" x14ac:dyDescent="0.3"/>
    <row r="2" spans="1:31" ht="13" x14ac:dyDescent="0.3">
      <c r="A2" s="740" t="s">
        <v>422</v>
      </c>
      <c r="B2" s="741"/>
      <c r="C2" s="742"/>
      <c r="D2" s="743"/>
      <c r="E2" s="740" t="s">
        <v>328</v>
      </c>
      <c r="F2" s="741"/>
      <c r="G2" s="741"/>
      <c r="H2" s="401"/>
      <c r="I2" s="417"/>
      <c r="J2" s="740" t="s">
        <v>420</v>
      </c>
      <c r="K2" s="742"/>
      <c r="L2" s="743"/>
      <c r="M2" s="740" t="s">
        <v>421</v>
      </c>
      <c r="N2" s="742"/>
      <c r="O2" s="743"/>
      <c r="P2" s="740" t="s">
        <v>329</v>
      </c>
      <c r="Q2" s="741"/>
      <c r="R2" s="749"/>
      <c r="AD2" s="114"/>
      <c r="AE2" s="114"/>
    </row>
    <row r="3" spans="1:31" x14ac:dyDescent="0.25">
      <c r="B3" s="320" t="s">
        <v>330</v>
      </c>
      <c r="C3" s="404">
        <f>Afb_Ch2</f>
        <v>0.12</v>
      </c>
      <c r="D3" s="322" t="s">
        <v>28</v>
      </c>
      <c r="E3" s="323" t="s">
        <v>331</v>
      </c>
      <c r="F3" s="321">
        <f>Acs_Ch2</f>
        <v>20.833333333333332</v>
      </c>
      <c r="G3" s="322" t="s">
        <v>419</v>
      </c>
      <c r="H3" s="415" t="s">
        <v>347</v>
      </c>
      <c r="I3" s="427">
        <f>gm</f>
        <v>1.1999999999999999E-3</v>
      </c>
      <c r="J3" s="323" t="s">
        <v>438</v>
      </c>
      <c r="K3" s="324">
        <f>Fesr_Ch2</f>
        <v>663145.59697398485</v>
      </c>
      <c r="L3" s="322" t="s">
        <v>9</v>
      </c>
      <c r="M3" s="323" t="s">
        <v>333</v>
      </c>
      <c r="N3" s="324">
        <f>Fsw/2</f>
        <v>110000</v>
      </c>
      <c r="O3" s="322" t="s">
        <v>9</v>
      </c>
      <c r="P3" s="325" t="s">
        <v>334</v>
      </c>
      <c r="Q3" s="324">
        <f>Am_Ch2*Afb_Ch2*AEA</f>
        <v>57603.764719862418</v>
      </c>
      <c r="R3" s="322" t="s">
        <v>28</v>
      </c>
    </row>
    <row r="4" spans="1:31" x14ac:dyDescent="0.25">
      <c r="B4" s="320" t="s">
        <v>443</v>
      </c>
      <c r="C4" s="324">
        <f>Fz1_u_Ch2</f>
        <v>6430.5027585356102</v>
      </c>
      <c r="D4" s="322" t="s">
        <v>9</v>
      </c>
      <c r="E4" s="323" t="s">
        <v>336</v>
      </c>
      <c r="F4" s="329">
        <f>Am_Ch2</f>
        <v>6.2504084982489605</v>
      </c>
      <c r="G4" s="322" t="s">
        <v>28</v>
      </c>
      <c r="H4" s="416"/>
      <c r="I4" s="416"/>
      <c r="J4" s="323" t="s">
        <v>437</v>
      </c>
      <c r="K4" s="324">
        <f>Fp_dominant_Ch2</f>
        <v>4420.681711975064</v>
      </c>
      <c r="L4" s="322" t="s">
        <v>9</v>
      </c>
      <c r="M4" s="323" t="s">
        <v>338</v>
      </c>
      <c r="N4" s="402">
        <f>Q_Ch2*pole3</f>
        <v>77528.620456419594</v>
      </c>
      <c r="O4" s="322"/>
      <c r="P4" s="325" t="s">
        <v>339</v>
      </c>
      <c r="Q4" s="365">
        <f>AE7</f>
        <v>56.561500000000002</v>
      </c>
      <c r="R4" s="322" t="s">
        <v>2</v>
      </c>
    </row>
    <row r="5" spans="1:31" x14ac:dyDescent="0.25">
      <c r="B5" s="320" t="s">
        <v>442</v>
      </c>
      <c r="C5" s="329">
        <f>Fp1_u_Ch2</f>
        <v>1.657436684539729</v>
      </c>
      <c r="D5" s="322" t="s">
        <v>9</v>
      </c>
      <c r="E5" s="323" t="s">
        <v>27</v>
      </c>
      <c r="F5" s="404">
        <f>Q_Ch2</f>
        <v>0.7048056405129054</v>
      </c>
      <c r="G5" s="322"/>
      <c r="H5" s="416"/>
      <c r="I5" s="416"/>
      <c r="J5" s="323"/>
      <c r="K5" s="324"/>
      <c r="L5" s="322"/>
      <c r="M5" s="323" t="s">
        <v>341</v>
      </c>
      <c r="N5" s="321">
        <f>pole3^2</f>
        <v>12100000000</v>
      </c>
      <c r="O5" s="322"/>
      <c r="P5" s="325" t="s">
        <v>342</v>
      </c>
      <c r="Q5" s="329">
        <f>AE9</f>
        <v>20.704339632682974</v>
      </c>
      <c r="R5" s="388" t="s">
        <v>399</v>
      </c>
    </row>
    <row r="6" spans="1:31" x14ac:dyDescent="0.25">
      <c r="B6" s="320" t="s">
        <v>343</v>
      </c>
      <c r="C6" s="321">
        <f>AEA</f>
        <v>76800</v>
      </c>
      <c r="D6" s="322" t="s">
        <v>28</v>
      </c>
      <c r="E6" s="323" t="s">
        <v>371</v>
      </c>
      <c r="F6" s="404">
        <f>mc_Ch2</f>
        <v>1.0733333333333333</v>
      </c>
      <c r="G6" s="415"/>
      <c r="H6" s="418"/>
      <c r="I6" s="328"/>
      <c r="J6" s="326"/>
      <c r="K6" s="327"/>
      <c r="L6" s="328"/>
      <c r="M6" s="326"/>
      <c r="N6" s="430"/>
      <c r="O6" s="328"/>
      <c r="P6" s="400" t="s">
        <v>344</v>
      </c>
      <c r="Q6" s="327">
        <f>180/Pi</f>
        <v>57.295779578552292</v>
      </c>
      <c r="R6" s="328"/>
      <c r="AD6" s="5" t="s">
        <v>46</v>
      </c>
      <c r="AE6" s="5"/>
    </row>
    <row r="7" spans="1:31" ht="13" thickBot="1" x14ac:dyDescent="0.3">
      <c r="B7" s="396" t="s">
        <v>441</v>
      </c>
      <c r="C7" s="403">
        <f>Fp2_u_Ch2</f>
        <v>109156.60496304223</v>
      </c>
      <c r="D7" s="398" t="s">
        <v>9</v>
      </c>
      <c r="E7" s="397" t="s">
        <v>346</v>
      </c>
      <c r="F7" s="399">
        <f>k_Ch2</f>
        <v>0.95162789321020524</v>
      </c>
      <c r="G7" s="399"/>
      <c r="H7" s="419"/>
      <c r="I7" s="398"/>
      <c r="J7" s="397"/>
      <c r="K7" s="397"/>
      <c r="L7" s="398"/>
      <c r="M7" s="397"/>
      <c r="N7" s="397"/>
      <c r="O7" s="398"/>
      <c r="P7" s="397"/>
      <c r="Q7" s="397"/>
      <c r="R7" s="398"/>
      <c r="AD7" t="s">
        <v>43</v>
      </c>
      <c r="AE7">
        <f>SUM(AD12:AD613)/1000</f>
        <v>56.561500000000002</v>
      </c>
    </row>
    <row r="8" spans="1:31" x14ac:dyDescent="0.25">
      <c r="B8" s="405"/>
      <c r="C8" s="406"/>
      <c r="F8" s="407"/>
      <c r="G8" s="407"/>
      <c r="H8" s="407"/>
    </row>
    <row r="9" spans="1:31" ht="13" thickBot="1" x14ac:dyDescent="0.3">
      <c r="AD9" t="s">
        <v>44</v>
      </c>
      <c r="AE9" s="4">
        <f>SUM(AE13:AE613)</f>
        <v>20.704339632682974</v>
      </c>
    </row>
    <row r="10" spans="1:31" ht="14" x14ac:dyDescent="0.3">
      <c r="A10" s="744" t="s">
        <v>450</v>
      </c>
      <c r="B10" s="738"/>
      <c r="C10" s="750" t="s">
        <v>348</v>
      </c>
      <c r="D10" s="751"/>
      <c r="E10" s="751"/>
      <c r="F10" s="751"/>
      <c r="G10" s="751"/>
      <c r="H10" s="752"/>
      <c r="I10" s="750" t="s">
        <v>349</v>
      </c>
      <c r="J10" s="751"/>
      <c r="K10" s="751"/>
      <c r="L10" s="751"/>
      <c r="M10" s="751"/>
      <c r="N10" s="752"/>
      <c r="O10" s="747" t="s">
        <v>350</v>
      </c>
      <c r="P10" s="748"/>
      <c r="Q10" s="747" t="s">
        <v>351</v>
      </c>
      <c r="R10" s="753"/>
      <c r="S10" s="754"/>
      <c r="X10" s="731" t="s">
        <v>352</v>
      </c>
      <c r="Y10" s="732"/>
      <c r="AA10" s="731" t="s">
        <v>353</v>
      </c>
      <c r="AB10" s="732"/>
    </row>
    <row r="11" spans="1:31" ht="13" x14ac:dyDescent="0.3">
      <c r="A11" s="745"/>
      <c r="B11" s="739"/>
      <c r="C11" s="733" t="s">
        <v>437</v>
      </c>
      <c r="D11" s="734"/>
      <c r="E11" s="734" t="s">
        <v>438</v>
      </c>
      <c r="F11" s="735"/>
      <c r="G11" s="736" t="s">
        <v>439</v>
      </c>
      <c r="H11" s="737"/>
      <c r="I11" s="733" t="s">
        <v>337</v>
      </c>
      <c r="J11" s="734"/>
      <c r="K11" s="734" t="s">
        <v>332</v>
      </c>
      <c r="L11" s="735"/>
      <c r="M11" s="736" t="s">
        <v>340</v>
      </c>
      <c r="N11" s="737"/>
      <c r="O11" s="733" t="s">
        <v>333</v>
      </c>
      <c r="P11" s="735"/>
      <c r="Q11" s="323"/>
      <c r="R11" s="321"/>
      <c r="S11" s="366"/>
      <c r="X11" s="323"/>
      <c r="Y11" s="322"/>
      <c r="AA11" s="323"/>
      <c r="AB11" s="322"/>
    </row>
    <row r="12" spans="1:31" ht="13.5" thickBot="1" x14ac:dyDescent="0.35">
      <c r="A12" s="746"/>
      <c r="B12" s="363"/>
      <c r="C12" s="330" t="s">
        <v>354</v>
      </c>
      <c r="D12" s="331" t="s">
        <v>355</v>
      </c>
      <c r="E12" s="331" t="s">
        <v>354</v>
      </c>
      <c r="F12" s="332" t="s">
        <v>355</v>
      </c>
      <c r="G12" s="331" t="s">
        <v>354</v>
      </c>
      <c r="H12" s="332" t="s">
        <v>355</v>
      </c>
      <c r="I12" s="330" t="s">
        <v>354</v>
      </c>
      <c r="J12" s="331" t="s">
        <v>355</v>
      </c>
      <c r="K12" s="331" t="s">
        <v>354</v>
      </c>
      <c r="L12" s="332" t="s">
        <v>355</v>
      </c>
      <c r="M12" s="330" t="s">
        <v>354</v>
      </c>
      <c r="N12" s="331" t="s">
        <v>355</v>
      </c>
      <c r="O12" s="330" t="s">
        <v>354</v>
      </c>
      <c r="P12" s="332" t="s">
        <v>355</v>
      </c>
      <c r="Q12" s="330" t="s">
        <v>356</v>
      </c>
      <c r="R12" s="331" t="s">
        <v>358</v>
      </c>
      <c r="S12" s="367" t="s">
        <v>357</v>
      </c>
      <c r="V12" s="333" t="s">
        <v>359</v>
      </c>
      <c r="X12" s="334" t="s">
        <v>360</v>
      </c>
      <c r="Y12" s="335" t="s">
        <v>361</v>
      </c>
      <c r="AA12" s="334" t="s">
        <v>360</v>
      </c>
      <c r="AB12" s="335" t="s">
        <v>361</v>
      </c>
    </row>
    <row r="13" spans="1:31" x14ac:dyDescent="0.25">
      <c r="A13" s="336">
        <v>1</v>
      </c>
      <c r="B13" s="364">
        <f>A13/1000</f>
        <v>1E-3</v>
      </c>
      <c r="C13" s="337">
        <f t="shared" ref="C13:C76" si="0">SQRT(1+(A13/pole1)^2)</f>
        <v>1.0000000255853585</v>
      </c>
      <c r="D13" s="338">
        <f t="shared" ref="D13:D76" si="1">ATAN(A13/pole1)</f>
        <v>2.2620945096187814E-4</v>
      </c>
      <c r="E13" s="338">
        <f t="shared" ref="E13:E76" si="2">SQRT(1+(A13/Zero1)^2)</f>
        <v>1.0000000000011369</v>
      </c>
      <c r="F13" s="339">
        <f t="shared" ref="F13:F76" si="3">ATAN(A13/Zero1)</f>
        <v>1.5079644719988572E-6</v>
      </c>
      <c r="G13" s="338">
        <f t="shared" ref="G13:G76" si="4">IF(VIN_nom&gt;Vout, 1, SQRT(1+(A13/z_RHP)^2))</f>
        <v>1</v>
      </c>
      <c r="H13" s="339">
        <f t="shared" ref="H13:H76" si="5">IF(VIN_nom&gt;Vout, 0, -ATAN(A13/z_RHP))</f>
        <v>0</v>
      </c>
      <c r="I13" s="337">
        <f t="shared" ref="I13:I76" si="6">SQRT(1+(A13/Pole2)^2)</f>
        <v>1.167912976823746</v>
      </c>
      <c r="J13" s="340">
        <f t="shared" ref="J13:J76" si="7">ATAN(A13/Pole2)</f>
        <v>0.54287271554983851</v>
      </c>
      <c r="K13" s="338">
        <f t="shared" ref="K13:K76" si="8">SQRT(1+(A13/Zero2)^2)</f>
        <v>1.0000000120914989</v>
      </c>
      <c r="L13" s="339">
        <f t="shared" ref="L13:L76" si="9">ATAN(A13/Zero2)</f>
        <v>1.5550883492144343E-4</v>
      </c>
      <c r="M13" s="337">
        <f t="shared" ref="M13:M76" si="10">SQRT(1+(A13/pole4)^2)</f>
        <v>1.0000000000419633</v>
      </c>
      <c r="N13" s="340">
        <f t="shared" ref="N13:N76" si="11">ATAN(A13/pole4)</f>
        <v>9.1611497106437124E-6</v>
      </c>
      <c r="O13" s="341">
        <f t="shared" ref="O13:O76" si="12">SQRT((1-(V13/pterm2))^2+(A13/pterm1)^2)</f>
        <v>1.0000000000005405</v>
      </c>
      <c r="P13" s="342">
        <f t="shared" ref="P13:P76" si="13">IF((ATAN((A13/pterm1)/(1-A13^2/pterm2))&gt;0),ATAN((A13/pterm1)/(1-A13^2/pterm2)),PI()+ATAN((A13/pterm1)/(1-A13^2/pterm2)))</f>
        <v>1.2898462453479462E-5</v>
      </c>
      <c r="Q13" s="343">
        <f t="shared" ref="Q13:Q76" si="14">20*LOG10(((E13*K13*G13)/(C13*I13*O13*M13))*Adc)</f>
        <v>93.860807560386817</v>
      </c>
      <c r="R13" s="344">
        <f t="shared" ref="R13:R76" si="15">((F13+L13+H13)-(D13+J13+P13+N13))*radconv</f>
        <v>-31.109543818942527</v>
      </c>
      <c r="S13" s="600">
        <f t="shared" ref="S13:S76" si="16">IF(R13&gt;0,R13,R13+180)</f>
        <v>148.89045618105746</v>
      </c>
      <c r="U13" s="319">
        <f>IF(Q13&lt;0,A13,1000000000)</f>
        <v>1000000000</v>
      </c>
      <c r="V13" s="319">
        <f>A13^2</f>
        <v>1</v>
      </c>
      <c r="X13" s="345">
        <f t="shared" ref="X13:X76" si="17">20*LOG10((K13/(I13*M13))*AEA)</f>
        <v>96.359014826017756</v>
      </c>
      <c r="Y13" s="346">
        <f t="shared" ref="Y13:Y76" si="18">(L13-(J13+N13))*radconv</f>
        <v>-31.095930344639996</v>
      </c>
      <c r="AA13" s="345">
        <f t="shared" ref="AA13:AA76" si="19">20*LOG10((E13*G13/(C13*O13))*Acs*Am)</f>
        <v>59.741534068759023</v>
      </c>
      <c r="AB13" s="346">
        <f t="shared" ref="AB13:AB76" si="20">(F13+H13-(D13+P13))*radconv</f>
        <v>-1.3613474302533962E-2</v>
      </c>
      <c r="AD13">
        <f>SUM((Q14&lt;0)*(Q13&gt;0))*A13</f>
        <v>0</v>
      </c>
      <c r="AE13">
        <f t="shared" ref="AE13:AE76" si="21">IF(AD13&gt;0,S11,0)</f>
        <v>0</v>
      </c>
    </row>
    <row r="14" spans="1:31" x14ac:dyDescent="0.25">
      <c r="A14" s="347">
        <v>1.0965</v>
      </c>
      <c r="B14" s="364">
        <f t="shared" ref="B14:B77" si="22">A14/1000</f>
        <v>1.0965E-3</v>
      </c>
      <c r="C14" s="337">
        <f t="shared" si="0"/>
        <v>1.0000000307615897</v>
      </c>
      <c r="D14" s="338">
        <f t="shared" si="1"/>
        <v>2.4803866212376241E-4</v>
      </c>
      <c r="E14" s="338">
        <f t="shared" si="2"/>
        <v>1.0000000000013669</v>
      </c>
      <c r="F14" s="339">
        <f t="shared" si="3"/>
        <v>1.6534830435464933E-6</v>
      </c>
      <c r="G14" s="338">
        <f t="shared" si="4"/>
        <v>1</v>
      </c>
      <c r="H14" s="339">
        <f t="shared" si="5"/>
        <v>0</v>
      </c>
      <c r="I14" s="337">
        <f t="shared" si="6"/>
        <v>1.1990273444059141</v>
      </c>
      <c r="J14" s="340">
        <f t="shared" si="7"/>
        <v>0.58446147792530612</v>
      </c>
      <c r="K14" s="348">
        <f t="shared" si="8"/>
        <v>1.0000000145377574</v>
      </c>
      <c r="L14" s="349">
        <f t="shared" si="9"/>
        <v>1.7051543721327951E-4</v>
      </c>
      <c r="M14" s="337">
        <f t="shared" si="10"/>
        <v>1.000000000050453</v>
      </c>
      <c r="N14" s="340">
        <f t="shared" si="11"/>
        <v>1.0045200657663977E-5</v>
      </c>
      <c r="O14" s="341">
        <f t="shared" si="12"/>
        <v>1.0000000000006499</v>
      </c>
      <c r="P14" s="342">
        <f t="shared" si="13"/>
        <v>1.4143164080318024E-5</v>
      </c>
      <c r="Q14" s="343">
        <f t="shared" si="14"/>
        <v>93.632435465671705</v>
      </c>
      <c r="R14" s="344">
        <f t="shared" si="15"/>
        <v>-33.492908918584327</v>
      </c>
      <c r="S14" s="346">
        <f t="shared" si="16"/>
        <v>146.50709108141567</v>
      </c>
      <c r="U14" s="319">
        <f t="shared" ref="U14:U77" si="23">IF(Q14&lt;0,A14,1000000000)</f>
        <v>1000000000</v>
      </c>
      <c r="V14" s="319">
        <f t="shared" ref="V14:V77" si="24">A14^2</f>
        <v>1.2023122500000001</v>
      </c>
      <c r="X14" s="345">
        <f t="shared" si="17"/>
        <v>96.130642776261794</v>
      </c>
      <c r="Y14" s="346">
        <f t="shared" si="18"/>
        <v>-33.477981744060635</v>
      </c>
      <c r="AA14" s="345">
        <f t="shared" si="19"/>
        <v>59.7415340237999</v>
      </c>
      <c r="AB14" s="346">
        <f t="shared" si="20"/>
        <v>-1.4927174523691382E-2</v>
      </c>
      <c r="AD14">
        <f t="shared" ref="AD14:AD77" si="25">SUM((Q15&lt;0)*(Q14&gt;0))*A14</f>
        <v>0</v>
      </c>
      <c r="AE14">
        <f t="shared" si="21"/>
        <v>0</v>
      </c>
    </row>
    <row r="15" spans="1:31" x14ac:dyDescent="0.25">
      <c r="A15" s="347">
        <v>1.2022999999999999</v>
      </c>
      <c r="B15" s="364">
        <f t="shared" si="22"/>
        <v>1.2022999999999999E-3</v>
      </c>
      <c r="C15" s="337">
        <f t="shared" si="0"/>
        <v>1.0000000369842823</v>
      </c>
      <c r="D15" s="338">
        <f t="shared" si="1"/>
        <v>2.7197162082467685E-4</v>
      </c>
      <c r="E15" s="338">
        <f t="shared" si="2"/>
        <v>1.0000000000016436</v>
      </c>
      <c r="F15" s="339">
        <f t="shared" si="3"/>
        <v>1.8130256846836137E-6</v>
      </c>
      <c r="G15" s="338">
        <f t="shared" si="4"/>
        <v>1</v>
      </c>
      <c r="H15" s="339">
        <f t="shared" si="5"/>
        <v>0</v>
      </c>
      <c r="I15" s="337">
        <f t="shared" si="6"/>
        <v>1.2353951428251146</v>
      </c>
      <c r="J15" s="340">
        <f t="shared" si="7"/>
        <v>0.62756852306713418</v>
      </c>
      <c r="K15" s="348">
        <f t="shared" si="8"/>
        <v>1.0000000174785675</v>
      </c>
      <c r="L15" s="349">
        <f t="shared" si="9"/>
        <v>1.8696827155457749E-4</v>
      </c>
      <c r="M15" s="337">
        <f t="shared" si="10"/>
        <v>1.000000000060659</v>
      </c>
      <c r="N15" s="340">
        <f t="shared" si="11"/>
        <v>1.1014450296969654E-5</v>
      </c>
      <c r="O15" s="341">
        <f t="shared" si="12"/>
        <v>1.0000000000007814</v>
      </c>
      <c r="P15" s="342">
        <f t="shared" si="13"/>
        <v>1.5507821408006197E-5</v>
      </c>
      <c r="Q15" s="343">
        <f t="shared" si="14"/>
        <v>93.372899397295242</v>
      </c>
      <c r="R15" s="344">
        <f t="shared" si="15"/>
        <v>-35.963313836768876</v>
      </c>
      <c r="S15" s="346">
        <f t="shared" si="16"/>
        <v>144.03668616323114</v>
      </c>
      <c r="U15" s="319">
        <f t="shared" si="23"/>
        <v>1000000000</v>
      </c>
      <c r="V15" s="319">
        <f t="shared" si="24"/>
        <v>1.4455252899999997</v>
      </c>
      <c r="X15" s="345">
        <f t="shared" si="17"/>
        <v>95.871106761933675</v>
      </c>
      <c r="Y15" s="346">
        <f t="shared" si="18"/>
        <v>-35.946946356733342</v>
      </c>
      <c r="AA15" s="345">
        <f t="shared" si="19"/>
        <v>59.741533969751544</v>
      </c>
      <c r="AB15" s="346">
        <f t="shared" si="20"/>
        <v>-1.6367480035529076E-2</v>
      </c>
      <c r="AD15">
        <f t="shared" si="25"/>
        <v>0</v>
      </c>
      <c r="AE15">
        <f t="shared" si="21"/>
        <v>0</v>
      </c>
    </row>
    <row r="16" spans="1:31" x14ac:dyDescent="0.25">
      <c r="A16" s="347">
        <v>1.3183</v>
      </c>
      <c r="B16" s="364">
        <f t="shared" si="22"/>
        <v>1.3183000000000001E-3</v>
      </c>
      <c r="C16" s="337">
        <f t="shared" si="0"/>
        <v>1.0000000444651749</v>
      </c>
      <c r="D16" s="338">
        <f t="shared" si="1"/>
        <v>2.9821191544958652E-4</v>
      </c>
      <c r="E16" s="338">
        <f t="shared" si="2"/>
        <v>1.000000000001976</v>
      </c>
      <c r="F16" s="339">
        <f t="shared" si="3"/>
        <v>1.9879495634349819E-6</v>
      </c>
      <c r="G16" s="338">
        <f t="shared" si="4"/>
        <v>1</v>
      </c>
      <c r="H16" s="339">
        <f t="shared" si="5"/>
        <v>0</v>
      </c>
      <c r="I16" s="337">
        <f t="shared" si="6"/>
        <v>1.2777468575768365</v>
      </c>
      <c r="J16" s="340">
        <f t="shared" si="7"/>
        <v>0.67192047354294848</v>
      </c>
      <c r="K16" s="348">
        <f t="shared" si="8"/>
        <v>1.0000000210139961</v>
      </c>
      <c r="L16" s="349">
        <f t="shared" si="9"/>
        <v>2.0500729585748757E-4</v>
      </c>
      <c r="M16" s="337">
        <f t="shared" si="10"/>
        <v>1.0000000000729288</v>
      </c>
      <c r="N16" s="340">
        <f t="shared" si="11"/>
        <v>1.2077143663292291E-5</v>
      </c>
      <c r="O16" s="341">
        <f t="shared" si="12"/>
        <v>1.0000000000009392</v>
      </c>
      <c r="P16" s="342">
        <f t="shared" si="13"/>
        <v>1.7004043052763115E-5</v>
      </c>
      <c r="Q16" s="343">
        <f t="shared" si="14"/>
        <v>93.080120721953563</v>
      </c>
      <c r="R16" s="344">
        <f t="shared" si="15"/>
        <v>-38.505099905917064</v>
      </c>
      <c r="S16" s="346">
        <f t="shared" si="16"/>
        <v>141.49490009408294</v>
      </c>
      <c r="U16" s="319">
        <f t="shared" si="23"/>
        <v>1000000000</v>
      </c>
      <c r="V16" s="319">
        <f t="shared" si="24"/>
        <v>1.7379148900000001</v>
      </c>
      <c r="X16" s="345">
        <f t="shared" si="17"/>
        <v>95.578328151568698</v>
      </c>
      <c r="Y16" s="346">
        <f t="shared" si="18"/>
        <v>-38.487153262959076</v>
      </c>
      <c r="AA16" s="345">
        <f t="shared" si="19"/>
        <v>59.741533904774855</v>
      </c>
      <c r="AB16" s="346">
        <f t="shared" si="20"/>
        <v>-1.7946642957992861E-2</v>
      </c>
      <c r="AD16">
        <f t="shared" si="25"/>
        <v>0</v>
      </c>
      <c r="AE16">
        <f t="shared" si="21"/>
        <v>0</v>
      </c>
    </row>
    <row r="17" spans="1:31" x14ac:dyDescent="0.25">
      <c r="A17" s="347">
        <v>1.4454</v>
      </c>
      <c r="B17" s="364">
        <f t="shared" si="22"/>
        <v>1.4454000000000001E-3</v>
      </c>
      <c r="C17" s="337">
        <f t="shared" si="0"/>
        <v>1.000000053452448</v>
      </c>
      <c r="D17" s="338">
        <f t="shared" si="1"/>
        <v>3.2696313434595813E-4</v>
      </c>
      <c r="E17" s="338">
        <f t="shared" si="2"/>
        <v>1.0000000000023754</v>
      </c>
      <c r="F17" s="339">
        <f t="shared" si="3"/>
        <v>2.1796118478253486E-6</v>
      </c>
      <c r="G17" s="338">
        <f t="shared" si="4"/>
        <v>1</v>
      </c>
      <c r="H17" s="339">
        <f t="shared" si="5"/>
        <v>0</v>
      </c>
      <c r="I17" s="337">
        <f t="shared" si="6"/>
        <v>1.3268403193557492</v>
      </c>
      <c r="J17" s="340">
        <f t="shared" si="7"/>
        <v>0.71716784159493319</v>
      </c>
      <c r="K17" s="348">
        <f t="shared" si="8"/>
        <v>1.0000000252613317</v>
      </c>
      <c r="L17" s="349">
        <f t="shared" si="9"/>
        <v>2.2477246802197714E-4</v>
      </c>
      <c r="M17" s="337">
        <f t="shared" si="10"/>
        <v>1.000000000087669</v>
      </c>
      <c r="N17" s="340">
        <f t="shared" si="11"/>
        <v>1.3241525791360948E-5</v>
      </c>
      <c r="O17" s="341">
        <f t="shared" si="12"/>
        <v>1.0000000000011293</v>
      </c>
      <c r="P17" s="342">
        <f t="shared" si="13"/>
        <v>1.8643437630811294E-5</v>
      </c>
      <c r="Q17" s="343">
        <f t="shared" si="14"/>
        <v>92.752643908208668</v>
      </c>
      <c r="R17" s="344">
        <f t="shared" si="15"/>
        <v>-41.098247658018195</v>
      </c>
      <c r="S17" s="346">
        <f t="shared" si="16"/>
        <v>138.90175234198182</v>
      </c>
      <c r="U17" s="319">
        <f t="shared" si="23"/>
        <v>1000000000</v>
      </c>
      <c r="V17" s="319">
        <f t="shared" si="24"/>
        <v>2.0891811599999999</v>
      </c>
      <c r="X17" s="345">
        <f t="shared" si="17"/>
        <v>95.250851415884426</v>
      </c>
      <c r="Y17" s="346">
        <f t="shared" si="18"/>
        <v>-41.078570742609308</v>
      </c>
      <c r="AA17" s="345">
        <f t="shared" si="19"/>
        <v>59.74153382671421</v>
      </c>
      <c r="AB17" s="346">
        <f t="shared" si="20"/>
        <v>-1.9676915408880249E-2</v>
      </c>
      <c r="AD17">
        <f t="shared" si="25"/>
        <v>0</v>
      </c>
      <c r="AE17">
        <f t="shared" si="21"/>
        <v>0</v>
      </c>
    </row>
    <row r="18" spans="1:31" x14ac:dyDescent="0.25">
      <c r="A18" s="347">
        <v>1.5849</v>
      </c>
      <c r="B18" s="364">
        <f t="shared" si="22"/>
        <v>1.5849E-3</v>
      </c>
      <c r="C18" s="337">
        <f t="shared" si="0"/>
        <v>1.0000000642680655</v>
      </c>
      <c r="D18" s="338">
        <f t="shared" si="1"/>
        <v>3.5851934958381487E-4</v>
      </c>
      <c r="E18" s="338">
        <f t="shared" si="2"/>
        <v>1.0000000000028559</v>
      </c>
      <c r="F18" s="339">
        <f t="shared" si="3"/>
        <v>2.3899728916682497E-6</v>
      </c>
      <c r="G18" s="338">
        <f t="shared" si="4"/>
        <v>1</v>
      </c>
      <c r="H18" s="339">
        <f t="shared" si="5"/>
        <v>0</v>
      </c>
      <c r="I18" s="337">
        <f t="shared" si="6"/>
        <v>1.3836135898343489</v>
      </c>
      <c r="J18" s="340">
        <f t="shared" si="7"/>
        <v>0.76303016345533725</v>
      </c>
      <c r="K18" s="348">
        <f t="shared" si="8"/>
        <v>1.0000000303727328</v>
      </c>
      <c r="L18" s="349">
        <f t="shared" si="9"/>
        <v>2.4646594946319455E-4</v>
      </c>
      <c r="M18" s="337">
        <f t="shared" si="10"/>
        <v>1.0000000001054081</v>
      </c>
      <c r="N18" s="340">
        <f t="shared" si="11"/>
        <v>1.4519506175785097E-5</v>
      </c>
      <c r="O18" s="341">
        <f t="shared" si="12"/>
        <v>1.0000000000013578</v>
      </c>
      <c r="P18" s="342">
        <f t="shared" si="13"/>
        <v>2.0442773143359909E-5</v>
      </c>
      <c r="Q18" s="343">
        <f t="shared" si="14"/>
        <v>92.388720681953643</v>
      </c>
      <c r="R18" s="344">
        <f t="shared" si="15"/>
        <v>-43.726694499727508</v>
      </c>
      <c r="S18" s="346">
        <f t="shared" si="16"/>
        <v>136.2733055002725</v>
      </c>
      <c r="U18" s="319">
        <f t="shared" si="23"/>
        <v>1000000000</v>
      </c>
      <c r="V18" s="319">
        <f t="shared" si="24"/>
        <v>2.51190801</v>
      </c>
      <c r="X18" s="345">
        <f t="shared" si="17"/>
        <v>94.886928283570469</v>
      </c>
      <c r="Y18" s="346">
        <f t="shared" si="18"/>
        <v>-43.705118504835106</v>
      </c>
      <c r="AA18" s="345">
        <f t="shared" si="19"/>
        <v>59.741533732773149</v>
      </c>
      <c r="AB18" s="346">
        <f t="shared" si="20"/>
        <v>-2.1575994892396748E-2</v>
      </c>
      <c r="AD18">
        <f t="shared" si="25"/>
        <v>0</v>
      </c>
      <c r="AE18">
        <f t="shared" si="21"/>
        <v>0</v>
      </c>
    </row>
    <row r="19" spans="1:31" x14ac:dyDescent="0.25">
      <c r="A19" s="347">
        <v>1.7378</v>
      </c>
      <c r="B19" s="364">
        <f t="shared" si="22"/>
        <v>1.7378000000000001E-3</v>
      </c>
      <c r="C19" s="337">
        <f t="shared" si="0"/>
        <v>1.0000000772664714</v>
      </c>
      <c r="D19" s="338">
        <f t="shared" si="1"/>
        <v>3.9310677033742184E-4</v>
      </c>
      <c r="E19" s="338">
        <f t="shared" si="2"/>
        <v>1.0000000000034337</v>
      </c>
      <c r="F19" s="339">
        <f t="shared" si="3"/>
        <v>2.6205406594356019E-6</v>
      </c>
      <c r="G19" s="338">
        <f t="shared" si="4"/>
        <v>1</v>
      </c>
      <c r="H19" s="339">
        <f t="shared" si="5"/>
        <v>0</v>
      </c>
      <c r="I19" s="337">
        <f t="shared" si="6"/>
        <v>1.4489043983053087</v>
      </c>
      <c r="J19" s="340">
        <f t="shared" si="7"/>
        <v>0.80906317421593665</v>
      </c>
      <c r="K19" s="348">
        <f t="shared" si="8"/>
        <v>1.0000000365157078</v>
      </c>
      <c r="L19" s="349">
        <f t="shared" si="9"/>
        <v>2.7024324892616606E-4</v>
      </c>
      <c r="M19" s="337">
        <f t="shared" si="10"/>
        <v>1.0000000001267271</v>
      </c>
      <c r="N19" s="340">
        <f t="shared" si="11"/>
        <v>1.5920245966257006E-5</v>
      </c>
      <c r="O19" s="341">
        <f t="shared" si="12"/>
        <v>1.0000000000016325</v>
      </c>
      <c r="P19" s="342">
        <f t="shared" si="13"/>
        <v>2.2414948052887598E-5</v>
      </c>
      <c r="Q19" s="343">
        <f t="shared" si="14"/>
        <v>91.988222386731508</v>
      </c>
      <c r="R19" s="344">
        <f t="shared" si="15"/>
        <v>-46.364991155147813</v>
      </c>
      <c r="S19" s="346">
        <f t="shared" si="16"/>
        <v>133.63500884485219</v>
      </c>
      <c r="U19" s="319">
        <f t="shared" si="23"/>
        <v>1000000000</v>
      </c>
      <c r="V19" s="319">
        <f t="shared" si="24"/>
        <v>3.0199488400000001</v>
      </c>
      <c r="X19" s="345">
        <f t="shared" si="17"/>
        <v>94.486430101248416</v>
      </c>
      <c r="Y19" s="346">
        <f t="shared" si="18"/>
        <v>-46.34133366028081</v>
      </c>
      <c r="AA19" s="345">
        <f t="shared" si="19"/>
        <v>59.741533619873067</v>
      </c>
      <c r="AB19" s="346">
        <f t="shared" si="20"/>
        <v>-2.3657494866992791E-2</v>
      </c>
      <c r="AD19">
        <f t="shared" si="25"/>
        <v>0</v>
      </c>
      <c r="AE19">
        <f t="shared" si="21"/>
        <v>0</v>
      </c>
    </row>
    <row r="20" spans="1:31" x14ac:dyDescent="0.25">
      <c r="A20" s="347">
        <v>1.9055</v>
      </c>
      <c r="B20" s="364">
        <f t="shared" si="22"/>
        <v>1.9055000000000001E-3</v>
      </c>
      <c r="C20" s="337">
        <f t="shared" si="0"/>
        <v>1.0000000928986488</v>
      </c>
      <c r="D20" s="338">
        <f t="shared" si="1"/>
        <v>4.310420894646183E-4</v>
      </c>
      <c r="E20" s="338">
        <f t="shared" si="2"/>
        <v>1.0000000000041283</v>
      </c>
      <c r="F20" s="339">
        <f t="shared" si="3"/>
        <v>2.8734263013880922E-6</v>
      </c>
      <c r="G20" s="338">
        <f t="shared" si="4"/>
        <v>1</v>
      </c>
      <c r="H20" s="339">
        <f t="shared" si="5"/>
        <v>0</v>
      </c>
      <c r="I20" s="337">
        <f t="shared" si="6"/>
        <v>1.5237236787157327</v>
      </c>
      <c r="J20" s="340">
        <f t="shared" si="7"/>
        <v>0.85490926572867909</v>
      </c>
      <c r="K20" s="348">
        <f t="shared" si="8"/>
        <v>1.0000000439033887</v>
      </c>
      <c r="L20" s="349">
        <f t="shared" si="9"/>
        <v>2.9632207865843362E-4</v>
      </c>
      <c r="M20" s="337">
        <f t="shared" si="10"/>
        <v>1.0000000001523659</v>
      </c>
      <c r="N20" s="340">
        <f t="shared" si="11"/>
        <v>1.7456570772346758E-5</v>
      </c>
      <c r="O20" s="341">
        <f t="shared" si="12"/>
        <v>1.0000000000019627</v>
      </c>
      <c r="P20" s="342">
        <f t="shared" si="13"/>
        <v>2.4578020206863161E-5</v>
      </c>
      <c r="Q20" s="343">
        <f t="shared" si="14"/>
        <v>91.550892599331036</v>
      </c>
      <c r="R20" s="344">
        <f t="shared" si="15"/>
        <v>-48.992655506355774</v>
      </c>
      <c r="S20" s="346">
        <f t="shared" si="16"/>
        <v>131.00734449364421</v>
      </c>
      <c r="U20" s="319">
        <f t="shared" si="23"/>
        <v>1000000000</v>
      </c>
      <c r="V20" s="319">
        <f t="shared" si="24"/>
        <v>3.63093025</v>
      </c>
      <c r="X20" s="345">
        <f t="shared" si="17"/>
        <v>94.04910044962412</v>
      </c>
      <c r="Y20" s="346">
        <f t="shared" si="18"/>
        <v>-48.966715032180481</v>
      </c>
      <c r="AA20" s="345">
        <f t="shared" si="19"/>
        <v>59.741533484096877</v>
      </c>
      <c r="AB20" s="346">
        <f t="shared" si="20"/>
        <v>-2.5940474175293476E-2</v>
      </c>
      <c r="AD20">
        <f t="shared" si="25"/>
        <v>0</v>
      </c>
      <c r="AE20">
        <f t="shared" si="21"/>
        <v>0</v>
      </c>
    </row>
    <row r="21" spans="1:31" x14ac:dyDescent="0.25">
      <c r="A21" s="347">
        <v>2.0893000000000002</v>
      </c>
      <c r="B21" s="364">
        <f t="shared" si="22"/>
        <v>2.0893000000000001E-3</v>
      </c>
      <c r="C21" s="337">
        <f t="shared" si="0"/>
        <v>1.0000001116845489</v>
      </c>
      <c r="D21" s="338">
        <f t="shared" si="1"/>
        <v>4.7261937876655525E-4</v>
      </c>
      <c r="E21" s="338">
        <f t="shared" si="2"/>
        <v>1.0000000000049631</v>
      </c>
      <c r="F21" s="339">
        <f t="shared" si="3"/>
        <v>3.1505901713391761E-6</v>
      </c>
      <c r="G21" s="338">
        <f t="shared" si="4"/>
        <v>1</v>
      </c>
      <c r="H21" s="339">
        <f t="shared" si="5"/>
        <v>0</v>
      </c>
      <c r="I21" s="337">
        <f t="shared" si="6"/>
        <v>1.6090413192432487</v>
      </c>
      <c r="J21" s="340">
        <f t="shared" si="7"/>
        <v>0.90015559382740873</v>
      </c>
      <c r="K21" s="348">
        <f t="shared" si="8"/>
        <v>1.0000000527815018</v>
      </c>
      <c r="L21" s="349">
        <f t="shared" si="9"/>
        <v>3.249045999877924E-4</v>
      </c>
      <c r="M21" s="337">
        <f t="shared" si="10"/>
        <v>1.0000000001831773</v>
      </c>
      <c r="N21" s="340">
        <f t="shared" si="11"/>
        <v>1.9140390088645982E-5</v>
      </c>
      <c r="O21" s="341">
        <f t="shared" si="12"/>
        <v>1.0000000000023594</v>
      </c>
      <c r="P21" s="342">
        <f t="shared" si="13"/>
        <v>2.6948757606520233E-5</v>
      </c>
      <c r="Q21" s="343">
        <f t="shared" si="14"/>
        <v>91.077672910604093</v>
      </c>
      <c r="R21" s="344">
        <f t="shared" si="15"/>
        <v>-51.58604012186877</v>
      </c>
      <c r="S21" s="346">
        <f t="shared" si="16"/>
        <v>128.41395987813124</v>
      </c>
      <c r="U21" s="319">
        <f t="shared" si="23"/>
        <v>1000000000</v>
      </c>
      <c r="V21" s="319">
        <f t="shared" si="24"/>
        <v>4.3651744900000002</v>
      </c>
      <c r="X21" s="345">
        <f t="shared" si="17"/>
        <v>93.575880924065615</v>
      </c>
      <c r="Y21" s="346">
        <f t="shared" si="18"/>
        <v>-51.557597491562667</v>
      </c>
      <c r="AA21" s="345">
        <f t="shared" si="19"/>
        <v>59.74153332092844</v>
      </c>
      <c r="AB21" s="346">
        <f t="shared" si="20"/>
        <v>-2.8442630306100485E-2</v>
      </c>
      <c r="AD21">
        <f t="shared" si="25"/>
        <v>0</v>
      </c>
      <c r="AE21">
        <f t="shared" si="21"/>
        <v>0</v>
      </c>
    </row>
    <row r="22" spans="1:31" x14ac:dyDescent="0.25">
      <c r="A22" s="347">
        <v>2.2909000000000002</v>
      </c>
      <c r="B22" s="364">
        <f t="shared" si="22"/>
        <v>2.2909000000000002E-3</v>
      </c>
      <c r="C22" s="337">
        <f t="shared" si="0"/>
        <v>1.0000001342776541</v>
      </c>
      <c r="D22" s="338">
        <f t="shared" si="1"/>
        <v>5.1822319365732168E-4</v>
      </c>
      <c r="E22" s="338">
        <f t="shared" si="2"/>
        <v>1.0000000000059672</v>
      </c>
      <c r="F22" s="339">
        <f t="shared" si="3"/>
        <v>3.4545958088910579E-6</v>
      </c>
      <c r="G22" s="338">
        <f t="shared" si="4"/>
        <v>1</v>
      </c>
      <c r="H22" s="339">
        <f t="shared" si="5"/>
        <v>0</v>
      </c>
      <c r="I22" s="337">
        <f t="shared" si="6"/>
        <v>1.7060075772220125</v>
      </c>
      <c r="J22" s="340">
        <f t="shared" si="7"/>
        <v>0.94448048184759359</v>
      </c>
      <c r="K22" s="348">
        <f t="shared" si="8"/>
        <v>1.000000063458879</v>
      </c>
      <c r="L22" s="349">
        <f t="shared" si="9"/>
        <v>3.5625517772160478E-4</v>
      </c>
      <c r="M22" s="337">
        <f t="shared" si="10"/>
        <v>1.0000000002202329</v>
      </c>
      <c r="N22" s="340">
        <f t="shared" si="11"/>
        <v>2.0987277869619422E-5</v>
      </c>
      <c r="O22" s="341">
        <f t="shared" si="12"/>
        <v>1.0000000000028368</v>
      </c>
      <c r="P22" s="342">
        <f t="shared" si="13"/>
        <v>2.9549087638089021E-5</v>
      </c>
      <c r="Q22" s="343">
        <f t="shared" si="14"/>
        <v>90.569397625175569</v>
      </c>
      <c r="R22" s="344">
        <f t="shared" si="15"/>
        <v>-54.126723174623237</v>
      </c>
      <c r="S22" s="346">
        <f t="shared" si="16"/>
        <v>125.87327682537676</v>
      </c>
      <c r="U22" s="319">
        <f t="shared" si="23"/>
        <v>1000000000</v>
      </c>
      <c r="V22" s="319">
        <f t="shared" si="24"/>
        <v>5.2482228100000006</v>
      </c>
      <c r="X22" s="345">
        <f t="shared" si="17"/>
        <v>93.067605834873731</v>
      </c>
      <c r="Y22" s="346">
        <f t="shared" si="18"/>
        <v>-54.095536068494894</v>
      </c>
      <c r="AA22" s="345">
        <f t="shared" si="19"/>
        <v>59.741533124691827</v>
      </c>
      <c r="AB22" s="346">
        <f t="shared" si="20"/>
        <v>-3.118710612834338E-2</v>
      </c>
      <c r="AD22">
        <f t="shared" si="25"/>
        <v>0</v>
      </c>
      <c r="AE22">
        <f t="shared" si="21"/>
        <v>0</v>
      </c>
    </row>
    <row r="23" spans="1:31" x14ac:dyDescent="0.25">
      <c r="A23" s="347">
        <v>2.5118999999999998</v>
      </c>
      <c r="B23" s="364">
        <f t="shared" si="22"/>
        <v>2.5118999999999996E-3</v>
      </c>
      <c r="C23" s="337">
        <f t="shared" si="0"/>
        <v>1.0000001614344309</v>
      </c>
      <c r="D23" s="338">
        <f t="shared" si="1"/>
        <v>5.6821546841011328E-4</v>
      </c>
      <c r="E23" s="338">
        <f t="shared" si="2"/>
        <v>1.0000000000071738</v>
      </c>
      <c r="F23" s="339">
        <f t="shared" si="3"/>
        <v>3.7878559571986843E-6</v>
      </c>
      <c r="G23" s="338">
        <f t="shared" si="4"/>
        <v>1</v>
      </c>
      <c r="H23" s="339">
        <f t="shared" si="5"/>
        <v>0</v>
      </c>
      <c r="I23" s="337">
        <f t="shared" si="6"/>
        <v>1.8157203228630205</v>
      </c>
      <c r="J23" s="340">
        <f t="shared" si="7"/>
        <v>0.98753905403699982</v>
      </c>
      <c r="K23" s="348">
        <f t="shared" si="8"/>
        <v>1.0000000762930228</v>
      </c>
      <c r="L23" s="349">
        <f t="shared" si="9"/>
        <v>3.9062262572012873E-4</v>
      </c>
      <c r="M23" s="337">
        <f t="shared" si="10"/>
        <v>1.0000000002647735</v>
      </c>
      <c r="N23" s="340">
        <f t="shared" si="11"/>
        <v>2.301189195474775E-5</v>
      </c>
      <c r="O23" s="341">
        <f t="shared" si="12"/>
        <v>1.0000000000034106</v>
      </c>
      <c r="P23" s="342">
        <f t="shared" si="13"/>
        <v>3.2399647841572196E-5</v>
      </c>
      <c r="Q23" s="343">
        <f t="shared" si="14"/>
        <v>90.028037524584178</v>
      </c>
      <c r="R23" s="344">
        <f t="shared" si="15"/>
        <v>-56.594953104895751</v>
      </c>
      <c r="S23" s="346">
        <f t="shared" si="16"/>
        <v>123.40504689510425</v>
      </c>
      <c r="U23" s="319">
        <f t="shared" si="23"/>
        <v>1000000000</v>
      </c>
      <c r="V23" s="319">
        <f t="shared" si="24"/>
        <v>6.309641609999999</v>
      </c>
      <c r="X23" s="345">
        <f t="shared" si="17"/>
        <v>92.526245970157561</v>
      </c>
      <c r="Y23" s="346">
        <f t="shared" si="18"/>
        <v>-56.560757421743453</v>
      </c>
      <c r="AA23" s="345">
        <f t="shared" si="19"/>
        <v>59.741532888816593</v>
      </c>
      <c r="AB23" s="346">
        <f t="shared" si="20"/>
        <v>-3.4195683152304167E-2</v>
      </c>
      <c r="AD23">
        <f t="shared" si="25"/>
        <v>0</v>
      </c>
      <c r="AE23">
        <f t="shared" si="21"/>
        <v>0</v>
      </c>
    </row>
    <row r="24" spans="1:31" x14ac:dyDescent="0.25">
      <c r="A24" s="347">
        <v>2.7542</v>
      </c>
      <c r="B24" s="364">
        <f t="shared" si="22"/>
        <v>2.7542000000000001E-3</v>
      </c>
      <c r="C24" s="337">
        <f t="shared" si="0"/>
        <v>1.0000001940807297</v>
      </c>
      <c r="D24" s="338">
        <f t="shared" si="1"/>
        <v>6.2302599985454175E-4</v>
      </c>
      <c r="E24" s="338">
        <f t="shared" si="2"/>
        <v>1.0000000000086247</v>
      </c>
      <c r="F24" s="339">
        <f t="shared" si="3"/>
        <v>4.1532357487585205E-6</v>
      </c>
      <c r="G24" s="338">
        <f t="shared" si="4"/>
        <v>1</v>
      </c>
      <c r="H24" s="339">
        <f t="shared" si="5"/>
        <v>0</v>
      </c>
      <c r="I24" s="337">
        <f t="shared" si="6"/>
        <v>1.939412799233313</v>
      </c>
      <c r="J24" s="340">
        <f t="shared" si="7"/>
        <v>1.0290652434297698</v>
      </c>
      <c r="K24" s="348">
        <f t="shared" si="8"/>
        <v>1.0000000917214844</v>
      </c>
      <c r="L24" s="349">
        <f t="shared" si="9"/>
        <v>4.2830241040349659E-4</v>
      </c>
      <c r="M24" s="337">
        <f t="shared" si="10"/>
        <v>1.0000000003183178</v>
      </c>
      <c r="N24" s="340">
        <f t="shared" si="11"/>
        <v>2.523163852840633E-5</v>
      </c>
      <c r="O24" s="341">
        <f t="shared" si="12"/>
        <v>1.0000000000041003</v>
      </c>
      <c r="P24" s="342">
        <f t="shared" si="13"/>
        <v>3.5524945295733828E-5</v>
      </c>
      <c r="Q24" s="343">
        <f t="shared" si="14"/>
        <v>89.455611316866865</v>
      </c>
      <c r="R24" s="344">
        <f t="shared" si="15"/>
        <v>-58.975495332316001</v>
      </c>
      <c r="S24" s="346">
        <f t="shared" si="16"/>
        <v>121.024504667684</v>
      </c>
      <c r="U24" s="319">
        <f t="shared" si="23"/>
        <v>1000000000</v>
      </c>
      <c r="V24" s="319">
        <f t="shared" si="24"/>
        <v>7.5856176399999997</v>
      </c>
      <c r="X24" s="345">
        <f t="shared" si="17"/>
        <v>91.953820045995727</v>
      </c>
      <c r="Y24" s="346">
        <f t="shared" si="18"/>
        <v>-58.938001105401433</v>
      </c>
      <c r="AA24" s="345">
        <f t="shared" si="19"/>
        <v>59.741532605261099</v>
      </c>
      <c r="AB24" s="346">
        <f t="shared" si="20"/>
        <v>-3.7494226914578835E-2</v>
      </c>
      <c r="AD24">
        <f t="shared" si="25"/>
        <v>0</v>
      </c>
      <c r="AE24">
        <f t="shared" si="21"/>
        <v>0</v>
      </c>
    </row>
    <row r="25" spans="1:31" x14ac:dyDescent="0.25">
      <c r="A25" s="347">
        <v>3.02</v>
      </c>
      <c r="B25" s="364">
        <f t="shared" si="22"/>
        <v>3.0200000000000001E-3</v>
      </c>
      <c r="C25" s="337">
        <f t="shared" si="0"/>
        <v>1.0000002333486784</v>
      </c>
      <c r="D25" s="338">
        <f t="shared" si="1"/>
        <v>6.8315244728219405E-4</v>
      </c>
      <c r="E25" s="338">
        <f t="shared" si="2"/>
        <v>1.0000000000103697</v>
      </c>
      <c r="F25" s="339">
        <f t="shared" si="3"/>
        <v>4.5540527054085181E-6</v>
      </c>
      <c r="G25" s="338">
        <f t="shared" si="4"/>
        <v>1</v>
      </c>
      <c r="H25" s="339">
        <f t="shared" si="5"/>
        <v>0</v>
      </c>
      <c r="I25" s="337">
        <f t="shared" si="6"/>
        <v>2.0784644783494142</v>
      </c>
      <c r="J25" s="340">
        <f t="shared" si="7"/>
        <v>1.0688594449411846</v>
      </c>
      <c r="K25" s="348">
        <f t="shared" si="8"/>
        <v>1.0000001102793019</v>
      </c>
      <c r="L25" s="349">
        <f t="shared" si="9"/>
        <v>4.6963665072103218E-4</v>
      </c>
      <c r="M25" s="337">
        <f t="shared" si="10"/>
        <v>1.0000000003827223</v>
      </c>
      <c r="N25" s="340">
        <f t="shared" si="11"/>
        <v>2.7666672119858903E-5</v>
      </c>
      <c r="O25" s="341">
        <f t="shared" si="12"/>
        <v>1.0000000000049298</v>
      </c>
      <c r="P25" s="342">
        <f t="shared" si="13"/>
        <v>3.8953356618107946E-5</v>
      </c>
      <c r="Q25" s="343">
        <f t="shared" si="14"/>
        <v>88.854164151617198</v>
      </c>
      <c r="R25" s="344">
        <f t="shared" si="15"/>
        <v>-61.256924830302253</v>
      </c>
      <c r="S25" s="346">
        <f t="shared" si="16"/>
        <v>118.74307516969775</v>
      </c>
      <c r="U25" s="319">
        <f t="shared" si="23"/>
        <v>1000000000</v>
      </c>
      <c r="V25" s="319">
        <f t="shared" si="24"/>
        <v>9.1204000000000001</v>
      </c>
      <c r="X25" s="345">
        <f t="shared" si="17"/>
        <v>91.3523732218151</v>
      </c>
      <c r="Y25" s="346">
        <f t="shared" si="18"/>
        <v>-61.215812143329593</v>
      </c>
      <c r="AA25" s="345">
        <f t="shared" si="19"/>
        <v>59.74153226419206</v>
      </c>
      <c r="AB25" s="346">
        <f t="shared" si="20"/>
        <v>-4.1112686972666811E-2</v>
      </c>
      <c r="AD25">
        <f t="shared" si="25"/>
        <v>0</v>
      </c>
      <c r="AE25">
        <f t="shared" si="21"/>
        <v>0</v>
      </c>
    </row>
    <row r="26" spans="1:31" x14ac:dyDescent="0.25">
      <c r="A26" s="347">
        <v>3.3113000000000001</v>
      </c>
      <c r="B26" s="364">
        <f t="shared" si="22"/>
        <v>3.3113000000000001E-3</v>
      </c>
      <c r="C26" s="337">
        <f t="shared" si="0"/>
        <v>1.0000002805359403</v>
      </c>
      <c r="D26" s="338">
        <f t="shared" si="1"/>
        <v>7.4904722765671951E-4</v>
      </c>
      <c r="E26" s="338">
        <f t="shared" si="2"/>
        <v>1.0000000000124665</v>
      </c>
      <c r="F26" s="339">
        <f t="shared" si="3"/>
        <v>4.9933227560921005E-6</v>
      </c>
      <c r="G26" s="338">
        <f t="shared" si="4"/>
        <v>1</v>
      </c>
      <c r="H26" s="339">
        <f t="shared" si="5"/>
        <v>0</v>
      </c>
      <c r="I26" s="337">
        <f t="shared" si="6"/>
        <v>2.234139835287642</v>
      </c>
      <c r="J26" s="340">
        <f t="shared" si="7"/>
        <v>1.106717153418985</v>
      </c>
      <c r="K26" s="348">
        <f t="shared" si="8"/>
        <v>1.0000001325797439</v>
      </c>
      <c r="L26" s="349">
        <f t="shared" si="9"/>
        <v>5.1493636371285705E-4</v>
      </c>
      <c r="M26" s="337">
        <f t="shared" si="10"/>
        <v>1.0000000004601157</v>
      </c>
      <c r="N26" s="340">
        <f t="shared" si="11"/>
        <v>3.0335315028398008E-5</v>
      </c>
      <c r="O26" s="341">
        <f t="shared" si="12"/>
        <v>1.0000000000059268</v>
      </c>
      <c r="P26" s="342">
        <f t="shared" si="13"/>
        <v>4.2710678733777674E-5</v>
      </c>
      <c r="Q26" s="343">
        <f t="shared" si="14"/>
        <v>88.226809023868384</v>
      </c>
      <c r="R26" s="344">
        <f t="shared" si="15"/>
        <v>-63.427534773392182</v>
      </c>
      <c r="S26" s="346">
        <f t="shared" si="16"/>
        <v>116.57246522660782</v>
      </c>
      <c r="U26" s="319">
        <f t="shared" si="23"/>
        <v>1000000000</v>
      </c>
      <c r="V26" s="319">
        <f t="shared" si="24"/>
        <v>10.964707690000001</v>
      </c>
      <c r="X26" s="345">
        <f t="shared" si="17"/>
        <v>90.725018503919998</v>
      </c>
      <c r="Y26" s="346">
        <f t="shared" si="18"/>
        <v>-63.38245648322804</v>
      </c>
      <c r="AA26" s="345">
        <f t="shared" si="19"/>
        <v>59.741531854338362</v>
      </c>
      <c r="AB26" s="346">
        <f t="shared" si="20"/>
        <v>-4.5078290164128343E-2</v>
      </c>
      <c r="AD26">
        <f t="shared" si="25"/>
        <v>0</v>
      </c>
      <c r="AE26">
        <f t="shared" si="21"/>
        <v>0</v>
      </c>
    </row>
    <row r="27" spans="1:31" x14ac:dyDescent="0.25">
      <c r="A27" s="347">
        <v>3.6307999999999998</v>
      </c>
      <c r="B27" s="364">
        <f t="shared" si="22"/>
        <v>3.6308E-3</v>
      </c>
      <c r="C27" s="337">
        <f t="shared" si="0"/>
        <v>1.0000003372842727</v>
      </c>
      <c r="D27" s="338">
        <f t="shared" si="1"/>
        <v>8.2132110388246119E-4</v>
      </c>
      <c r="E27" s="338">
        <f t="shared" si="2"/>
        <v>1.0000000000149885</v>
      </c>
      <c r="F27" s="339">
        <f t="shared" si="3"/>
        <v>5.4751174048828916E-6</v>
      </c>
      <c r="G27" s="338">
        <f t="shared" si="4"/>
        <v>1</v>
      </c>
      <c r="H27" s="339">
        <f t="shared" si="5"/>
        <v>0</v>
      </c>
      <c r="I27" s="337">
        <f t="shared" si="6"/>
        <v>2.4080654288407208</v>
      </c>
      <c r="J27" s="340">
        <f t="shared" si="7"/>
        <v>1.1425555236448008</v>
      </c>
      <c r="K27" s="348">
        <f t="shared" si="8"/>
        <v>1.0000001593986965</v>
      </c>
      <c r="L27" s="349">
        <f t="shared" si="9"/>
        <v>5.6462142238424451E-4</v>
      </c>
      <c r="M27" s="337">
        <f t="shared" si="10"/>
        <v>1.0000000005531904</v>
      </c>
      <c r="N27" s="340">
        <f t="shared" si="11"/>
        <v>3.32623023580688E-5</v>
      </c>
      <c r="O27" s="341">
        <f t="shared" si="12"/>
        <v>1.0000000000071259</v>
      </c>
      <c r="P27" s="342">
        <f t="shared" si="13"/>
        <v>4.6831737491604914E-5</v>
      </c>
      <c r="Q27" s="343">
        <f t="shared" si="14"/>
        <v>87.575650150708725</v>
      </c>
      <c r="R27" s="344">
        <f t="shared" si="15"/>
        <v>-65.482592596711683</v>
      </c>
      <c r="S27" s="346">
        <f t="shared" si="16"/>
        <v>114.51740740328832</v>
      </c>
      <c r="U27" s="319">
        <f t="shared" si="23"/>
        <v>1000000000</v>
      </c>
      <c r="V27" s="319">
        <f t="shared" si="24"/>
        <v>13.182708639999998</v>
      </c>
      <c r="X27" s="345">
        <f t="shared" si="17"/>
        <v>90.073860123658434</v>
      </c>
      <c r="Y27" s="346">
        <f t="shared" si="18"/>
        <v>-65.433164803991829</v>
      </c>
      <c r="AA27" s="345">
        <f t="shared" si="19"/>
        <v>59.741531361440259</v>
      </c>
      <c r="AB27" s="346">
        <f t="shared" si="20"/>
        <v>-4.9427792719865499E-2</v>
      </c>
      <c r="AD27">
        <f t="shared" si="25"/>
        <v>0</v>
      </c>
      <c r="AE27">
        <f t="shared" si="21"/>
        <v>0</v>
      </c>
    </row>
    <row r="28" spans="1:31" x14ac:dyDescent="0.25">
      <c r="A28" s="347">
        <v>3.9811000000000001</v>
      </c>
      <c r="B28" s="364">
        <f t="shared" si="22"/>
        <v>3.9811000000000004E-3</v>
      </c>
      <c r="C28" s="337">
        <f t="shared" si="0"/>
        <v>1.0000004055062905</v>
      </c>
      <c r="D28" s="338">
        <f t="shared" si="1"/>
        <v>9.0056221712938233E-4</v>
      </c>
      <c r="E28" s="338">
        <f t="shared" si="2"/>
        <v>1.0000000000180203</v>
      </c>
      <c r="F28" s="339">
        <f t="shared" si="3"/>
        <v>6.0033573594070806E-6</v>
      </c>
      <c r="G28" s="338">
        <f t="shared" si="4"/>
        <v>1</v>
      </c>
      <c r="H28" s="339">
        <f t="shared" si="5"/>
        <v>0</v>
      </c>
      <c r="I28" s="337">
        <f t="shared" si="6"/>
        <v>2.6018112233008082</v>
      </c>
      <c r="J28" s="340">
        <f t="shared" si="7"/>
        <v>1.1762952476563049</v>
      </c>
      <c r="K28" s="348">
        <f t="shared" si="8"/>
        <v>1.0000001916400512</v>
      </c>
      <c r="L28" s="349">
        <f t="shared" si="9"/>
        <v>6.1909614860054807E-4</v>
      </c>
      <c r="M28" s="337">
        <f t="shared" si="10"/>
        <v>1.0000000006650833</v>
      </c>
      <c r="N28" s="340">
        <f t="shared" si="11"/>
        <v>3.6471453097892956E-5</v>
      </c>
      <c r="O28" s="341">
        <f t="shared" si="12"/>
        <v>1.0000000000085671</v>
      </c>
      <c r="P28" s="342">
        <f t="shared" si="13"/>
        <v>5.1350068894277959E-5</v>
      </c>
      <c r="Q28" s="343">
        <f t="shared" si="14"/>
        <v>86.903499838893822</v>
      </c>
      <c r="R28" s="344">
        <f t="shared" si="15"/>
        <v>-67.417567882361809</v>
      </c>
      <c r="S28" s="346">
        <f t="shared" si="16"/>
        <v>112.58243211763819</v>
      </c>
      <c r="U28" s="319">
        <f t="shared" si="23"/>
        <v>1000000000</v>
      </c>
      <c r="V28" s="319">
        <f t="shared" si="24"/>
        <v>15.849157210000001</v>
      </c>
      <c r="X28" s="345">
        <f t="shared" si="17"/>
        <v>89.401710404398415</v>
      </c>
      <c r="Y28" s="346">
        <f t="shared" si="18"/>
        <v>-67.363371292883684</v>
      </c>
      <c r="AA28" s="345">
        <f t="shared" si="19"/>
        <v>59.741530768885376</v>
      </c>
      <c r="AB28" s="346">
        <f t="shared" si="20"/>
        <v>-5.4196589478131593E-2</v>
      </c>
      <c r="AD28">
        <f t="shared" si="25"/>
        <v>0</v>
      </c>
      <c r="AE28">
        <f t="shared" si="21"/>
        <v>0</v>
      </c>
    </row>
    <row r="29" spans="1:31" x14ac:dyDescent="0.25">
      <c r="A29" s="347">
        <v>4.3651999999999997</v>
      </c>
      <c r="B29" s="364">
        <f t="shared" si="22"/>
        <v>4.3651999999999996E-3</v>
      </c>
      <c r="C29" s="337">
        <f t="shared" si="0"/>
        <v>1.0000004875281507</v>
      </c>
      <c r="D29" s="338">
        <f t="shared" si="1"/>
        <v>9.8744919124210966E-4</v>
      </c>
      <c r="E29" s="338">
        <f t="shared" si="2"/>
        <v>1.0000000000216651</v>
      </c>
      <c r="F29" s="339">
        <f t="shared" si="3"/>
        <v>6.5825665130793258E-6</v>
      </c>
      <c r="G29" s="338">
        <f t="shared" si="4"/>
        <v>1</v>
      </c>
      <c r="H29" s="339">
        <f t="shared" si="5"/>
        <v>0</v>
      </c>
      <c r="I29" s="337">
        <f t="shared" si="6"/>
        <v>2.8171624562441386</v>
      </c>
      <c r="J29" s="340">
        <f t="shared" si="7"/>
        <v>1.2079174466731155</v>
      </c>
      <c r="K29" s="348">
        <f t="shared" si="8"/>
        <v>1.0000002304031379</v>
      </c>
      <c r="L29" s="349">
        <f t="shared" si="9"/>
        <v>6.7882706740185321E-4</v>
      </c>
      <c r="M29" s="337">
        <f t="shared" si="10"/>
        <v>1.0000000007996099</v>
      </c>
      <c r="N29" s="340">
        <f t="shared" si="11"/>
        <v>3.9990250696702941E-5</v>
      </c>
      <c r="O29" s="341">
        <f t="shared" si="12"/>
        <v>1.0000000000103</v>
      </c>
      <c r="P29" s="342">
        <f t="shared" si="13"/>
        <v>5.6304368329566996E-5</v>
      </c>
      <c r="Q29" s="343">
        <f t="shared" si="14"/>
        <v>86.212777276942575</v>
      </c>
      <c r="R29" s="344">
        <f t="shared" si="15"/>
        <v>-69.231394640837465</v>
      </c>
      <c r="S29" s="346">
        <f t="shared" si="16"/>
        <v>110.76860535916254</v>
      </c>
      <c r="U29" s="319">
        <f t="shared" si="23"/>
        <v>1000000000</v>
      </c>
      <c r="V29" s="319">
        <f t="shared" si="24"/>
        <v>19.054971039999998</v>
      </c>
      <c r="X29" s="345">
        <f t="shared" si="17"/>
        <v>88.710988554863079</v>
      </c>
      <c r="Y29" s="346">
        <f t="shared" si="18"/>
        <v>-69.171969120233911</v>
      </c>
      <c r="AA29" s="345">
        <f t="shared" si="19"/>
        <v>59.741530056469479</v>
      </c>
      <c r="AB29" s="346">
        <f t="shared" si="20"/>
        <v>-5.9425520603553585E-2</v>
      </c>
      <c r="AD29">
        <f t="shared" si="25"/>
        <v>0</v>
      </c>
      <c r="AE29">
        <f t="shared" si="21"/>
        <v>0</v>
      </c>
    </row>
    <row r="30" spans="1:31" x14ac:dyDescent="0.25">
      <c r="A30" s="347">
        <v>4.7862999999999998</v>
      </c>
      <c r="B30" s="364">
        <f t="shared" si="22"/>
        <v>4.7862999999999994E-3</v>
      </c>
      <c r="C30" s="337">
        <f t="shared" si="0"/>
        <v>1.000000586126309</v>
      </c>
      <c r="D30" s="338">
        <f t="shared" si="1"/>
        <v>1.0827058905381929E-3</v>
      </c>
      <c r="E30" s="338">
        <f t="shared" si="2"/>
        <v>1.0000000000260467</v>
      </c>
      <c r="F30" s="339">
        <f t="shared" si="3"/>
        <v>7.217570352208272E-6</v>
      </c>
      <c r="G30" s="338">
        <f t="shared" si="4"/>
        <v>1</v>
      </c>
      <c r="H30" s="339">
        <f t="shared" si="5"/>
        <v>0</v>
      </c>
      <c r="I30" s="337">
        <f t="shared" si="6"/>
        <v>3.0560153369362553</v>
      </c>
      <c r="J30" s="340">
        <f t="shared" si="7"/>
        <v>1.2374325243148365</v>
      </c>
      <c r="K30" s="348">
        <f t="shared" si="8"/>
        <v>1.0000002770000955</v>
      </c>
      <c r="L30" s="349">
        <f t="shared" si="9"/>
        <v>7.4431180513477655E-4</v>
      </c>
      <c r="M30" s="337">
        <f t="shared" si="10"/>
        <v>1.0000000009613239</v>
      </c>
      <c r="N30" s="340">
        <f t="shared" si="11"/>
        <v>4.3848010833179247E-5</v>
      </c>
      <c r="O30" s="341">
        <f t="shared" si="12"/>
        <v>1.000000000012383</v>
      </c>
      <c r="P30" s="342">
        <f t="shared" si="13"/>
        <v>6.1735910877861708E-5</v>
      </c>
      <c r="Q30" s="343">
        <f t="shared" si="14"/>
        <v>85.505904074720988</v>
      </c>
      <c r="R30" s="344">
        <f t="shared" si="15"/>
        <v>-70.924685686187786</v>
      </c>
      <c r="S30" s="346">
        <f t="shared" si="16"/>
        <v>109.07531431381221</v>
      </c>
      <c r="U30" s="319">
        <f t="shared" si="23"/>
        <v>1000000000</v>
      </c>
      <c r="V30" s="319">
        <f t="shared" si="24"/>
        <v>22.908667689999998</v>
      </c>
      <c r="X30" s="345">
        <f t="shared" si="17"/>
        <v>88.004116209033768</v>
      </c>
      <c r="Y30" s="346">
        <f t="shared" si="18"/>
        <v>-70.859527537313369</v>
      </c>
      <c r="AA30" s="345">
        <f t="shared" si="19"/>
        <v>59.741529200077181</v>
      </c>
      <c r="AB30" s="346">
        <f t="shared" si="20"/>
        <v>-6.5158148874422755E-2</v>
      </c>
      <c r="AD30">
        <f t="shared" si="25"/>
        <v>0</v>
      </c>
      <c r="AE30">
        <f t="shared" si="21"/>
        <v>0</v>
      </c>
    </row>
    <row r="31" spans="1:31" x14ac:dyDescent="0.25">
      <c r="A31" s="347">
        <v>5.2481</v>
      </c>
      <c r="B31" s="364">
        <f t="shared" si="22"/>
        <v>5.2481000000000003E-3</v>
      </c>
      <c r="C31" s="337">
        <f t="shared" si="0"/>
        <v>1.0000007046858661</v>
      </c>
      <c r="D31" s="338">
        <f t="shared" si="1"/>
        <v>1.1871692821215469E-3</v>
      </c>
      <c r="E31" s="338">
        <f t="shared" si="2"/>
        <v>1.0000000000313154</v>
      </c>
      <c r="F31" s="339">
        <f t="shared" si="3"/>
        <v>7.9139483453379823E-6</v>
      </c>
      <c r="G31" s="338">
        <f t="shared" si="4"/>
        <v>1</v>
      </c>
      <c r="H31" s="339">
        <f t="shared" si="5"/>
        <v>0</v>
      </c>
      <c r="I31" s="337">
        <f t="shared" si="6"/>
        <v>3.3205511944898012</v>
      </c>
      <c r="J31" s="340">
        <f t="shared" si="7"/>
        <v>1.2648928608008445</v>
      </c>
      <c r="K31" s="348">
        <f t="shared" si="8"/>
        <v>1.0000003330307057</v>
      </c>
      <c r="L31" s="349">
        <f t="shared" si="9"/>
        <v>8.1612574193339841E-4</v>
      </c>
      <c r="M31" s="337">
        <f t="shared" si="10"/>
        <v>1.0000000011557773</v>
      </c>
      <c r="N31" s="340">
        <f t="shared" si="11"/>
        <v>4.8078629760728838E-5</v>
      </c>
      <c r="O31" s="341">
        <f t="shared" si="12"/>
        <v>1.0000000000148879</v>
      </c>
      <c r="P31" s="342">
        <f t="shared" si="13"/>
        <v>6.7692420850954768E-5</v>
      </c>
      <c r="Q31" s="343">
        <f t="shared" si="14"/>
        <v>84.784810512225462</v>
      </c>
      <c r="R31" s="344">
        <f t="shared" si="15"/>
        <v>-72.500461528579706</v>
      </c>
      <c r="S31" s="346">
        <f t="shared" si="16"/>
        <v>107.49953847142029</v>
      </c>
      <c r="U31" s="319">
        <f t="shared" si="23"/>
        <v>1000000000</v>
      </c>
      <c r="V31" s="319">
        <f t="shared" si="24"/>
        <v>27.542553609999999</v>
      </c>
      <c r="X31" s="345">
        <f t="shared" si="17"/>
        <v>87.283023676308815</v>
      </c>
      <c r="Y31" s="346">
        <f t="shared" si="18"/>
        <v>-72.429016684884616</v>
      </c>
      <c r="AA31" s="345">
        <f t="shared" si="19"/>
        <v>59.74152817030663</v>
      </c>
      <c r="AB31" s="346">
        <f t="shared" si="20"/>
        <v>-7.1444843695088675E-2</v>
      </c>
      <c r="AD31">
        <f t="shared" si="25"/>
        <v>0</v>
      </c>
      <c r="AE31">
        <f t="shared" si="21"/>
        <v>0</v>
      </c>
    </row>
    <row r="32" spans="1:31" x14ac:dyDescent="0.25">
      <c r="A32" s="347">
        <v>5.7544000000000004</v>
      </c>
      <c r="B32" s="364">
        <f t="shared" si="22"/>
        <v>5.7544000000000007E-3</v>
      </c>
      <c r="C32" s="337">
        <f t="shared" si="0"/>
        <v>1.0000008472106785</v>
      </c>
      <c r="D32" s="338">
        <f t="shared" si="1"/>
        <v>1.3016989516091862E-3</v>
      </c>
      <c r="E32" s="338">
        <f t="shared" si="2"/>
        <v>1.000000000037649</v>
      </c>
      <c r="F32" s="339">
        <f t="shared" si="3"/>
        <v>8.6774307574590044E-6</v>
      </c>
      <c r="G32" s="338">
        <f t="shared" si="4"/>
        <v>1</v>
      </c>
      <c r="H32" s="339">
        <f t="shared" si="5"/>
        <v>0</v>
      </c>
      <c r="I32" s="337">
        <f t="shared" si="6"/>
        <v>3.6130128145820763</v>
      </c>
      <c r="J32" s="340">
        <f t="shared" si="7"/>
        <v>1.2903575415341779</v>
      </c>
      <c r="K32" s="348">
        <f t="shared" si="8"/>
        <v>1.0000004003871716</v>
      </c>
      <c r="L32" s="349">
        <f t="shared" si="9"/>
        <v>8.9485980802516513E-4</v>
      </c>
      <c r="M32" s="337">
        <f t="shared" si="10"/>
        <v>1.0000000013895367</v>
      </c>
      <c r="N32" s="340">
        <f t="shared" si="11"/>
        <v>5.2716919847568233E-5</v>
      </c>
      <c r="O32" s="341">
        <f t="shared" si="12"/>
        <v>1.000000000017899</v>
      </c>
      <c r="P32" s="342">
        <f t="shared" si="13"/>
        <v>7.4222912407105268E-5</v>
      </c>
      <c r="Q32" s="343">
        <f t="shared" si="14"/>
        <v>84.051623425866651</v>
      </c>
      <c r="R32" s="344">
        <f t="shared" si="15"/>
        <v>-73.962127379648223</v>
      </c>
      <c r="S32" s="346">
        <f t="shared" si="16"/>
        <v>106.03787262035178</v>
      </c>
      <c r="U32" s="319">
        <f t="shared" si="23"/>
        <v>1000000000</v>
      </c>
      <c r="V32" s="319">
        <f t="shared" si="24"/>
        <v>33.113119360000006</v>
      </c>
      <c r="X32" s="345">
        <f t="shared" si="17"/>
        <v>86.549837827874981</v>
      </c>
      <c r="Y32" s="346">
        <f t="shared" si="18"/>
        <v>-73.883790043970222</v>
      </c>
      <c r="AA32" s="345">
        <f t="shared" si="19"/>
        <v>59.741526932381646</v>
      </c>
      <c r="AB32" s="346">
        <f t="shared" si="20"/>
        <v>-7.8337335678000719E-2</v>
      </c>
      <c r="AD32">
        <f t="shared" si="25"/>
        <v>0</v>
      </c>
      <c r="AE32">
        <f t="shared" si="21"/>
        <v>0</v>
      </c>
    </row>
    <row r="33" spans="1:31" x14ac:dyDescent="0.25">
      <c r="A33" s="347">
        <v>6.3095999999999997</v>
      </c>
      <c r="B33" s="364">
        <f t="shared" si="22"/>
        <v>6.3095999999999994E-3</v>
      </c>
      <c r="C33" s="337">
        <f t="shared" si="0"/>
        <v>1.0000010185795321</v>
      </c>
      <c r="D33" s="338">
        <f t="shared" si="1"/>
        <v>1.4272902069285421E-3</v>
      </c>
      <c r="E33" s="338">
        <f t="shared" si="2"/>
        <v>1.0000000000452642</v>
      </c>
      <c r="F33" s="339">
        <f t="shared" si="3"/>
        <v>9.5146526322440851E-6</v>
      </c>
      <c r="G33" s="338">
        <f t="shared" si="4"/>
        <v>1</v>
      </c>
      <c r="H33" s="339">
        <f t="shared" si="5"/>
        <v>0</v>
      </c>
      <c r="I33" s="337">
        <f t="shared" si="6"/>
        <v>3.9359938933263199</v>
      </c>
      <c r="J33" s="340">
        <f t="shared" si="7"/>
        <v>1.3139150178029144</v>
      </c>
      <c r="K33" s="348">
        <f t="shared" si="8"/>
        <v>1.0000004813751842</v>
      </c>
      <c r="L33" s="349">
        <f t="shared" si="9"/>
        <v>9.8119823784679691E-4</v>
      </c>
      <c r="M33" s="337">
        <f t="shared" si="10"/>
        <v>1.0000000016706043</v>
      </c>
      <c r="N33" s="340">
        <f t="shared" si="11"/>
        <v>5.780319015151714E-5</v>
      </c>
      <c r="O33" s="341">
        <f t="shared" si="12"/>
        <v>1.0000000000215195</v>
      </c>
      <c r="P33" s="342">
        <f t="shared" si="13"/>
        <v>8.1384138782349659E-5</v>
      </c>
      <c r="Q33" s="343">
        <f t="shared" si="14"/>
        <v>83.307924357742309</v>
      </c>
      <c r="R33" s="344">
        <f t="shared" si="15"/>
        <v>-75.314774129196394</v>
      </c>
      <c r="S33" s="346">
        <f t="shared" si="16"/>
        <v>104.68522587080361</v>
      </c>
      <c r="U33" s="319">
        <f t="shared" si="23"/>
        <v>1000000000</v>
      </c>
      <c r="V33" s="319">
        <f t="shared" si="24"/>
        <v>39.811052159999996</v>
      </c>
      <c r="X33" s="345">
        <f t="shared" si="17"/>
        <v>85.806140248205509</v>
      </c>
      <c r="Y33" s="346">
        <f t="shared" si="18"/>
        <v>-75.228878605868729</v>
      </c>
      <c r="AA33" s="345">
        <f t="shared" si="19"/>
        <v>59.74152544392679</v>
      </c>
      <c r="AB33" s="346">
        <f t="shared" si="20"/>
        <v>-8.5895523327684312E-2</v>
      </c>
      <c r="AD33">
        <f t="shared" si="25"/>
        <v>0</v>
      </c>
      <c r="AE33">
        <f t="shared" si="21"/>
        <v>0</v>
      </c>
    </row>
    <row r="34" spans="1:31" x14ac:dyDescent="0.25">
      <c r="A34" s="347">
        <v>6.9183000000000003</v>
      </c>
      <c r="B34" s="364">
        <f t="shared" si="22"/>
        <v>6.9183000000000005E-3</v>
      </c>
      <c r="C34" s="337">
        <f t="shared" si="0"/>
        <v>1.0000012245880738</v>
      </c>
      <c r="D34" s="338">
        <f t="shared" si="1"/>
        <v>1.5649835936432494E-3</v>
      </c>
      <c r="E34" s="338">
        <f t="shared" si="2"/>
        <v>1.0000000000544191</v>
      </c>
      <c r="F34" s="339">
        <f t="shared" si="3"/>
        <v>1.0432550606259115E-5</v>
      </c>
      <c r="G34" s="338">
        <f t="shared" si="4"/>
        <v>1</v>
      </c>
      <c r="H34" s="339">
        <f t="shared" si="5"/>
        <v>0</v>
      </c>
      <c r="I34" s="337">
        <f t="shared" si="6"/>
        <v>4.292211347001655</v>
      </c>
      <c r="J34" s="340">
        <f t="shared" si="7"/>
        <v>1.3356552937289039</v>
      </c>
      <c r="K34" s="348">
        <f t="shared" si="8"/>
        <v>1.0000005787337394</v>
      </c>
      <c r="L34" s="349">
        <f t="shared" si="9"/>
        <v>1.0758563662199255E-3</v>
      </c>
      <c r="M34" s="337">
        <f t="shared" si="10"/>
        <v>1.0000000020084856</v>
      </c>
      <c r="N34" s="340">
        <f t="shared" si="11"/>
        <v>6.337958196005483E-5</v>
      </c>
      <c r="O34" s="341">
        <f t="shared" si="12"/>
        <v>1.0000000000258717</v>
      </c>
      <c r="P34" s="342">
        <f t="shared" si="13"/>
        <v>8.9235432905601905E-5</v>
      </c>
      <c r="Q34" s="343">
        <f t="shared" si="14"/>
        <v>82.555389763604964</v>
      </c>
      <c r="R34" s="344">
        <f t="shared" si="15"/>
        <v>-76.563582683358263</v>
      </c>
      <c r="S34" s="346">
        <f t="shared" si="16"/>
        <v>103.43641731664174</v>
      </c>
      <c r="U34" s="319">
        <f t="shared" si="23"/>
        <v>1000000000</v>
      </c>
      <c r="V34" s="319">
        <f t="shared" si="24"/>
        <v>47.862874890000008</v>
      </c>
      <c r="X34" s="345">
        <f t="shared" si="17"/>
        <v>85.053607443391883</v>
      </c>
      <c r="Y34" s="346">
        <f t="shared" si="18"/>
        <v>-76.469400655758434</v>
      </c>
      <c r="AA34" s="345">
        <f t="shared" si="19"/>
        <v>59.74152365460305</v>
      </c>
      <c r="AB34" s="346">
        <f t="shared" si="20"/>
        <v>-9.4182027599812021E-2</v>
      </c>
      <c r="AD34">
        <f t="shared" si="25"/>
        <v>0</v>
      </c>
      <c r="AE34">
        <f t="shared" si="21"/>
        <v>0</v>
      </c>
    </row>
    <row r="35" spans="1:31" x14ac:dyDescent="0.25">
      <c r="A35" s="347">
        <v>7.5857999999999999</v>
      </c>
      <c r="B35" s="364">
        <f t="shared" si="22"/>
        <v>7.5858000000000002E-3</v>
      </c>
      <c r="C35" s="337">
        <f t="shared" si="0"/>
        <v>1.0000014722920514</v>
      </c>
      <c r="D35" s="338">
        <f t="shared" si="1"/>
        <v>1.7159779980954893E-3</v>
      </c>
      <c r="E35" s="338">
        <f t="shared" si="2"/>
        <v>1.0000000000654268</v>
      </c>
      <c r="F35" s="339">
        <f t="shared" si="3"/>
        <v>1.1439116891198652E-5</v>
      </c>
      <c r="G35" s="338">
        <f t="shared" si="4"/>
        <v>1</v>
      </c>
      <c r="H35" s="339">
        <f t="shared" si="5"/>
        <v>0</v>
      </c>
      <c r="I35" s="337">
        <f t="shared" si="6"/>
        <v>4.6847988258421225</v>
      </c>
      <c r="J35" s="340">
        <f t="shared" si="7"/>
        <v>1.3556848495088489</v>
      </c>
      <c r="K35" s="348">
        <f t="shared" si="8"/>
        <v>1.0000006957973528</v>
      </c>
      <c r="L35" s="349">
        <f t="shared" si="9"/>
        <v>1.1796583822542082E-3</v>
      </c>
      <c r="M35" s="337">
        <f t="shared" si="10"/>
        <v>1.0000000024147531</v>
      </c>
      <c r="N35" s="340">
        <f t="shared" si="11"/>
        <v>6.9494649365070283E-5</v>
      </c>
      <c r="O35" s="341">
        <f t="shared" si="12"/>
        <v>1.0000000000311049</v>
      </c>
      <c r="P35" s="342">
        <f t="shared" si="13"/>
        <v>9.784515663002378E-5</v>
      </c>
      <c r="Q35" s="343">
        <f t="shared" si="14"/>
        <v>81.795191668120779</v>
      </c>
      <c r="R35" s="344">
        <f t="shared" si="15"/>
        <v>-77.714681617453792</v>
      </c>
      <c r="S35" s="346">
        <f t="shared" si="16"/>
        <v>102.28531838254621</v>
      </c>
      <c r="U35" s="319">
        <f t="shared" si="23"/>
        <v>1000000000</v>
      </c>
      <c r="V35" s="319">
        <f t="shared" si="24"/>
        <v>57.544361639999998</v>
      </c>
      <c r="X35" s="345">
        <f t="shared" si="17"/>
        <v>84.293411499384064</v>
      </c>
      <c r="Y35" s="346">
        <f t="shared" si="18"/>
        <v>-77.611412618906115</v>
      </c>
      <c r="AA35" s="345">
        <f t="shared" si="19"/>
        <v>59.741521503126698</v>
      </c>
      <c r="AB35" s="346">
        <f t="shared" si="20"/>
        <v>-0.10326899854765595</v>
      </c>
      <c r="AD35">
        <f t="shared" si="25"/>
        <v>0</v>
      </c>
      <c r="AE35">
        <f t="shared" si="21"/>
        <v>0</v>
      </c>
    </row>
    <row r="36" spans="1:31" x14ac:dyDescent="0.25">
      <c r="A36" s="347">
        <v>8.3176000000000005</v>
      </c>
      <c r="B36" s="364">
        <f t="shared" si="22"/>
        <v>8.3176000000000014E-3</v>
      </c>
      <c r="C36" s="337">
        <f t="shared" si="0"/>
        <v>1.0000017700567396</v>
      </c>
      <c r="D36" s="338">
        <f t="shared" si="1"/>
        <v>1.8815175411516832E-3</v>
      </c>
      <c r="E36" s="338">
        <f t="shared" si="2"/>
        <v>1.0000000000786589</v>
      </c>
      <c r="F36" s="339">
        <f t="shared" si="3"/>
        <v>1.2542645291649475E-5</v>
      </c>
      <c r="G36" s="338">
        <f t="shared" si="4"/>
        <v>1</v>
      </c>
      <c r="H36" s="339">
        <f t="shared" si="5"/>
        <v>0</v>
      </c>
      <c r="I36" s="337">
        <f t="shared" si="6"/>
        <v>5.1170159812700327</v>
      </c>
      <c r="J36" s="340">
        <f t="shared" si="7"/>
        <v>1.374104114502992</v>
      </c>
      <c r="K36" s="348">
        <f t="shared" si="8"/>
        <v>1.0000008365194184</v>
      </c>
      <c r="L36" s="349">
        <f t="shared" si="9"/>
        <v>1.2934595744331665E-3</v>
      </c>
      <c r="M36" s="337">
        <f t="shared" si="10"/>
        <v>1.0000000029031269</v>
      </c>
      <c r="N36" s="340">
        <f t="shared" si="11"/>
        <v>7.6198778687905366E-5</v>
      </c>
      <c r="O36" s="341">
        <f t="shared" si="12"/>
        <v>1.0000000000373959</v>
      </c>
      <c r="P36" s="342">
        <f t="shared" si="13"/>
        <v>1.0728425150193734E-4</v>
      </c>
      <c r="Q36" s="343">
        <f t="shared" si="14"/>
        <v>81.02867375685085</v>
      </c>
      <c r="R36" s="344">
        <f t="shared" si="15"/>
        <v>-78.773853864799932</v>
      </c>
      <c r="S36" s="346">
        <f t="shared" si="16"/>
        <v>101.22614613520007</v>
      </c>
      <c r="U36" s="319">
        <f t="shared" si="23"/>
        <v>1000000000</v>
      </c>
      <c r="V36" s="319">
        <f t="shared" si="24"/>
        <v>69.182469760000004</v>
      </c>
      <c r="X36" s="345">
        <f t="shared" si="17"/>
        <v>83.526896174400861</v>
      </c>
      <c r="Y36" s="346">
        <f t="shared" si="18"/>
        <v>-78.66062255630257</v>
      </c>
      <c r="AA36" s="345">
        <f t="shared" si="19"/>
        <v>59.741518916839958</v>
      </c>
      <c r="AB36" s="346">
        <f t="shared" si="20"/>
        <v>-0.11323130849734918</v>
      </c>
      <c r="AD36">
        <f t="shared" si="25"/>
        <v>0</v>
      </c>
      <c r="AE36">
        <f t="shared" si="21"/>
        <v>0</v>
      </c>
    </row>
    <row r="37" spans="1:31" x14ac:dyDescent="0.25">
      <c r="A37" s="347">
        <v>9.1201000000000008</v>
      </c>
      <c r="B37" s="364">
        <f t="shared" si="22"/>
        <v>9.1201000000000008E-3</v>
      </c>
      <c r="C37" s="337">
        <f t="shared" si="0"/>
        <v>1.0000021280912643</v>
      </c>
      <c r="D37" s="338">
        <f t="shared" si="1"/>
        <v>2.0630499220012518E-3</v>
      </c>
      <c r="E37" s="338">
        <f t="shared" si="2"/>
        <v>1.0000000000945697</v>
      </c>
      <c r="F37" s="339">
        <f t="shared" si="3"/>
        <v>1.375278678022014E-5</v>
      </c>
      <c r="G37" s="338">
        <f t="shared" si="4"/>
        <v>1</v>
      </c>
      <c r="H37" s="339">
        <f t="shared" si="5"/>
        <v>0</v>
      </c>
      <c r="I37" s="337">
        <f t="shared" si="6"/>
        <v>5.59266207366566</v>
      </c>
      <c r="J37" s="340">
        <f t="shared" si="7"/>
        <v>1.3910238458781199</v>
      </c>
      <c r="K37" s="348">
        <f t="shared" si="8"/>
        <v>1.0000010057247291</v>
      </c>
      <c r="L37" s="349">
        <f t="shared" si="9"/>
        <v>1.4182551858834414E-3</v>
      </c>
      <c r="M37" s="337">
        <f t="shared" si="10"/>
        <v>1.0000000034903513</v>
      </c>
      <c r="N37" s="340">
        <f t="shared" si="11"/>
        <v>8.3550601283965121E-5</v>
      </c>
      <c r="O37" s="341">
        <f t="shared" si="12"/>
        <v>1.00000000004496</v>
      </c>
      <c r="P37" s="342">
        <f t="shared" si="13"/>
        <v>1.1763526768479815E-4</v>
      </c>
      <c r="Q37" s="343">
        <f t="shared" si="14"/>
        <v>80.256636005111886</v>
      </c>
      <c r="R37" s="344">
        <f t="shared" si="15"/>
        <v>-79.747478803579668</v>
      </c>
      <c r="S37" s="346">
        <f t="shared" si="16"/>
        <v>100.25252119642033</v>
      </c>
      <c r="U37" s="319">
        <f t="shared" si="23"/>
        <v>1000000000</v>
      </c>
      <c r="V37" s="319">
        <f t="shared" si="24"/>
        <v>83.176224010000013</v>
      </c>
      <c r="X37" s="345">
        <f t="shared" si="17"/>
        <v>82.754861532431718</v>
      </c>
      <c r="Y37" s="346">
        <f t="shared" si="18"/>
        <v>-79.62332272226115</v>
      </c>
      <c r="AA37" s="345">
        <f t="shared" si="19"/>
        <v>59.741515807070151</v>
      </c>
      <c r="AB37" s="346">
        <f t="shared" si="20"/>
        <v>-0.12415608131851508</v>
      </c>
      <c r="AD37">
        <f t="shared" si="25"/>
        <v>0</v>
      </c>
      <c r="AE37">
        <f t="shared" si="21"/>
        <v>0</v>
      </c>
    </row>
    <row r="38" spans="1:31" x14ac:dyDescent="0.25">
      <c r="A38" s="347">
        <v>10</v>
      </c>
      <c r="B38" s="364">
        <f t="shared" si="22"/>
        <v>0.01</v>
      </c>
      <c r="C38" s="337">
        <f t="shared" si="0"/>
        <v>1.0000025585325996</v>
      </c>
      <c r="D38" s="338">
        <f t="shared" si="1"/>
        <v>2.2620906897815943E-3</v>
      </c>
      <c r="E38" s="338">
        <f t="shared" si="2"/>
        <v>1.0000000001136979</v>
      </c>
      <c r="F38" s="339">
        <f t="shared" si="3"/>
        <v>1.5079644718856987E-5</v>
      </c>
      <c r="G38" s="338">
        <f t="shared" si="4"/>
        <v>1</v>
      </c>
      <c r="H38" s="339">
        <f t="shared" si="5"/>
        <v>0</v>
      </c>
      <c r="I38" s="337">
        <f t="shared" si="6"/>
        <v>6.1157233540547251</v>
      </c>
      <c r="J38" s="340">
        <f t="shared" si="7"/>
        <v>1.4065458358902376</v>
      </c>
      <c r="K38" s="348">
        <f t="shared" si="8"/>
        <v>1.0000012091491755</v>
      </c>
      <c r="L38" s="349">
        <f t="shared" si="9"/>
        <v>1.555087108195188E-3</v>
      </c>
      <c r="M38" s="337">
        <f t="shared" si="10"/>
        <v>1.0000000041963331</v>
      </c>
      <c r="N38" s="340">
        <f t="shared" si="11"/>
        <v>9.1611496852711766E-5</v>
      </c>
      <c r="O38" s="341">
        <f t="shared" si="12"/>
        <v>1.0000000000540541</v>
      </c>
      <c r="P38" s="342">
        <f t="shared" si="13"/>
        <v>1.2898462488196926E-4</v>
      </c>
      <c r="Q38" s="343">
        <f t="shared" si="14"/>
        <v>79.480048964950612</v>
      </c>
      <c r="R38" s="344">
        <f t="shared" si="15"/>
        <v>-80.641423728436337</v>
      </c>
      <c r="S38" s="346">
        <f t="shared" si="16"/>
        <v>99.358576271563663</v>
      </c>
      <c r="U38" s="319">
        <f t="shared" si="23"/>
        <v>1000000000</v>
      </c>
      <c r="V38" s="319">
        <f t="shared" si="24"/>
        <v>100</v>
      </c>
      <c r="X38" s="345">
        <f t="shared" si="17"/>
        <v>81.978278230940447</v>
      </c>
      <c r="Y38" s="346">
        <f t="shared" si="18"/>
        <v>-80.505289204251568</v>
      </c>
      <c r="AA38" s="345">
        <f t="shared" si="19"/>
        <v>59.741512068400134</v>
      </c>
      <c r="AB38" s="346">
        <f t="shared" si="20"/>
        <v>-0.13613452418474659</v>
      </c>
      <c r="AD38">
        <f t="shared" si="25"/>
        <v>0</v>
      </c>
      <c r="AE38">
        <f t="shared" si="21"/>
        <v>0</v>
      </c>
    </row>
    <row r="39" spans="1:31" x14ac:dyDescent="0.25">
      <c r="A39" s="347">
        <v>10.965</v>
      </c>
      <c r="B39" s="364">
        <f t="shared" si="22"/>
        <v>1.0964999999999999E-2</v>
      </c>
      <c r="C39" s="337">
        <f t="shared" si="0"/>
        <v>1.0000030761542902</v>
      </c>
      <c r="D39" s="338">
        <f t="shared" si="1"/>
        <v>2.4803815854142655E-3</v>
      </c>
      <c r="E39" s="338">
        <f t="shared" si="2"/>
        <v>1.0000000001367004</v>
      </c>
      <c r="F39" s="339">
        <f t="shared" si="3"/>
        <v>1.6534830433973124E-5</v>
      </c>
      <c r="G39" s="338">
        <f t="shared" si="4"/>
        <v>1</v>
      </c>
      <c r="H39" s="339">
        <f t="shared" si="5"/>
        <v>0</v>
      </c>
      <c r="I39" s="337">
        <f t="shared" si="6"/>
        <v>6.6907889866076236</v>
      </c>
      <c r="J39" s="340">
        <f t="shared" si="7"/>
        <v>1.420775015342598</v>
      </c>
      <c r="K39" s="348">
        <f t="shared" si="8"/>
        <v>1.0000014537746877</v>
      </c>
      <c r="L39" s="349">
        <f t="shared" si="9"/>
        <v>1.7051527360536977E-3</v>
      </c>
      <c r="M39" s="337">
        <f t="shared" si="10"/>
        <v>1.0000000050453028</v>
      </c>
      <c r="N39" s="340">
        <f t="shared" si="11"/>
        <v>1.0045200624214465E-4</v>
      </c>
      <c r="O39" s="341">
        <f t="shared" si="12"/>
        <v>1.0000000000649898</v>
      </c>
      <c r="P39" s="342">
        <f t="shared" si="13"/>
        <v>1.4143164126087285E-4</v>
      </c>
      <c r="Q39" s="343">
        <f t="shared" si="14"/>
        <v>78.699456555003991</v>
      </c>
      <c r="R39" s="344">
        <f t="shared" si="15"/>
        <v>-81.461740987210717</v>
      </c>
      <c r="S39" s="346">
        <f t="shared" si="16"/>
        <v>98.538259012789283</v>
      </c>
      <c r="U39" s="319">
        <f t="shared" si="23"/>
        <v>1000000000</v>
      </c>
      <c r="V39" s="319">
        <f t="shared" si="24"/>
        <v>120.23122499999999</v>
      </c>
      <c r="X39" s="345">
        <f t="shared" si="17"/>
        <v>81.197690316881236</v>
      </c>
      <c r="Y39" s="346">
        <f t="shared" si="18"/>
        <v>-81.312469530478921</v>
      </c>
      <c r="AA39" s="345">
        <f t="shared" si="19"/>
        <v>59.741507572512731</v>
      </c>
      <c r="AB39" s="346">
        <f t="shared" si="20"/>
        <v>-0.14927145673179804</v>
      </c>
      <c r="AD39">
        <f t="shared" si="25"/>
        <v>0</v>
      </c>
      <c r="AE39">
        <f t="shared" si="21"/>
        <v>0</v>
      </c>
    </row>
    <row r="40" spans="1:31" x14ac:dyDescent="0.25">
      <c r="A40" s="347">
        <v>12.023</v>
      </c>
      <c r="B40" s="364">
        <f t="shared" si="22"/>
        <v>1.2022999999999999E-2</v>
      </c>
      <c r="C40" s="337">
        <f t="shared" si="0"/>
        <v>1.00000369842147</v>
      </c>
      <c r="D40" s="338">
        <f t="shared" si="1"/>
        <v>2.719709569550588E-3</v>
      </c>
      <c r="E40" s="338">
        <f t="shared" si="2"/>
        <v>1.000000000164353</v>
      </c>
      <c r="F40" s="339">
        <f t="shared" si="3"/>
        <v>1.8130256844869494E-5</v>
      </c>
      <c r="G40" s="338">
        <f t="shared" si="4"/>
        <v>1</v>
      </c>
      <c r="H40" s="339">
        <f t="shared" si="5"/>
        <v>0</v>
      </c>
      <c r="I40" s="337">
        <f t="shared" si="6"/>
        <v>7.322575768920971</v>
      </c>
      <c r="J40" s="340">
        <f t="shared" si="7"/>
        <v>1.4338042768569172</v>
      </c>
      <c r="K40" s="348">
        <f t="shared" si="8"/>
        <v>1.0000017478552417</v>
      </c>
      <c r="L40" s="349">
        <f t="shared" si="9"/>
        <v>1.8696805587115092E-3</v>
      </c>
      <c r="M40" s="337">
        <f t="shared" si="10"/>
        <v>1.0000000060659058</v>
      </c>
      <c r="N40" s="340">
        <f t="shared" si="11"/>
        <v>1.1014450252873326E-4</v>
      </c>
      <c r="O40" s="341">
        <f t="shared" si="12"/>
        <v>1.0000000000781362</v>
      </c>
      <c r="P40" s="342">
        <f t="shared" si="13"/>
        <v>1.5507821468343594E-4</v>
      </c>
      <c r="Q40" s="343">
        <f t="shared" si="14"/>
        <v>77.91572287984755</v>
      </c>
      <c r="R40" s="344">
        <f t="shared" si="15"/>
        <v>-82.213794235564635</v>
      </c>
      <c r="S40" s="346">
        <f t="shared" si="16"/>
        <v>97.786205764435365</v>
      </c>
      <c r="U40" s="319">
        <f t="shared" si="23"/>
        <v>1000000000</v>
      </c>
      <c r="V40" s="319">
        <f t="shared" si="24"/>
        <v>144.55252899999999</v>
      </c>
      <c r="X40" s="345">
        <f t="shared" si="17"/>
        <v>80.413962046524546</v>
      </c>
      <c r="Y40" s="346">
        <f t="shared" si="18"/>
        <v>-82.050119815543923</v>
      </c>
      <c r="AA40" s="345">
        <f t="shared" si="19"/>
        <v>59.741502167712994</v>
      </c>
      <c r="AB40" s="346">
        <f t="shared" si="20"/>
        <v>-0.16367442002070121</v>
      </c>
      <c r="AD40">
        <f t="shared" si="25"/>
        <v>0</v>
      </c>
      <c r="AE40">
        <f t="shared" si="21"/>
        <v>0</v>
      </c>
    </row>
    <row r="41" spans="1:31" x14ac:dyDescent="0.25">
      <c r="A41" s="347">
        <v>13.183</v>
      </c>
      <c r="B41" s="364">
        <f t="shared" si="22"/>
        <v>1.3183E-2</v>
      </c>
      <c r="C41" s="337">
        <f t="shared" si="0"/>
        <v>1.0000044465077038</v>
      </c>
      <c r="D41" s="338">
        <f t="shared" si="1"/>
        <v>2.9821104029128889E-3</v>
      </c>
      <c r="E41" s="338">
        <f t="shared" si="2"/>
        <v>1.000000000197597</v>
      </c>
      <c r="F41" s="339">
        <f t="shared" si="3"/>
        <v>1.9879495631757248E-5</v>
      </c>
      <c r="G41" s="338">
        <f t="shared" si="4"/>
        <v>1</v>
      </c>
      <c r="H41" s="339">
        <f t="shared" si="5"/>
        <v>0</v>
      </c>
      <c r="I41" s="337">
        <f t="shared" si="6"/>
        <v>8.0164645077956944</v>
      </c>
      <c r="J41" s="340">
        <f t="shared" si="7"/>
        <v>1.4457272504949057</v>
      </c>
      <c r="K41" s="348">
        <f t="shared" si="8"/>
        <v>1.0000021013974187</v>
      </c>
      <c r="L41" s="349">
        <f t="shared" si="9"/>
        <v>2.050070115287194E-3</v>
      </c>
      <c r="M41" s="337">
        <f t="shared" si="10"/>
        <v>1.0000000072928699</v>
      </c>
      <c r="N41" s="340">
        <f t="shared" si="11"/>
        <v>1.2077143605161447E-4</v>
      </c>
      <c r="O41" s="341">
        <f t="shared" si="12"/>
        <v>1.0000000000939413</v>
      </c>
      <c r="P41" s="342">
        <f t="shared" si="13"/>
        <v>1.7004043132304064E-4</v>
      </c>
      <c r="Q41" s="343">
        <f t="shared" si="14"/>
        <v>77.129339443319225</v>
      </c>
      <c r="R41" s="344">
        <f t="shared" si="15"/>
        <v>-82.902995131392771</v>
      </c>
      <c r="S41" s="346">
        <f t="shared" si="16"/>
        <v>97.097004868607229</v>
      </c>
      <c r="U41" s="319">
        <f t="shared" si="23"/>
        <v>1000000000</v>
      </c>
      <c r="V41" s="319">
        <f t="shared" si="24"/>
        <v>173.79148899999998</v>
      </c>
      <c r="X41" s="345">
        <f t="shared" si="17"/>
        <v>79.627585107612745</v>
      </c>
      <c r="Y41" s="346">
        <f t="shared" si="18"/>
        <v>-82.723529203195895</v>
      </c>
      <c r="AA41" s="345">
        <f t="shared" si="19"/>
        <v>59.741495670096462</v>
      </c>
      <c r="AB41" s="346">
        <f t="shared" si="20"/>
        <v>-0.17946592819688159</v>
      </c>
      <c r="AD41">
        <f t="shared" si="25"/>
        <v>0</v>
      </c>
      <c r="AE41">
        <f t="shared" si="21"/>
        <v>0</v>
      </c>
    </row>
    <row r="42" spans="1:31" x14ac:dyDescent="0.25">
      <c r="A42" s="347">
        <v>14.454000000000001</v>
      </c>
      <c r="B42" s="364">
        <f t="shared" si="22"/>
        <v>1.4454E-2</v>
      </c>
      <c r="C42" s="337">
        <f t="shared" si="0"/>
        <v>1.0000053452306563</v>
      </c>
      <c r="D42" s="338">
        <f t="shared" si="1"/>
        <v>3.2696198087268325E-3</v>
      </c>
      <c r="E42" s="338">
        <f t="shared" si="2"/>
        <v>1.0000000002375353</v>
      </c>
      <c r="F42" s="339">
        <f t="shared" si="3"/>
        <v>2.1796118474836437E-5</v>
      </c>
      <c r="G42" s="338">
        <f t="shared" si="4"/>
        <v>1</v>
      </c>
      <c r="H42" s="339">
        <f t="shared" si="5"/>
        <v>0</v>
      </c>
      <c r="I42" s="337">
        <f t="shared" si="6"/>
        <v>8.7778427478969245</v>
      </c>
      <c r="J42" s="340">
        <f t="shared" si="7"/>
        <v>1.4566252436237361</v>
      </c>
      <c r="K42" s="348">
        <f t="shared" si="8"/>
        <v>1.0000025261300136</v>
      </c>
      <c r="L42" s="349">
        <f t="shared" si="9"/>
        <v>2.2477209327168958E-3</v>
      </c>
      <c r="M42" s="337">
        <f t="shared" si="10"/>
        <v>1.0000000087669003</v>
      </c>
      <c r="N42" s="340">
        <f t="shared" si="11"/>
        <v>1.3241525714743438E-4</v>
      </c>
      <c r="O42" s="341">
        <f t="shared" si="12"/>
        <v>1.0000000001129286</v>
      </c>
      <c r="P42" s="342">
        <f t="shared" si="13"/>
        <v>1.8643437735647706E-4</v>
      </c>
      <c r="Q42" s="343">
        <f t="shared" si="14"/>
        <v>76.341236869080134</v>
      </c>
      <c r="R42" s="344">
        <f t="shared" si="15"/>
        <v>-83.534049292749486</v>
      </c>
      <c r="S42" s="346">
        <f t="shared" si="16"/>
        <v>96.465950707250514</v>
      </c>
      <c r="U42" s="319">
        <f t="shared" si="23"/>
        <v>1000000000</v>
      </c>
      <c r="V42" s="319">
        <f t="shared" si="24"/>
        <v>208.91811600000003</v>
      </c>
      <c r="X42" s="345">
        <f t="shared" si="17"/>
        <v>78.839490339361845</v>
      </c>
      <c r="Y42" s="346">
        <f t="shared" si="18"/>
        <v>-83.337280799491921</v>
      </c>
      <c r="AA42" s="345">
        <f t="shared" si="19"/>
        <v>59.741487864108279</v>
      </c>
      <c r="AB42" s="346">
        <f t="shared" si="20"/>
        <v>-0.19676849325755999</v>
      </c>
      <c r="AD42">
        <f t="shared" si="25"/>
        <v>0</v>
      </c>
      <c r="AE42">
        <f t="shared" si="21"/>
        <v>0</v>
      </c>
    </row>
    <row r="43" spans="1:31" x14ac:dyDescent="0.25">
      <c r="A43" s="347">
        <v>15.849</v>
      </c>
      <c r="B43" s="364">
        <f t="shared" si="22"/>
        <v>1.5848999999999999E-2</v>
      </c>
      <c r="C43" s="337">
        <f t="shared" si="0"/>
        <v>1.0000064267861002</v>
      </c>
      <c r="D43" s="338">
        <f t="shared" si="1"/>
        <v>3.5851782886677439E-3</v>
      </c>
      <c r="E43" s="338">
        <f t="shared" si="2"/>
        <v>1.0000000002855987</v>
      </c>
      <c r="F43" s="339">
        <f t="shared" si="3"/>
        <v>2.389972891217752E-5</v>
      </c>
      <c r="G43" s="338">
        <f t="shared" si="4"/>
        <v>1</v>
      </c>
      <c r="H43" s="339">
        <f t="shared" si="5"/>
        <v>0</v>
      </c>
      <c r="I43" s="337">
        <f t="shared" si="6"/>
        <v>9.6145024102877752</v>
      </c>
      <c r="J43" s="340">
        <f t="shared" si="7"/>
        <v>1.4665983362129702</v>
      </c>
      <c r="K43" s="348">
        <f t="shared" si="8"/>
        <v>1.0000030372687227</v>
      </c>
      <c r="L43" s="349">
        <f t="shared" si="9"/>
        <v>2.4646545539926215E-3</v>
      </c>
      <c r="M43" s="337">
        <f t="shared" si="10"/>
        <v>1.0000000105408029</v>
      </c>
      <c r="N43" s="340">
        <f t="shared" si="11"/>
        <v>1.451950607477391E-4</v>
      </c>
      <c r="O43" s="341">
        <f t="shared" si="12"/>
        <v>1.0000000001357785</v>
      </c>
      <c r="P43" s="342">
        <f t="shared" si="13"/>
        <v>2.0442773281574407E-4</v>
      </c>
      <c r="Q43" s="343">
        <f t="shared" si="14"/>
        <v>75.550451573228074</v>
      </c>
      <c r="R43" s="344">
        <f t="shared" si="15"/>
        <v>-84.112758839760275</v>
      </c>
      <c r="S43" s="346">
        <f t="shared" si="16"/>
        <v>95.887241160239725</v>
      </c>
      <c r="U43" s="319">
        <f t="shared" si="23"/>
        <v>1000000000</v>
      </c>
      <c r="V43" s="319">
        <f t="shared" si="24"/>
        <v>251.19080099999999</v>
      </c>
      <c r="X43" s="345">
        <f t="shared" si="17"/>
        <v>78.048714437506717</v>
      </c>
      <c r="Y43" s="346">
        <f t="shared" si="18"/>
        <v>-83.89699976206353</v>
      </c>
      <c r="AA43" s="345">
        <f t="shared" si="19"/>
        <v>59.741478470111346</v>
      </c>
      <c r="AB43" s="346">
        <f t="shared" si="20"/>
        <v>-0.21575907769673314</v>
      </c>
      <c r="AD43">
        <f t="shared" si="25"/>
        <v>0</v>
      </c>
      <c r="AE43">
        <f t="shared" si="21"/>
        <v>0</v>
      </c>
    </row>
    <row r="44" spans="1:31" x14ac:dyDescent="0.25">
      <c r="A44" s="347">
        <v>17.378</v>
      </c>
      <c r="B44" s="364">
        <f t="shared" si="22"/>
        <v>1.7378000000000001E-2</v>
      </c>
      <c r="C44" s="337">
        <f t="shared" si="0"/>
        <v>1.00000772661759</v>
      </c>
      <c r="D44" s="338">
        <f t="shared" si="1"/>
        <v>3.9310476567379392E-3</v>
      </c>
      <c r="E44" s="338">
        <f t="shared" si="2"/>
        <v>1.0000000003433616</v>
      </c>
      <c r="F44" s="339">
        <f t="shared" si="3"/>
        <v>2.6205406588417381E-5</v>
      </c>
      <c r="G44" s="338">
        <f t="shared" si="4"/>
        <v>1</v>
      </c>
      <c r="H44" s="339">
        <f t="shared" si="5"/>
        <v>0</v>
      </c>
      <c r="I44" s="337">
        <f t="shared" si="6"/>
        <v>10.53244489863806</v>
      </c>
      <c r="J44" s="340">
        <f t="shared" si="7"/>
        <v>1.4757083815286938</v>
      </c>
      <c r="K44" s="348">
        <f t="shared" si="8"/>
        <v>1.0000036515641904</v>
      </c>
      <c r="L44" s="349">
        <f t="shared" si="9"/>
        <v>2.7024259763286699E-3</v>
      </c>
      <c r="M44" s="337">
        <f t="shared" si="10"/>
        <v>1.0000000126727115</v>
      </c>
      <c r="N44" s="340">
        <f t="shared" si="11"/>
        <v>1.5920245833100235E-4</v>
      </c>
      <c r="O44" s="341">
        <f t="shared" si="12"/>
        <v>1.0000000001632401</v>
      </c>
      <c r="P44" s="342">
        <f t="shared" si="13"/>
        <v>2.2414948235087179E-4</v>
      </c>
      <c r="Q44" s="343">
        <f t="shared" si="14"/>
        <v>74.758397938311575</v>
      </c>
      <c r="R44" s="344">
        <f t="shared" si="15"/>
        <v>-84.642719976371012</v>
      </c>
      <c r="S44" s="346">
        <f t="shared" si="16"/>
        <v>95.357280023628988</v>
      </c>
      <c r="U44" s="319">
        <f t="shared" si="23"/>
        <v>1000000000</v>
      </c>
      <c r="V44" s="319">
        <f t="shared" si="24"/>
        <v>301.99488400000001</v>
      </c>
      <c r="X44" s="345">
        <f t="shared" si="17"/>
        <v>77.256672092439985</v>
      </c>
      <c r="Y44" s="346">
        <f t="shared" si="18"/>
        <v>-84.406146176184009</v>
      </c>
      <c r="AA44" s="345">
        <f t="shared" si="19"/>
        <v>59.741467180261566</v>
      </c>
      <c r="AB44" s="346">
        <f t="shared" si="20"/>
        <v>-0.23657380018700733</v>
      </c>
      <c r="AD44">
        <f t="shared" si="25"/>
        <v>0</v>
      </c>
      <c r="AE44">
        <f t="shared" si="21"/>
        <v>0</v>
      </c>
    </row>
    <row r="45" spans="1:31" x14ac:dyDescent="0.25">
      <c r="A45" s="347">
        <v>19.055</v>
      </c>
      <c r="B45" s="364">
        <f t="shared" si="22"/>
        <v>1.9054999999999999E-2</v>
      </c>
      <c r="C45" s="337">
        <f t="shared" si="0"/>
        <v>1.0000092898221447</v>
      </c>
      <c r="D45" s="338">
        <f t="shared" si="1"/>
        <v>4.3103944664106544E-3</v>
      </c>
      <c r="E45" s="338">
        <f t="shared" si="2"/>
        <v>1.0000000004128289</v>
      </c>
      <c r="F45" s="339">
        <f t="shared" si="3"/>
        <v>2.8734263006051778E-5</v>
      </c>
      <c r="G45" s="338">
        <f t="shared" si="4"/>
        <v>1</v>
      </c>
      <c r="H45" s="339">
        <f t="shared" si="5"/>
        <v>0</v>
      </c>
      <c r="I45" s="337">
        <f t="shared" si="6"/>
        <v>11.540077335438465</v>
      </c>
      <c r="J45" s="340">
        <f t="shared" si="7"/>
        <v>1.4840329784998652</v>
      </c>
      <c r="K45" s="348">
        <f t="shared" si="8"/>
        <v>1.0000043903293345</v>
      </c>
      <c r="L45" s="349">
        <f t="shared" si="9"/>
        <v>2.9632122003309296E-3</v>
      </c>
      <c r="M45" s="337">
        <f t="shared" si="10"/>
        <v>1.0000000152365931</v>
      </c>
      <c r="N45" s="340">
        <f t="shared" si="11"/>
        <v>1.7456570596800845E-4</v>
      </c>
      <c r="O45" s="341">
        <f t="shared" si="12"/>
        <v>1.0000000001962663</v>
      </c>
      <c r="P45" s="342">
        <f t="shared" si="13"/>
        <v>2.4578020447064188E-4</v>
      </c>
      <c r="Q45" s="343">
        <f t="shared" si="14"/>
        <v>73.964800285815329</v>
      </c>
      <c r="R45" s="344">
        <f t="shared" si="15"/>
        <v>-85.12845197623183</v>
      </c>
      <c r="S45" s="346">
        <f t="shared" si="16"/>
        <v>94.87154802376817</v>
      </c>
      <c r="U45" s="319">
        <f t="shared" si="23"/>
        <v>1000000000</v>
      </c>
      <c r="V45" s="319">
        <f t="shared" si="24"/>
        <v>363.09302500000001</v>
      </c>
      <c r="X45" s="345">
        <f t="shared" si="17"/>
        <v>76.463088017333931</v>
      </c>
      <c r="Y45" s="346">
        <f t="shared" si="18"/>
        <v>-84.869048748567181</v>
      </c>
      <c r="AA45" s="345">
        <f t="shared" si="19"/>
        <v>59.741453602871374</v>
      </c>
      <c r="AB45" s="346">
        <f t="shared" si="20"/>
        <v>-0.2594032276646509</v>
      </c>
      <c r="AD45">
        <f t="shared" si="25"/>
        <v>0</v>
      </c>
      <c r="AE45">
        <f t="shared" si="21"/>
        <v>0</v>
      </c>
    </row>
    <row r="46" spans="1:31" x14ac:dyDescent="0.25">
      <c r="A46" s="347">
        <v>20.893000000000001</v>
      </c>
      <c r="B46" s="364">
        <f t="shared" si="22"/>
        <v>2.0893000000000002E-2</v>
      </c>
      <c r="C46" s="337">
        <f t="shared" si="0"/>
        <v>1.0000111683931558</v>
      </c>
      <c r="D46" s="338">
        <f t="shared" si="1"/>
        <v>4.7261589505063484E-3</v>
      </c>
      <c r="E46" s="338">
        <f t="shared" si="2"/>
        <v>1.0000000004963108</v>
      </c>
      <c r="F46" s="339">
        <f t="shared" si="3"/>
        <v>3.1505901703071521E-5</v>
      </c>
      <c r="G46" s="338">
        <f t="shared" si="4"/>
        <v>1</v>
      </c>
      <c r="H46" s="339">
        <f t="shared" si="5"/>
        <v>0</v>
      </c>
      <c r="I46" s="337">
        <f t="shared" si="6"/>
        <v>12.645212402455142</v>
      </c>
      <c r="J46" s="340">
        <f t="shared" si="7"/>
        <v>1.4916323537892306</v>
      </c>
      <c r="K46" s="348">
        <f t="shared" si="8"/>
        <v>1.0000052781363968</v>
      </c>
      <c r="L46" s="349">
        <f t="shared" si="9"/>
        <v>3.2490346816408154E-3</v>
      </c>
      <c r="M46" s="337">
        <f t="shared" si="10"/>
        <v>1.0000000183177264</v>
      </c>
      <c r="N46" s="340">
        <f t="shared" si="11"/>
        <v>1.9140389857244422E-4</v>
      </c>
      <c r="O46" s="341">
        <f t="shared" si="12"/>
        <v>1.0000000002359553</v>
      </c>
      <c r="P46" s="342">
        <f t="shared" si="13"/>
        <v>2.694875792314903E-4</v>
      </c>
      <c r="Q46" s="343">
        <f t="shared" si="14"/>
        <v>73.170443466394971</v>
      </c>
      <c r="R46" s="344">
        <f t="shared" si="15"/>
        <v>-85.573473522786429</v>
      </c>
      <c r="S46" s="346">
        <f t="shared" si="16"/>
        <v>94.426526477213571</v>
      </c>
      <c r="U46" s="319">
        <f t="shared" si="23"/>
        <v>1000000000</v>
      </c>
      <c r="V46" s="319">
        <f t="shared" si="24"/>
        <v>436.51744900000006</v>
      </c>
      <c r="X46" s="345">
        <f t="shared" si="17"/>
        <v>75.668747514426769</v>
      </c>
      <c r="Y46" s="346">
        <f t="shared" si="18"/>
        <v>-85.289049215565612</v>
      </c>
      <c r="AA46" s="345">
        <f t="shared" si="19"/>
        <v>59.741437286358178</v>
      </c>
      <c r="AB46" s="346">
        <f t="shared" si="20"/>
        <v>-0.28442430722081619</v>
      </c>
      <c r="AD46">
        <f t="shared" si="25"/>
        <v>0</v>
      </c>
      <c r="AE46">
        <f t="shared" si="21"/>
        <v>0</v>
      </c>
    </row>
    <row r="47" spans="1:31" x14ac:dyDescent="0.25">
      <c r="A47" s="347">
        <v>22.909000000000002</v>
      </c>
      <c r="B47" s="364">
        <f t="shared" si="22"/>
        <v>2.2909000000000002E-2</v>
      </c>
      <c r="C47" s="337">
        <f t="shared" si="0"/>
        <v>1.000013427676175</v>
      </c>
      <c r="D47" s="338">
        <f t="shared" si="1"/>
        <v>5.182186010688857E-3</v>
      </c>
      <c r="E47" s="338">
        <f t="shared" si="2"/>
        <v>1.0000000005967116</v>
      </c>
      <c r="F47" s="339">
        <f t="shared" si="3"/>
        <v>3.4545958075305359E-5</v>
      </c>
      <c r="G47" s="338">
        <f t="shared" si="4"/>
        <v>1</v>
      </c>
      <c r="H47" s="339">
        <f t="shared" si="5"/>
        <v>0</v>
      </c>
      <c r="I47" s="337">
        <f t="shared" si="6"/>
        <v>13.858072930746616</v>
      </c>
      <c r="J47" s="340">
        <f t="shared" si="7"/>
        <v>1.4985734505227188</v>
      </c>
      <c r="K47" s="348">
        <f t="shared" si="8"/>
        <v>1.0000063458679846</v>
      </c>
      <c r="L47" s="349">
        <f t="shared" si="9"/>
        <v>3.5625368563438771E-3</v>
      </c>
      <c r="M47" s="337">
        <f t="shared" si="10"/>
        <v>1.0000000220232914</v>
      </c>
      <c r="N47" s="340">
        <f t="shared" si="11"/>
        <v>2.0987277564561528E-4</v>
      </c>
      <c r="O47" s="341">
        <f t="shared" si="12"/>
        <v>1.0000000002836877</v>
      </c>
      <c r="P47" s="342">
        <f t="shared" si="13"/>
        <v>2.9549088055502427E-4</v>
      </c>
      <c r="Q47" s="343">
        <f t="shared" si="14"/>
        <v>72.37489880624085</v>
      </c>
      <c r="R47" s="344">
        <f t="shared" si="15"/>
        <v>-85.981709031415647</v>
      </c>
      <c r="S47" s="346">
        <f t="shared" si="16"/>
        <v>94.018290968584353</v>
      </c>
      <c r="U47" s="319">
        <f t="shared" si="23"/>
        <v>1000000000</v>
      </c>
      <c r="V47" s="319">
        <f t="shared" si="24"/>
        <v>524.82228100000009</v>
      </c>
      <c r="X47" s="345">
        <f t="shared" si="17"/>
        <v>74.873222477456821</v>
      </c>
      <c r="Y47" s="346">
        <f t="shared" si="18"/>
        <v>-85.669840601251622</v>
      </c>
      <c r="AA47" s="345">
        <f t="shared" si="19"/>
        <v>59.741417663174019</v>
      </c>
      <c r="AB47" s="346">
        <f t="shared" si="20"/>
        <v>-0.31186843016402638</v>
      </c>
      <c r="AD47">
        <f t="shared" si="25"/>
        <v>0</v>
      </c>
      <c r="AE47">
        <f t="shared" si="21"/>
        <v>0</v>
      </c>
    </row>
    <row r="48" spans="1:31" x14ac:dyDescent="0.25">
      <c r="A48" s="347">
        <v>25.119</v>
      </c>
      <c r="B48" s="364">
        <f t="shared" si="22"/>
        <v>2.5118999999999999E-2</v>
      </c>
      <c r="C48" s="337">
        <f t="shared" si="0"/>
        <v>1.0000161433140986</v>
      </c>
      <c r="D48" s="338">
        <f t="shared" si="1"/>
        <v>5.6820941437773073E-3</v>
      </c>
      <c r="E48" s="338">
        <f t="shared" si="2"/>
        <v>1.0000000007173926</v>
      </c>
      <c r="F48" s="339">
        <f t="shared" si="3"/>
        <v>3.787855955405214E-5</v>
      </c>
      <c r="G48" s="338">
        <f t="shared" si="4"/>
        <v>1</v>
      </c>
      <c r="H48" s="339">
        <f t="shared" si="5"/>
        <v>0</v>
      </c>
      <c r="I48" s="337">
        <f t="shared" si="6"/>
        <v>15.188285916645736</v>
      </c>
      <c r="J48" s="340">
        <f t="shared" si="7"/>
        <v>1.5049084506063857</v>
      </c>
      <c r="K48" s="348">
        <f t="shared" si="8"/>
        <v>1.0000076292734594</v>
      </c>
      <c r="L48" s="349">
        <f t="shared" si="9"/>
        <v>3.9062065882060448E-3</v>
      </c>
      <c r="M48" s="337">
        <f t="shared" si="10"/>
        <v>1.0000000264773581</v>
      </c>
      <c r="N48" s="340">
        <f t="shared" si="11"/>
        <v>2.3011891552613648E-4</v>
      </c>
      <c r="O48" s="341">
        <f t="shared" si="12"/>
        <v>1.0000000003410618</v>
      </c>
      <c r="P48" s="342">
        <f t="shared" si="13"/>
        <v>3.2399648391815837E-4</v>
      </c>
      <c r="Q48" s="343">
        <f t="shared" si="14"/>
        <v>71.578767898232257</v>
      </c>
      <c r="R48" s="344">
        <f t="shared" si="15"/>
        <v>-86.356231925973105</v>
      </c>
      <c r="S48" s="346">
        <f t="shared" si="16"/>
        <v>93.643768074026895</v>
      </c>
      <c r="U48" s="319">
        <f t="shared" si="23"/>
        <v>1000000000</v>
      </c>
      <c r="V48" s="319">
        <f t="shared" si="24"/>
        <v>630.96416099999999</v>
      </c>
      <c r="X48" s="345">
        <f t="shared" si="17"/>
        <v>74.077115156280883</v>
      </c>
      <c r="Y48" s="346">
        <f t="shared" si="18"/>
        <v>-86.014278562838811</v>
      </c>
      <c r="AA48" s="345">
        <f t="shared" si="19"/>
        <v>59.741394076341344</v>
      </c>
      <c r="AB48" s="346">
        <f t="shared" si="20"/>
        <v>-0.34195336313428609</v>
      </c>
      <c r="AD48">
        <f t="shared" si="25"/>
        <v>0</v>
      </c>
      <c r="AE48">
        <f t="shared" si="21"/>
        <v>0</v>
      </c>
    </row>
    <row r="49" spans="1:31" x14ac:dyDescent="0.25">
      <c r="A49" s="347">
        <v>27.542000000000002</v>
      </c>
      <c r="B49" s="364">
        <f t="shared" si="22"/>
        <v>2.7542000000000001E-2</v>
      </c>
      <c r="C49" s="337">
        <f t="shared" si="0"/>
        <v>1.0000194078865139</v>
      </c>
      <c r="D49" s="338">
        <f t="shared" si="1"/>
        <v>6.2301801949597073E-3</v>
      </c>
      <c r="E49" s="338">
        <f t="shared" si="2"/>
        <v>1.0000000008624683</v>
      </c>
      <c r="F49" s="339">
        <f t="shared" si="3"/>
        <v>4.1532357463943775E-5</v>
      </c>
      <c r="G49" s="338">
        <f t="shared" si="4"/>
        <v>1</v>
      </c>
      <c r="H49" s="339">
        <f t="shared" si="5"/>
        <v>0</v>
      </c>
      <c r="I49" s="337">
        <f t="shared" si="6"/>
        <v>16.647288084940428</v>
      </c>
      <c r="J49" s="340">
        <f t="shared" si="7"/>
        <v>1.5106902980395776</v>
      </c>
      <c r="K49" s="348">
        <f t="shared" si="8"/>
        <v>1.0000091721067959</v>
      </c>
      <c r="L49" s="349">
        <f t="shared" si="9"/>
        <v>4.2829981765287375E-3</v>
      </c>
      <c r="M49" s="337">
        <f t="shared" si="10"/>
        <v>1.0000000318317785</v>
      </c>
      <c r="N49" s="340">
        <f t="shared" si="11"/>
        <v>2.5231637998315506E-4</v>
      </c>
      <c r="O49" s="341">
        <f t="shared" si="12"/>
        <v>1.0000000004100338</v>
      </c>
      <c r="P49" s="342">
        <f t="shared" si="13"/>
        <v>3.5524946021061785E-4</v>
      </c>
      <c r="Q49" s="343">
        <f t="shared" si="14"/>
        <v>70.782058275899473</v>
      </c>
      <c r="R49" s="344">
        <f t="shared" si="15"/>
        <v>-86.700174969321026</v>
      </c>
      <c r="S49" s="346">
        <f t="shared" si="16"/>
        <v>93.299825030678974</v>
      </c>
      <c r="U49" s="319">
        <f t="shared" si="23"/>
        <v>1000000000</v>
      </c>
      <c r="V49" s="319">
        <f t="shared" si="24"/>
        <v>758.56176400000004</v>
      </c>
      <c r="X49" s="345">
        <f t="shared" si="17"/>
        <v>73.280433888498763</v>
      </c>
      <c r="Y49" s="346">
        <f t="shared" si="18"/>
        <v>-86.325237272166959</v>
      </c>
      <c r="AA49" s="345">
        <f t="shared" si="19"/>
        <v>59.741365721790693</v>
      </c>
      <c r="AB49" s="346">
        <f t="shared" si="20"/>
        <v>-0.37493769715406883</v>
      </c>
      <c r="AD49">
        <f t="shared" si="25"/>
        <v>0</v>
      </c>
      <c r="AE49">
        <f t="shared" si="21"/>
        <v>0</v>
      </c>
    </row>
    <row r="50" spans="1:31" x14ac:dyDescent="0.25">
      <c r="A50" s="347">
        <v>30.2</v>
      </c>
      <c r="B50" s="364">
        <f t="shared" si="22"/>
        <v>3.0199999999999998E-2</v>
      </c>
      <c r="C50" s="337">
        <f t="shared" si="0"/>
        <v>1.0000233345983198</v>
      </c>
      <c r="D50" s="338">
        <f t="shared" si="1"/>
        <v>6.8314192633730855E-3</v>
      </c>
      <c r="E50" s="338">
        <f t="shared" si="2"/>
        <v>1.0000000010369698</v>
      </c>
      <c r="F50" s="339">
        <f t="shared" si="3"/>
        <v>4.5540527022917238E-5</v>
      </c>
      <c r="G50" s="338">
        <f t="shared" si="4"/>
        <v>1</v>
      </c>
      <c r="H50" s="339">
        <f t="shared" si="5"/>
        <v>0</v>
      </c>
      <c r="I50" s="337">
        <f t="shared" si="6"/>
        <v>18.248327561067899</v>
      </c>
      <c r="J50" s="340">
        <f t="shared" si="7"/>
        <v>1.5159693201819708</v>
      </c>
      <c r="K50" s="348">
        <f t="shared" si="8"/>
        <v>1.0000110278699996</v>
      </c>
      <c r="L50" s="349">
        <f t="shared" si="9"/>
        <v>4.6963323254694527E-3</v>
      </c>
      <c r="M50" s="337">
        <f t="shared" si="10"/>
        <v>1.0000000382722367</v>
      </c>
      <c r="N50" s="340">
        <f t="shared" si="11"/>
        <v>2.7666671421007743E-4</v>
      </c>
      <c r="O50" s="341">
        <f t="shared" si="12"/>
        <v>1.0000000004929956</v>
      </c>
      <c r="P50" s="342">
        <f t="shared" si="13"/>
        <v>3.895335757435215E-4</v>
      </c>
      <c r="Q50" s="343">
        <f t="shared" si="14"/>
        <v>69.984448776276636</v>
      </c>
      <c r="R50" s="344">
        <f t="shared" si="15"/>
        <v>-87.016536672539289</v>
      </c>
      <c r="S50" s="346">
        <f t="shared" si="16"/>
        <v>92.983463327460711</v>
      </c>
      <c r="U50" s="319">
        <f t="shared" si="23"/>
        <v>1000000000</v>
      </c>
      <c r="V50" s="319">
        <f t="shared" si="24"/>
        <v>912.04</v>
      </c>
      <c r="X50" s="345">
        <f t="shared" si="17"/>
        <v>72.482858494337307</v>
      </c>
      <c r="Y50" s="346">
        <f t="shared" si="18"/>
        <v>-86.605415830320339</v>
      </c>
      <c r="AA50" s="345">
        <f t="shared" si="19"/>
        <v>59.74133161632929</v>
      </c>
      <c r="AB50" s="346">
        <f t="shared" si="20"/>
        <v>-0.41112084221895029</v>
      </c>
      <c r="AD50">
        <f t="shared" si="25"/>
        <v>0</v>
      </c>
      <c r="AE50">
        <f t="shared" si="21"/>
        <v>0</v>
      </c>
    </row>
    <row r="51" spans="1:31" x14ac:dyDescent="0.25">
      <c r="A51" s="347">
        <v>33.113</v>
      </c>
      <c r="B51" s="364">
        <f t="shared" si="22"/>
        <v>3.3112999999999997E-2</v>
      </c>
      <c r="C51" s="337">
        <f t="shared" si="0"/>
        <v>1.0000280532044652</v>
      </c>
      <c r="D51" s="338">
        <f t="shared" si="1"/>
        <v>7.4903335923561095E-3</v>
      </c>
      <c r="E51" s="338">
        <f t="shared" si="2"/>
        <v>1.0000000012466637</v>
      </c>
      <c r="F51" s="339">
        <f t="shared" si="3"/>
        <v>4.9933227519836045E-5</v>
      </c>
      <c r="G51" s="338">
        <f t="shared" si="4"/>
        <v>1</v>
      </c>
      <c r="H51" s="339">
        <f t="shared" si="5"/>
        <v>0</v>
      </c>
      <c r="I51" s="337">
        <f t="shared" si="6"/>
        <v>20.003451711189978</v>
      </c>
      <c r="J51" s="340">
        <f t="shared" si="7"/>
        <v>1.5207841085812017</v>
      </c>
      <c r="K51" s="348">
        <f t="shared" si="8"/>
        <v>1.0000132578873915</v>
      </c>
      <c r="L51" s="349">
        <f t="shared" si="9"/>
        <v>5.1493185795589754E-3</v>
      </c>
      <c r="M51" s="337">
        <f t="shared" si="10"/>
        <v>1.0000000460115659</v>
      </c>
      <c r="N51" s="340">
        <f t="shared" si="11"/>
        <v>3.0335314107186309E-4</v>
      </c>
      <c r="O51" s="341">
        <f t="shared" si="12"/>
        <v>1.000000000592689</v>
      </c>
      <c r="P51" s="342">
        <f t="shared" si="13"/>
        <v>4.2710679994279762E-4</v>
      </c>
      <c r="Q51" s="343">
        <f t="shared" si="14"/>
        <v>69.186789612358353</v>
      </c>
      <c r="R51" s="344">
        <f t="shared" si="15"/>
        <v>-87.30763266057069</v>
      </c>
      <c r="S51" s="346">
        <f t="shared" si="16"/>
        <v>92.69236733942931</v>
      </c>
      <c r="U51" s="319">
        <f t="shared" si="23"/>
        <v>1000000000</v>
      </c>
      <c r="V51" s="319">
        <f t="shared" si="24"/>
        <v>1096.470769</v>
      </c>
      <c r="X51" s="345">
        <f t="shared" si="17"/>
        <v>71.685240313702764</v>
      </c>
      <c r="Y51" s="346">
        <f t="shared" si="18"/>
        <v>-86.856857704224822</v>
      </c>
      <c r="AA51" s="345">
        <f t="shared" si="19"/>
        <v>59.741290633045566</v>
      </c>
      <c r="AB51" s="346">
        <f t="shared" si="20"/>
        <v>-0.45077495634586245</v>
      </c>
      <c r="AD51">
        <f t="shared" si="25"/>
        <v>0</v>
      </c>
      <c r="AE51">
        <f t="shared" si="21"/>
        <v>0</v>
      </c>
    </row>
    <row r="52" spans="1:31" x14ac:dyDescent="0.25">
      <c r="A52" s="347">
        <v>36.308</v>
      </c>
      <c r="B52" s="364">
        <f t="shared" si="22"/>
        <v>3.6308E-2</v>
      </c>
      <c r="C52" s="337">
        <f t="shared" si="0"/>
        <v>1.0000337278641678</v>
      </c>
      <c r="D52" s="338">
        <f t="shared" si="1"/>
        <v>8.2130282138901441E-3</v>
      </c>
      <c r="E52" s="338">
        <f t="shared" si="2"/>
        <v>1.0000000014988455</v>
      </c>
      <c r="F52" s="339">
        <f t="shared" si="3"/>
        <v>5.4751173994666966E-5</v>
      </c>
      <c r="G52" s="338">
        <f t="shared" si="4"/>
        <v>1</v>
      </c>
      <c r="H52" s="339">
        <f t="shared" si="5"/>
        <v>0</v>
      </c>
      <c r="I52" s="337">
        <f t="shared" si="6"/>
        <v>21.928928632237934</v>
      </c>
      <c r="J52" s="340">
        <f t="shared" si="7"/>
        <v>1.5251786438779356</v>
      </c>
      <c r="K52" s="348">
        <f t="shared" si="8"/>
        <v>1.0000159397438808</v>
      </c>
      <c r="L52" s="349">
        <f t="shared" si="9"/>
        <v>5.6461548250325644E-3</v>
      </c>
      <c r="M52" s="337">
        <f t="shared" si="10"/>
        <v>1.0000000553190365</v>
      </c>
      <c r="N52" s="340">
        <f t="shared" si="11"/>
        <v>3.3262301143643425E-4</v>
      </c>
      <c r="O52" s="341">
        <f t="shared" si="12"/>
        <v>1.0000000007125824</v>
      </c>
      <c r="P52" s="342">
        <f t="shared" si="13"/>
        <v>4.6831739153313859E-4</v>
      </c>
      <c r="Q52" s="343">
        <f t="shared" si="14"/>
        <v>68.388514098833483</v>
      </c>
      <c r="R52" s="344">
        <f t="shared" si="15"/>
        <v>-87.576123903026783</v>
      </c>
      <c r="S52" s="346">
        <f t="shared" si="16"/>
        <v>92.423876096973217</v>
      </c>
      <c r="U52" s="319">
        <f t="shared" si="23"/>
        <v>1000000000</v>
      </c>
      <c r="V52" s="319">
        <f t="shared" si="24"/>
        <v>1318.2708640000001</v>
      </c>
      <c r="X52" s="345">
        <f t="shared" si="17"/>
        <v>70.887014086974233</v>
      </c>
      <c r="Y52" s="346">
        <f t="shared" si="18"/>
        <v>-87.081856449970061</v>
      </c>
      <c r="AA52" s="345">
        <f t="shared" si="19"/>
        <v>59.741241346249232</v>
      </c>
      <c r="AB52" s="346">
        <f t="shared" si="20"/>
        <v>-0.49426745305670061</v>
      </c>
      <c r="AD52">
        <f t="shared" si="25"/>
        <v>0</v>
      </c>
      <c r="AE52">
        <f t="shared" si="21"/>
        <v>0</v>
      </c>
    </row>
    <row r="53" spans="1:31" x14ac:dyDescent="0.25">
      <c r="A53" s="347">
        <v>39.811</v>
      </c>
      <c r="B53" s="364">
        <f t="shared" si="22"/>
        <v>3.9810999999999999E-2</v>
      </c>
      <c r="C53" s="337">
        <f t="shared" si="0"/>
        <v>1.000040549815127</v>
      </c>
      <c r="D53" s="338">
        <f t="shared" si="1"/>
        <v>9.00538116181962E-3</v>
      </c>
      <c r="E53" s="338">
        <f t="shared" si="2"/>
        <v>1.000000001802015</v>
      </c>
      <c r="F53" s="339">
        <f t="shared" si="3"/>
        <v>6.0033573522671079E-5</v>
      </c>
      <c r="G53" s="338">
        <f t="shared" si="4"/>
        <v>1</v>
      </c>
      <c r="H53" s="339">
        <f t="shared" si="5"/>
        <v>0</v>
      </c>
      <c r="I53" s="337">
        <f t="shared" si="6"/>
        <v>24.040427703545639</v>
      </c>
      <c r="J53" s="340">
        <f t="shared" si="7"/>
        <v>1.5291877241279161</v>
      </c>
      <c r="K53" s="348">
        <f t="shared" si="8"/>
        <v>1.0000191638233313</v>
      </c>
      <c r="L53" s="349">
        <f t="shared" si="9"/>
        <v>6.1908831830190603E-3</v>
      </c>
      <c r="M53" s="337">
        <f t="shared" si="10"/>
        <v>1.0000000665083424</v>
      </c>
      <c r="N53" s="340">
        <f t="shared" si="11"/>
        <v>3.6471451496960144E-4</v>
      </c>
      <c r="O53" s="341">
        <f t="shared" si="12"/>
        <v>1.0000000008567169</v>
      </c>
      <c r="P53" s="342">
        <f t="shared" si="13"/>
        <v>5.1350071084848453E-4</v>
      </c>
      <c r="Q53" s="343">
        <f t="shared" si="14"/>
        <v>67.589987238175425</v>
      </c>
      <c r="R53" s="344">
        <f t="shared" si="15"/>
        <v>-87.8241399872839</v>
      </c>
      <c r="S53" s="346">
        <f t="shared" si="16"/>
        <v>92.1758600127161</v>
      </c>
      <c r="U53" s="319">
        <f t="shared" si="23"/>
        <v>1000000000</v>
      </c>
      <c r="V53" s="319">
        <f t="shared" si="24"/>
        <v>1584.9157210000001</v>
      </c>
      <c r="X53" s="345">
        <f t="shared" si="17"/>
        <v>70.088546477447395</v>
      </c>
      <c r="Y53" s="346">
        <f t="shared" si="18"/>
        <v>-87.28218790006909</v>
      </c>
      <c r="AA53" s="345">
        <f t="shared" si="19"/>
        <v>59.741182095118013</v>
      </c>
      <c r="AB53" s="346">
        <f t="shared" si="20"/>
        <v>-0.54195208721480093</v>
      </c>
      <c r="AD53">
        <f t="shared" si="25"/>
        <v>0</v>
      </c>
      <c r="AE53">
        <f t="shared" si="21"/>
        <v>0</v>
      </c>
    </row>
    <row r="54" spans="1:31" x14ac:dyDescent="0.25">
      <c r="A54" s="347">
        <v>43.652000000000001</v>
      </c>
      <c r="B54" s="364">
        <f t="shared" si="22"/>
        <v>4.3652000000000003E-2</v>
      </c>
      <c r="C54" s="337">
        <f t="shared" si="0"/>
        <v>1.0000487516385943</v>
      </c>
      <c r="D54" s="338">
        <f t="shared" si="1"/>
        <v>9.8741742008896898E-3</v>
      </c>
      <c r="E54" s="338">
        <f t="shared" si="2"/>
        <v>1.000000002166509</v>
      </c>
      <c r="F54" s="339">
        <f t="shared" si="3"/>
        <v>6.5825665036669411E-5</v>
      </c>
      <c r="G54" s="338">
        <f t="shared" si="4"/>
        <v>1</v>
      </c>
      <c r="H54" s="339">
        <f t="shared" si="5"/>
        <v>0</v>
      </c>
      <c r="I54" s="337">
        <f t="shared" si="6"/>
        <v>26.356032146116966</v>
      </c>
      <c r="J54" s="340">
        <f t="shared" si="7"/>
        <v>1.5328452390777998</v>
      </c>
      <c r="K54" s="348">
        <f t="shared" si="8"/>
        <v>1.0000230400510279</v>
      </c>
      <c r="L54" s="349">
        <f t="shared" si="9"/>
        <v>6.7881674503082155E-3</v>
      </c>
      <c r="M54" s="337">
        <f t="shared" si="10"/>
        <v>1.0000000799610045</v>
      </c>
      <c r="N54" s="340">
        <f t="shared" si="11"/>
        <v>3.9990248586247058E-4</v>
      </c>
      <c r="O54" s="341">
        <f t="shared" si="12"/>
        <v>1.0000000010300072</v>
      </c>
      <c r="P54" s="342">
        <f t="shared" si="13"/>
        <v>5.6304371217322409E-4</v>
      </c>
      <c r="Q54" s="343">
        <f t="shared" si="14"/>
        <v>66.79119278098355</v>
      </c>
      <c r="R54" s="344">
        <f t="shared" si="15"/>
        <v>-88.053779329108266</v>
      </c>
      <c r="S54" s="346">
        <f t="shared" si="16"/>
        <v>91.946220670891734</v>
      </c>
      <c r="U54" s="319">
        <f t="shared" si="23"/>
        <v>1000000000</v>
      </c>
      <c r="V54" s="319">
        <f t="shared" si="24"/>
        <v>1905.497104</v>
      </c>
      <c r="X54" s="345">
        <f t="shared" si="17"/>
        <v>69.289823255547418</v>
      </c>
      <c r="Y54" s="346">
        <f t="shared" si="18"/>
        <v>-87.459542324942632</v>
      </c>
      <c r="AA54" s="345">
        <f t="shared" si="19"/>
        <v>59.741110859826101</v>
      </c>
      <c r="AB54" s="346">
        <f t="shared" si="20"/>
        <v>-0.59423700416561764</v>
      </c>
      <c r="AD54">
        <f t="shared" si="25"/>
        <v>0</v>
      </c>
      <c r="AE54">
        <f t="shared" si="21"/>
        <v>0</v>
      </c>
    </row>
    <row r="55" spans="1:31" x14ac:dyDescent="0.25">
      <c r="A55" s="347">
        <v>47.863</v>
      </c>
      <c r="B55" s="364">
        <f t="shared" si="22"/>
        <v>4.7863000000000003E-2</v>
      </c>
      <c r="C55" s="337">
        <f t="shared" si="0"/>
        <v>1.0000586109304557</v>
      </c>
      <c r="D55" s="338">
        <f t="shared" si="1"/>
        <v>1.0826640097257813E-2</v>
      </c>
      <c r="E55" s="338">
        <f t="shared" si="2"/>
        <v>1.000000002604666</v>
      </c>
      <c r="F55" s="339">
        <f t="shared" si="3"/>
        <v>7.2175703398006947E-5</v>
      </c>
      <c r="G55" s="338">
        <f t="shared" si="4"/>
        <v>1</v>
      </c>
      <c r="H55" s="339">
        <f t="shared" si="5"/>
        <v>0</v>
      </c>
      <c r="I55" s="337">
        <f t="shared" si="6"/>
        <v>28.895033724828242</v>
      </c>
      <c r="J55" s="340">
        <f t="shared" si="7"/>
        <v>1.5361813913563853</v>
      </c>
      <c r="K55" s="348">
        <f t="shared" si="8"/>
        <v>1.000027699629759</v>
      </c>
      <c r="L55" s="349">
        <f t="shared" si="9"/>
        <v>7.4429819807408171E-3</v>
      </c>
      <c r="M55" s="337">
        <f t="shared" si="10"/>
        <v>1.0000000961323983</v>
      </c>
      <c r="N55" s="340">
        <f t="shared" si="11"/>
        <v>4.3848008051137902E-4</v>
      </c>
      <c r="O55" s="341">
        <f t="shared" si="12"/>
        <v>1.0000000012383201</v>
      </c>
      <c r="P55" s="342">
        <f t="shared" si="13"/>
        <v>6.1735914684553405E-4</v>
      </c>
      <c r="Q55" s="343">
        <f t="shared" si="14"/>
        <v>65.99228393975126</v>
      </c>
      <c r="R55" s="344">
        <f t="shared" si="15"/>
        <v>-88.266939489890575</v>
      </c>
      <c r="S55" s="346">
        <f t="shared" si="16"/>
        <v>91.733060510109425</v>
      </c>
      <c r="U55" s="319">
        <f t="shared" si="23"/>
        <v>1000000000</v>
      </c>
      <c r="V55" s="319">
        <f t="shared" si="24"/>
        <v>2290.8667689999997</v>
      </c>
      <c r="X55" s="345">
        <f t="shared" si="17"/>
        <v>68.491000044442899</v>
      </c>
      <c r="Y55" s="346">
        <f t="shared" si="18"/>
        <v>-87.615381994896126</v>
      </c>
      <c r="AA55" s="345">
        <f t="shared" si="19"/>
        <v>59.74102522969833</v>
      </c>
      <c r="AB55" s="346">
        <f t="shared" si="20"/>
        <v>-0.65155749499444526</v>
      </c>
      <c r="AD55">
        <f t="shared" si="25"/>
        <v>0</v>
      </c>
      <c r="AE55">
        <f t="shared" si="21"/>
        <v>0</v>
      </c>
    </row>
    <row r="56" spans="1:31" x14ac:dyDescent="0.25">
      <c r="A56" s="347">
        <v>52.481000000000002</v>
      </c>
      <c r="B56" s="364">
        <f t="shared" si="22"/>
        <v>5.2481E-2</v>
      </c>
      <c r="C56" s="337">
        <f t="shared" si="0"/>
        <v>1.0000704661286939</v>
      </c>
      <c r="D56" s="338">
        <f t="shared" si="1"/>
        <v>1.1871140724181257E-2</v>
      </c>
      <c r="E56" s="338">
        <f t="shared" si="2"/>
        <v>1.0000000031315288</v>
      </c>
      <c r="F56" s="339">
        <f t="shared" si="3"/>
        <v>7.9139483289813634E-5</v>
      </c>
      <c r="G56" s="338">
        <f t="shared" si="4"/>
        <v>1</v>
      </c>
      <c r="H56" s="339">
        <f t="shared" si="5"/>
        <v>0</v>
      </c>
      <c r="I56" s="337">
        <f t="shared" si="6"/>
        <v>31.67974153181753</v>
      </c>
      <c r="J56" s="340">
        <f t="shared" si="7"/>
        <v>1.5392251682573852</v>
      </c>
      <c r="K56" s="348">
        <f t="shared" si="8"/>
        <v>1.0000333025215913</v>
      </c>
      <c r="L56" s="349">
        <f t="shared" si="9"/>
        <v>8.1610780418495104E-3</v>
      </c>
      <c r="M56" s="337">
        <f t="shared" si="10"/>
        <v>1.0000001155777254</v>
      </c>
      <c r="N56" s="340">
        <f t="shared" si="11"/>
        <v>4.8078626093228812E-4</v>
      </c>
      <c r="O56" s="341">
        <f t="shared" si="12"/>
        <v>1.0000000014888075</v>
      </c>
      <c r="P56" s="342">
        <f t="shared" si="13"/>
        <v>6.7692425869227395E-4</v>
      </c>
      <c r="Q56" s="343">
        <f t="shared" si="14"/>
        <v>65.193060993019415</v>
      </c>
      <c r="R56" s="344">
        <f t="shared" si="15"/>
        <v>-88.465474464262357</v>
      </c>
      <c r="S56" s="346">
        <f t="shared" si="16"/>
        <v>91.534525535737643</v>
      </c>
      <c r="U56" s="319">
        <f t="shared" si="23"/>
        <v>1000000000</v>
      </c>
      <c r="V56" s="319">
        <f t="shared" si="24"/>
        <v>2754.255361</v>
      </c>
      <c r="X56" s="345">
        <f t="shared" si="17"/>
        <v>67.691880061608742</v>
      </c>
      <c r="Y56" s="346">
        <f t="shared" si="18"/>
        <v>-87.751057657256808</v>
      </c>
      <c r="AA56" s="345">
        <f t="shared" si="19"/>
        <v>59.740922265800656</v>
      </c>
      <c r="AB56" s="346">
        <f t="shared" si="20"/>
        <v>-0.71441680700553867</v>
      </c>
      <c r="AD56">
        <f t="shared" si="25"/>
        <v>0</v>
      </c>
      <c r="AE56">
        <f t="shared" si="21"/>
        <v>0</v>
      </c>
    </row>
    <row r="57" spans="1:31" x14ac:dyDescent="0.25">
      <c r="A57" s="347">
        <v>57.544000000000004</v>
      </c>
      <c r="B57" s="364">
        <f t="shared" si="22"/>
        <v>5.7544000000000005E-2</v>
      </c>
      <c r="C57" s="337">
        <f t="shared" si="0"/>
        <v>1.0000847175152046</v>
      </c>
      <c r="D57" s="338">
        <f t="shared" si="1"/>
        <v>1.3016261733354965E-2</v>
      </c>
      <c r="E57" s="338">
        <f t="shared" si="2"/>
        <v>1.0000000037648902</v>
      </c>
      <c r="F57" s="339">
        <f t="shared" si="3"/>
        <v>8.6774307358970855E-5</v>
      </c>
      <c r="G57" s="338">
        <f t="shared" si="4"/>
        <v>1</v>
      </c>
      <c r="H57" s="339">
        <f t="shared" si="5"/>
        <v>0</v>
      </c>
      <c r="I57" s="337">
        <f t="shared" si="6"/>
        <v>34.733070118165912</v>
      </c>
      <c r="J57" s="340">
        <f t="shared" si="7"/>
        <v>1.5420013425962935</v>
      </c>
      <c r="K57" s="348">
        <f t="shared" si="8"/>
        <v>1.0000400379236578</v>
      </c>
      <c r="L57" s="349">
        <f t="shared" si="9"/>
        <v>8.9483616199600245E-3</v>
      </c>
      <c r="M57" s="337">
        <f t="shared" si="10"/>
        <v>1.0000001389536726</v>
      </c>
      <c r="N57" s="340">
        <f t="shared" si="11"/>
        <v>5.271691501293036E-4</v>
      </c>
      <c r="O57" s="341">
        <f t="shared" si="12"/>
        <v>1.0000000017899298</v>
      </c>
      <c r="P57" s="342">
        <f t="shared" si="13"/>
        <v>7.4222919022382883E-4</v>
      </c>
      <c r="Q57" s="343">
        <f t="shared" si="14"/>
        <v>64.393764648185169</v>
      </c>
      <c r="R57" s="344">
        <f t="shared" si="15"/>
        <v>-88.651001909392306</v>
      </c>
      <c r="S57" s="346">
        <f t="shared" si="16"/>
        <v>91.348998090607694</v>
      </c>
      <c r="U57" s="319">
        <f t="shared" si="23"/>
        <v>1000000000</v>
      </c>
      <c r="V57" s="319">
        <f t="shared" si="24"/>
        <v>3311.3119360000005</v>
      </c>
      <c r="X57" s="345">
        <f t="shared" si="17"/>
        <v>66.892707490255091</v>
      </c>
      <c r="Y57" s="346">
        <f t="shared" si="18"/>
        <v>-87.867670247688949</v>
      </c>
      <c r="AA57" s="345">
        <f t="shared" si="19"/>
        <v>59.740798492320053</v>
      </c>
      <c r="AB57" s="346">
        <f t="shared" si="20"/>
        <v>-0.78333166170336177</v>
      </c>
      <c r="AD57">
        <f t="shared" si="25"/>
        <v>0</v>
      </c>
      <c r="AE57">
        <f t="shared" si="21"/>
        <v>0</v>
      </c>
    </row>
    <row r="58" spans="1:31" x14ac:dyDescent="0.25">
      <c r="A58" s="347">
        <v>63.095999999999997</v>
      </c>
      <c r="B58" s="364">
        <f t="shared" si="22"/>
        <v>6.3095999999999999E-2</v>
      </c>
      <c r="C58" s="337">
        <f t="shared" si="0"/>
        <v>1.0001018528180754</v>
      </c>
      <c r="D58" s="338">
        <f t="shared" si="1"/>
        <v>1.427194267291184E-2</v>
      </c>
      <c r="E58" s="338">
        <f t="shared" si="2"/>
        <v>1.0000000045264308</v>
      </c>
      <c r="F58" s="339">
        <f t="shared" si="3"/>
        <v>9.5146526038195899E-5</v>
      </c>
      <c r="G58" s="338">
        <f t="shared" si="4"/>
        <v>1</v>
      </c>
      <c r="H58" s="339">
        <f t="shared" si="5"/>
        <v>0</v>
      </c>
      <c r="I58" s="337">
        <f t="shared" si="6"/>
        <v>38.081554495978864</v>
      </c>
      <c r="J58" s="340">
        <f t="shared" si="7"/>
        <v>1.5445338757156228</v>
      </c>
      <c r="K58" s="348">
        <f t="shared" si="8"/>
        <v>1.0000481363714389</v>
      </c>
      <c r="L58" s="349">
        <f t="shared" si="9"/>
        <v>9.8116706623207085E-3</v>
      </c>
      <c r="M58" s="337">
        <f t="shared" si="10"/>
        <v>1.0000001670604259</v>
      </c>
      <c r="N58" s="340">
        <f t="shared" si="11"/>
        <v>5.7803183778145002E-4</v>
      </c>
      <c r="O58" s="341">
        <f t="shared" si="12"/>
        <v>1.0000000021519957</v>
      </c>
      <c r="P58" s="342">
        <f t="shared" si="13"/>
        <v>8.1384147503090918E-4</v>
      </c>
      <c r="Q58" s="343">
        <f t="shared" si="14"/>
        <v>63.594256025562224</v>
      </c>
      <c r="R58" s="344">
        <f t="shared" si="15"/>
        <v>-88.825124228737238</v>
      </c>
      <c r="S58" s="346">
        <f t="shared" si="16"/>
        <v>91.174875771262762</v>
      </c>
      <c r="U58" s="319">
        <f t="shared" si="23"/>
        <v>1000000000</v>
      </c>
      <c r="V58" s="319">
        <f t="shared" si="24"/>
        <v>3981.1052159999995</v>
      </c>
      <c r="X58" s="345">
        <f t="shared" si="17"/>
        <v>66.093347685629183</v>
      </c>
      <c r="Y58" s="346">
        <f t="shared" si="18"/>
        <v>-87.966223959810634</v>
      </c>
      <c r="AA58" s="345">
        <f t="shared" si="19"/>
        <v>59.740649674323024</v>
      </c>
      <c r="AB58" s="346">
        <f t="shared" si="20"/>
        <v>-0.85890026892659654</v>
      </c>
      <c r="AD58">
        <f t="shared" si="25"/>
        <v>0</v>
      </c>
      <c r="AE58">
        <f t="shared" si="21"/>
        <v>0</v>
      </c>
    </row>
    <row r="59" spans="1:31" x14ac:dyDescent="0.25">
      <c r="A59" s="347">
        <v>69.183000000000007</v>
      </c>
      <c r="B59" s="364">
        <f t="shared" si="22"/>
        <v>6.9183000000000008E-2</v>
      </c>
      <c r="C59" s="337">
        <f t="shared" si="0"/>
        <v>1.0001224513851965</v>
      </c>
      <c r="D59" s="338">
        <f t="shared" si="1"/>
        <v>1.5648571258562703E-2</v>
      </c>
      <c r="E59" s="338">
        <f t="shared" si="2"/>
        <v>1.0000000054419056</v>
      </c>
      <c r="F59" s="339">
        <f t="shared" si="3"/>
        <v>1.0432550568788965E-4</v>
      </c>
      <c r="G59" s="338">
        <f t="shared" si="4"/>
        <v>1</v>
      </c>
      <c r="H59" s="339">
        <f t="shared" si="5"/>
        <v>0</v>
      </c>
      <c r="I59" s="337">
        <f t="shared" si="6"/>
        <v>41.752937917384642</v>
      </c>
      <c r="J59" s="340">
        <f t="shared" si="7"/>
        <v>1.5468436260206708</v>
      </c>
      <c r="K59" s="348">
        <f t="shared" si="8"/>
        <v>1.0000578717161268</v>
      </c>
      <c r="L59" s="349">
        <f t="shared" si="9"/>
        <v>1.0758152752054263E-2</v>
      </c>
      <c r="M59" s="337">
        <f t="shared" si="10"/>
        <v>1.0000002008485509</v>
      </c>
      <c r="N59" s="340">
        <f t="shared" si="11"/>
        <v>6.3379573558455869E-4</v>
      </c>
      <c r="O59" s="341">
        <f t="shared" si="12"/>
        <v>1.000000002587252</v>
      </c>
      <c r="P59" s="342">
        <f t="shared" si="13"/>
        <v>8.9235444401583814E-4</v>
      </c>
      <c r="Q59" s="343">
        <f t="shared" si="14"/>
        <v>62.794713961487716</v>
      </c>
      <c r="R59" s="344">
        <f t="shared" si="15"/>
        <v>-88.98927633288055</v>
      </c>
      <c r="S59" s="346">
        <f t="shared" si="16"/>
        <v>91.01072366711945</v>
      </c>
      <c r="U59" s="319">
        <f t="shared" si="23"/>
        <v>1000000000</v>
      </c>
      <c r="V59" s="319">
        <f t="shared" si="24"/>
        <v>4786.2874890000012</v>
      </c>
      <c r="X59" s="345">
        <f t="shared" si="17"/>
        <v>65.293984514200616</v>
      </c>
      <c r="Y59" s="346">
        <f t="shared" si="18"/>
        <v>-88.047528510978722</v>
      </c>
      <c r="AA59" s="345">
        <f t="shared" si="19"/>
        <v>59.740470781677082</v>
      </c>
      <c r="AB59" s="346">
        <f t="shared" si="20"/>
        <v>-0.94174782190183604</v>
      </c>
      <c r="AD59">
        <f t="shared" si="25"/>
        <v>0</v>
      </c>
      <c r="AE59">
        <f t="shared" si="21"/>
        <v>0</v>
      </c>
    </row>
    <row r="60" spans="1:31" x14ac:dyDescent="0.25">
      <c r="A60" s="347">
        <v>75.858000000000004</v>
      </c>
      <c r="B60" s="364">
        <f t="shared" si="22"/>
        <v>7.5858000000000009E-2</v>
      </c>
      <c r="C60" s="337">
        <f t="shared" si="0"/>
        <v>1.0001472184768763</v>
      </c>
      <c r="D60" s="338">
        <f t="shared" si="1"/>
        <v>1.7158112837863379E-2</v>
      </c>
      <c r="E60" s="338">
        <f t="shared" si="2"/>
        <v>1.0000000065426697</v>
      </c>
      <c r="F60" s="339">
        <f t="shared" si="3"/>
        <v>1.1439116841802693E-4</v>
      </c>
      <c r="G60" s="338">
        <f t="shared" si="4"/>
        <v>1</v>
      </c>
      <c r="H60" s="339">
        <f t="shared" si="5"/>
        <v>0</v>
      </c>
      <c r="I60" s="337">
        <f t="shared" si="6"/>
        <v>45.779187453046532</v>
      </c>
      <c r="J60" s="340">
        <f t="shared" si="7"/>
        <v>1.5489506017099204</v>
      </c>
      <c r="K60" s="348">
        <f t="shared" si="8"/>
        <v>1.0000695773389892</v>
      </c>
      <c r="L60" s="349">
        <f t="shared" si="9"/>
        <v>1.1796042137683716E-2</v>
      </c>
      <c r="M60" s="337">
        <f t="shared" si="10"/>
        <v>1.0000002414752862</v>
      </c>
      <c r="N60" s="340">
        <f t="shared" si="11"/>
        <v>6.9494638289453541E-4</v>
      </c>
      <c r="O60" s="341">
        <f t="shared" si="12"/>
        <v>1.0000000031106087</v>
      </c>
      <c r="P60" s="342">
        <f t="shared" si="13"/>
        <v>9.7845171784887775E-4</v>
      </c>
      <c r="Q60" s="343">
        <f t="shared" si="14"/>
        <v>61.994979380369912</v>
      </c>
      <c r="R60" s="344">
        <f t="shared" si="15"/>
        <v>-89.144880792115586</v>
      </c>
      <c r="S60" s="346">
        <f t="shared" si="16"/>
        <v>90.855119207884414</v>
      </c>
      <c r="U60" s="319">
        <f t="shared" si="23"/>
        <v>1000000000</v>
      </c>
      <c r="V60" s="319">
        <f t="shared" si="24"/>
        <v>5754.4361640000006</v>
      </c>
      <c r="X60" s="345">
        <f t="shared" si="17"/>
        <v>64.494465023290161</v>
      </c>
      <c r="Y60" s="346">
        <f t="shared" si="18"/>
        <v>-88.112286318190741</v>
      </c>
      <c r="AA60" s="345">
        <f t="shared" si="19"/>
        <v>59.740255691469734</v>
      </c>
      <c r="AB60" s="346">
        <f t="shared" si="20"/>
        <v>-1.0325944739248614</v>
      </c>
      <c r="AD60">
        <f t="shared" si="25"/>
        <v>0</v>
      </c>
      <c r="AE60">
        <f t="shared" si="21"/>
        <v>0</v>
      </c>
    </row>
    <row r="61" spans="1:31" x14ac:dyDescent="0.25">
      <c r="A61" s="347">
        <v>83.176000000000002</v>
      </c>
      <c r="B61" s="364">
        <f t="shared" si="22"/>
        <v>8.3176E-2</v>
      </c>
      <c r="C61" s="337">
        <f t="shared" si="0"/>
        <v>1.0001769901678697</v>
      </c>
      <c r="D61" s="338">
        <f t="shared" si="1"/>
        <v>1.8812977819160366E-2</v>
      </c>
      <c r="E61" s="338">
        <f t="shared" si="2"/>
        <v>1.0000000078658975</v>
      </c>
      <c r="F61" s="339">
        <f t="shared" si="3"/>
        <v>1.2542645226534428E-4</v>
      </c>
      <c r="G61" s="338">
        <f t="shared" si="4"/>
        <v>1</v>
      </c>
      <c r="H61" s="339">
        <f t="shared" si="5"/>
        <v>0</v>
      </c>
      <c r="I61" s="337">
        <f t="shared" si="6"/>
        <v>50.193478214378523</v>
      </c>
      <c r="J61" s="340">
        <f t="shared" si="7"/>
        <v>1.5508721015548843</v>
      </c>
      <c r="K61" s="348">
        <f t="shared" si="8"/>
        <v>1.0000836484783027</v>
      </c>
      <c r="L61" s="349">
        <f t="shared" si="9"/>
        <v>1.2933881693354639E-2</v>
      </c>
      <c r="M61" s="337">
        <f t="shared" si="10"/>
        <v>1.0000002903126526</v>
      </c>
      <c r="N61" s="340">
        <f t="shared" si="11"/>
        <v>7.6198764087738436E-4</v>
      </c>
      <c r="O61" s="341">
        <f t="shared" si="12"/>
        <v>1.0000000037397438</v>
      </c>
      <c r="P61" s="342">
        <f t="shared" si="13"/>
        <v>1.0728427147947439E-3</v>
      </c>
      <c r="Q61" s="343">
        <f t="shared" si="14"/>
        <v>61.195258388334452</v>
      </c>
      <c r="R61" s="344">
        <f t="shared" si="15"/>
        <v>-89.293215110220402</v>
      </c>
      <c r="S61" s="346">
        <f t="shared" si="16"/>
        <v>90.706784889779598</v>
      </c>
      <c r="U61" s="319">
        <f t="shared" si="23"/>
        <v>1000000000</v>
      </c>
      <c r="V61" s="319">
        <f t="shared" si="24"/>
        <v>6918.2469760000004</v>
      </c>
      <c r="X61" s="345">
        <f t="shared" si="17"/>
        <v>63.695002576935849</v>
      </c>
      <c r="Y61" s="346">
        <f t="shared" si="18"/>
        <v>-88.161027926530579</v>
      </c>
      <c r="AA61" s="345">
        <f t="shared" si="19"/>
        <v>59.739997145788564</v>
      </c>
      <c r="AB61" s="346">
        <f t="shared" si="20"/>
        <v>-1.1321871836898261</v>
      </c>
      <c r="AD61">
        <f t="shared" si="25"/>
        <v>0</v>
      </c>
      <c r="AE61">
        <f t="shared" si="21"/>
        <v>0</v>
      </c>
    </row>
    <row r="62" spans="1:31" x14ac:dyDescent="0.25">
      <c r="A62" s="347">
        <v>91.201000000000008</v>
      </c>
      <c r="B62" s="364">
        <f t="shared" si="22"/>
        <v>9.1201000000000004E-2</v>
      </c>
      <c r="C62" s="337">
        <f t="shared" si="0"/>
        <v>1.0002127867137764</v>
      </c>
      <c r="D62" s="338">
        <f t="shared" si="1"/>
        <v>2.0627602323344662E-2</v>
      </c>
      <c r="E62" s="338">
        <f t="shared" si="2"/>
        <v>1.0000000094569572</v>
      </c>
      <c r="F62" s="339">
        <f t="shared" si="3"/>
        <v>1.375278669438086E-4</v>
      </c>
      <c r="G62" s="338">
        <f t="shared" si="4"/>
        <v>1</v>
      </c>
      <c r="H62" s="339">
        <f t="shared" si="5"/>
        <v>0</v>
      </c>
      <c r="I62" s="337">
        <f t="shared" si="6"/>
        <v>55.034415659856222</v>
      </c>
      <c r="J62" s="340">
        <f t="shared" si="7"/>
        <v>1.5526248785525893</v>
      </c>
      <c r="K62" s="348">
        <f t="shared" si="8"/>
        <v>1.0001005674665708</v>
      </c>
      <c r="L62" s="349">
        <f t="shared" si="9"/>
        <v>1.4181610565418966E-2</v>
      </c>
      <c r="M62" s="337">
        <f t="shared" si="10"/>
        <v>1.0000003490350895</v>
      </c>
      <c r="N62" s="340">
        <f t="shared" si="11"/>
        <v>8.3550582036989425E-4</v>
      </c>
      <c r="O62" s="341">
        <f t="shared" si="12"/>
        <v>1.0000000044962332</v>
      </c>
      <c r="P62" s="342">
        <f t="shared" si="13"/>
        <v>1.1763529402060463E-3</v>
      </c>
      <c r="Q62" s="343">
        <f t="shared" si="14"/>
        <v>60.395352604971883</v>
      </c>
      <c r="R62" s="344">
        <f t="shared" si="15"/>
        <v>-89.435572182391766</v>
      </c>
      <c r="S62" s="346">
        <f t="shared" si="16"/>
        <v>90.564427817608234</v>
      </c>
      <c r="U62" s="319">
        <f t="shared" si="23"/>
        <v>1000000000</v>
      </c>
      <c r="V62" s="319">
        <f t="shared" si="24"/>
        <v>8317.6224010000005</v>
      </c>
      <c r="X62" s="345">
        <f t="shared" si="17"/>
        <v>62.895407650587657</v>
      </c>
      <c r="Y62" s="346">
        <f t="shared" si="18"/>
        <v>-88.194177334021091</v>
      </c>
      <c r="AA62" s="345">
        <f t="shared" si="19"/>
        <v>59.739686288774209</v>
      </c>
      <c r="AB62" s="346">
        <f t="shared" si="20"/>
        <v>-1.2413948483706954</v>
      </c>
      <c r="AD62">
        <f t="shared" si="25"/>
        <v>0</v>
      </c>
      <c r="AE62">
        <f t="shared" si="21"/>
        <v>0</v>
      </c>
    </row>
    <row r="63" spans="1:31" x14ac:dyDescent="0.25">
      <c r="A63" s="347">
        <v>100</v>
      </c>
      <c r="B63" s="364">
        <f t="shared" si="22"/>
        <v>0.1</v>
      </c>
      <c r="C63" s="337">
        <f t="shared" si="0"/>
        <v>1.0002558208650931</v>
      </c>
      <c r="D63" s="338">
        <f t="shared" si="1"/>
        <v>2.2617088232865425E-2</v>
      </c>
      <c r="E63" s="338">
        <f t="shared" si="2"/>
        <v>1.0000000113697842</v>
      </c>
      <c r="F63" s="339">
        <f t="shared" si="3"/>
        <v>1.5079644605698464E-4</v>
      </c>
      <c r="G63" s="338">
        <f t="shared" si="4"/>
        <v>1</v>
      </c>
      <c r="H63" s="339">
        <f t="shared" si="5"/>
        <v>0</v>
      </c>
      <c r="I63" s="337">
        <f t="shared" si="6"/>
        <v>60.342416377976093</v>
      </c>
      <c r="J63" s="340">
        <f t="shared" si="7"/>
        <v>1.5542234774121531</v>
      </c>
      <c r="K63" s="348">
        <f t="shared" si="8"/>
        <v>1.0001209076813087</v>
      </c>
      <c r="L63" s="349">
        <f t="shared" si="9"/>
        <v>1.5549630242725742E-2</v>
      </c>
      <c r="M63" s="337">
        <f t="shared" si="10"/>
        <v>1.0000004196332319</v>
      </c>
      <c r="N63" s="340">
        <f t="shared" si="11"/>
        <v>9.1611471480188445E-4</v>
      </c>
      <c r="O63" s="341">
        <f t="shared" si="12"/>
        <v>1.0000000054057288</v>
      </c>
      <c r="P63" s="342">
        <f t="shared" si="13"/>
        <v>1.2898465959941647E-3</v>
      </c>
      <c r="Q63" s="343">
        <f t="shared" si="14"/>
        <v>59.595388198518634</v>
      </c>
      <c r="R63" s="344">
        <f t="shared" si="15"/>
        <v>-89.573133565889151</v>
      </c>
      <c r="S63" s="346">
        <f t="shared" si="16"/>
        <v>90.426866434110849</v>
      </c>
      <c r="U63" s="319">
        <f t="shared" si="23"/>
        <v>1000000000</v>
      </c>
      <c r="V63" s="319">
        <f t="shared" si="24"/>
        <v>10000</v>
      </c>
      <c r="X63" s="345">
        <f t="shared" si="17"/>
        <v>62.095816937748765</v>
      </c>
      <c r="Y63" s="346">
        <f t="shared" si="18"/>
        <v>-88.212007097470504</v>
      </c>
      <c r="AA63" s="345">
        <f t="shared" si="19"/>
        <v>59.739312595159845</v>
      </c>
      <c r="AB63" s="346">
        <f t="shared" si="20"/>
        <v>-1.3611264684186437</v>
      </c>
      <c r="AD63">
        <f t="shared" si="25"/>
        <v>0</v>
      </c>
      <c r="AE63">
        <f t="shared" si="21"/>
        <v>0</v>
      </c>
    </row>
    <row r="64" spans="1:31" x14ac:dyDescent="0.25">
      <c r="A64" s="347">
        <v>109.65</v>
      </c>
      <c r="B64" s="364">
        <f t="shared" si="22"/>
        <v>0.10965000000000001</v>
      </c>
      <c r="C64" s="337">
        <f t="shared" si="0"/>
        <v>1.000307568602935</v>
      </c>
      <c r="D64" s="338">
        <f t="shared" si="1"/>
        <v>2.479878188869996E-2</v>
      </c>
      <c r="E64" s="338">
        <f t="shared" si="2"/>
        <v>1.0000000136700309</v>
      </c>
      <c r="F64" s="339">
        <f t="shared" si="3"/>
        <v>1.6534830284792242E-4</v>
      </c>
      <c r="G64" s="338">
        <f t="shared" si="4"/>
        <v>1</v>
      </c>
      <c r="H64" s="339">
        <f t="shared" si="5"/>
        <v>0</v>
      </c>
      <c r="I64" s="337">
        <f t="shared" si="6"/>
        <v>66.1639307049618</v>
      </c>
      <c r="J64" s="340">
        <f t="shared" si="7"/>
        <v>1.5556817762338975</v>
      </c>
      <c r="K64" s="348">
        <f t="shared" si="8"/>
        <v>1.0001453670086744</v>
      </c>
      <c r="L64" s="349">
        <f t="shared" si="9"/>
        <v>1.7049891566770812E-2</v>
      </c>
      <c r="M64" s="337">
        <f t="shared" si="10"/>
        <v>1.0000005045301541</v>
      </c>
      <c r="N64" s="340">
        <f t="shared" si="11"/>
        <v>1.0045197279265289E-3</v>
      </c>
      <c r="O64" s="341">
        <f t="shared" si="12"/>
        <v>1.000000006499457</v>
      </c>
      <c r="P64" s="342">
        <f t="shared" si="13"/>
        <v>1.4143168703010713E-3</v>
      </c>
      <c r="Q64" s="343">
        <f t="shared" si="14"/>
        <v>58.795178528496422</v>
      </c>
      <c r="R64" s="344">
        <f t="shared" si="15"/>
        <v>-89.707094225986637</v>
      </c>
      <c r="S64" s="346">
        <f t="shared" si="16"/>
        <v>90.292905774013363</v>
      </c>
      <c r="U64" s="319">
        <f t="shared" si="23"/>
        <v>1000000000</v>
      </c>
      <c r="V64" s="319">
        <f t="shared" si="24"/>
        <v>12023.122500000001</v>
      </c>
      <c r="X64" s="345">
        <f t="shared" si="17"/>
        <v>61.296056605807777</v>
      </c>
      <c r="Y64" s="346">
        <f t="shared" si="18"/>
        <v>-88.214668057333768</v>
      </c>
      <c r="AA64" s="345">
        <f t="shared" si="19"/>
        <v>59.738863257078634</v>
      </c>
      <c r="AB64" s="346">
        <f t="shared" si="20"/>
        <v>-1.4924261686528835</v>
      </c>
      <c r="AD64">
        <f t="shared" si="25"/>
        <v>0</v>
      </c>
      <c r="AE64">
        <f t="shared" si="21"/>
        <v>0</v>
      </c>
    </row>
    <row r="65" spans="1:31" x14ac:dyDescent="0.25">
      <c r="A65" s="347">
        <v>120.23</v>
      </c>
      <c r="B65" s="364">
        <f t="shared" si="22"/>
        <v>0.12023</v>
      </c>
      <c r="C65" s="337">
        <f t="shared" si="0"/>
        <v>1.0003697744643305</v>
      </c>
      <c r="D65" s="338">
        <f t="shared" si="1"/>
        <v>2.7190459943800965E-2</v>
      </c>
      <c r="E65" s="338">
        <f t="shared" si="2"/>
        <v>1.0000000164353104</v>
      </c>
      <c r="F65" s="339">
        <f t="shared" si="3"/>
        <v>1.8130256648205071E-4</v>
      </c>
      <c r="G65" s="338">
        <f t="shared" si="4"/>
        <v>1</v>
      </c>
      <c r="H65" s="339">
        <f t="shared" si="5"/>
        <v>0</v>
      </c>
      <c r="I65" s="337">
        <f t="shared" si="6"/>
        <v>72.546616662383755</v>
      </c>
      <c r="J65" s="340">
        <f t="shared" si="7"/>
        <v>1.5570116499035007</v>
      </c>
      <c r="K65" s="348">
        <f t="shared" si="8"/>
        <v>1.0001747704045667</v>
      </c>
      <c r="L65" s="349">
        <f t="shared" si="9"/>
        <v>1.8694649205071415E-2</v>
      </c>
      <c r="M65" s="337">
        <f t="shared" si="10"/>
        <v>1.0000006065903928</v>
      </c>
      <c r="N65" s="340">
        <f t="shared" si="11"/>
        <v>1.1014445843243808E-3</v>
      </c>
      <c r="O65" s="341">
        <f t="shared" si="12"/>
        <v>1.0000000078143376</v>
      </c>
      <c r="P65" s="342">
        <f t="shared" si="13"/>
        <v>1.5507827502078502E-3</v>
      </c>
      <c r="Q65" s="343">
        <f t="shared" si="14"/>
        <v>57.994975577274708</v>
      </c>
      <c r="R65" s="344">
        <f t="shared" si="15"/>
        <v>-89.838543954401743</v>
      </c>
      <c r="S65" s="346">
        <f t="shared" si="16"/>
        <v>90.161456045598257</v>
      </c>
      <c r="U65" s="319">
        <f t="shared" si="23"/>
        <v>1000000000</v>
      </c>
      <c r="V65" s="319">
        <f t="shared" si="24"/>
        <v>14455.252900000001</v>
      </c>
      <c r="X65" s="345">
        <f t="shared" si="17"/>
        <v>60.49639377230838</v>
      </c>
      <c r="Y65" s="346">
        <f t="shared" si="18"/>
        <v>-88.202179920078322</v>
      </c>
      <c r="AA65" s="345">
        <f t="shared" si="19"/>
        <v>59.738323139356311</v>
      </c>
      <c r="AB65" s="346">
        <f t="shared" si="20"/>
        <v>-1.6363640343234243</v>
      </c>
      <c r="AD65">
        <f t="shared" si="25"/>
        <v>0</v>
      </c>
      <c r="AE65">
        <f t="shared" si="21"/>
        <v>0</v>
      </c>
    </row>
    <row r="66" spans="1:31" x14ac:dyDescent="0.25">
      <c r="A66" s="347">
        <v>131.83000000000001</v>
      </c>
      <c r="B66" s="364">
        <f t="shared" si="22"/>
        <v>0.13183</v>
      </c>
      <c r="C66" s="337">
        <f t="shared" si="0"/>
        <v>1.0004445529452821</v>
      </c>
      <c r="D66" s="338">
        <f t="shared" si="1"/>
        <v>2.9812357112404715E-2</v>
      </c>
      <c r="E66" s="338">
        <f t="shared" si="2"/>
        <v>1.0000000197597172</v>
      </c>
      <c r="F66" s="339">
        <f t="shared" si="3"/>
        <v>1.9879495372500532E-4</v>
      </c>
      <c r="G66" s="338">
        <f t="shared" si="4"/>
        <v>1</v>
      </c>
      <c r="H66" s="339">
        <f t="shared" si="5"/>
        <v>0</v>
      </c>
      <c r="I66" s="337">
        <f t="shared" si="6"/>
        <v>79.544769284188675</v>
      </c>
      <c r="J66" s="340">
        <f t="shared" si="7"/>
        <v>1.5582244587580354</v>
      </c>
      <c r="K66" s="348">
        <f t="shared" si="8"/>
        <v>1.0002101178878984</v>
      </c>
      <c r="L66" s="349">
        <f t="shared" si="9"/>
        <v>2.0497858581889721E-2</v>
      </c>
      <c r="M66" s="337">
        <f t="shared" si="10"/>
        <v>1.0000007292867295</v>
      </c>
      <c r="N66" s="340">
        <f t="shared" si="11"/>
        <v>1.2077137792082067E-3</v>
      </c>
      <c r="O66" s="341">
        <f t="shared" si="12"/>
        <v>1.0000000093951344</v>
      </c>
      <c r="P66" s="342">
        <f t="shared" si="13"/>
        <v>1.7004051086391765E-3</v>
      </c>
      <c r="Q66" s="343">
        <f t="shared" si="14"/>
        <v>57.194742971519439</v>
      </c>
      <c r="R66" s="344">
        <f t="shared" si="15"/>
        <v>-89.968599404534842</v>
      </c>
      <c r="S66" s="346">
        <f t="shared" si="16"/>
        <v>90.031400595465158</v>
      </c>
      <c r="U66" s="319">
        <f t="shared" si="23"/>
        <v>1000000000</v>
      </c>
      <c r="V66" s="319">
        <f t="shared" si="24"/>
        <v>17379.148900000004</v>
      </c>
      <c r="X66" s="345">
        <f t="shared" si="17"/>
        <v>59.696810404689089</v>
      </c>
      <c r="Y66" s="346">
        <f t="shared" si="18"/>
        <v>-88.174441238256534</v>
      </c>
      <c r="AA66" s="345">
        <f t="shared" si="19"/>
        <v>59.737673901220333</v>
      </c>
      <c r="AB66" s="346">
        <f t="shared" si="20"/>
        <v>-1.7941581662783044</v>
      </c>
      <c r="AD66">
        <f t="shared" si="25"/>
        <v>0</v>
      </c>
      <c r="AE66">
        <f t="shared" si="21"/>
        <v>0</v>
      </c>
    </row>
    <row r="67" spans="1:31" x14ac:dyDescent="0.25">
      <c r="A67" s="347">
        <v>144.54</v>
      </c>
      <c r="B67" s="364">
        <f t="shared" si="22"/>
        <v>0.14454</v>
      </c>
      <c r="C67" s="337">
        <f t="shared" si="0"/>
        <v>1.0005343817122949</v>
      </c>
      <c r="D67" s="338">
        <f t="shared" si="1"/>
        <v>3.2684670746842823E-2</v>
      </c>
      <c r="E67" s="338">
        <f t="shared" si="2"/>
        <v>1.0000000237535387</v>
      </c>
      <c r="F67" s="339">
        <f t="shared" si="3"/>
        <v>2.1796118133131378E-4</v>
      </c>
      <c r="G67" s="338">
        <f t="shared" si="4"/>
        <v>1</v>
      </c>
      <c r="H67" s="339">
        <f t="shared" si="5"/>
        <v>0</v>
      </c>
      <c r="I67" s="337">
        <f t="shared" si="6"/>
        <v>87.212684459777194</v>
      </c>
      <c r="J67" s="340">
        <f t="shared" si="7"/>
        <v>1.5593298535420046</v>
      </c>
      <c r="K67" s="348">
        <f t="shared" si="8"/>
        <v>1.0002525814217247</v>
      </c>
      <c r="L67" s="349">
        <f t="shared" si="9"/>
        <v>2.2473462959772466E-2</v>
      </c>
      <c r="M67" s="337">
        <f t="shared" si="10"/>
        <v>1.0000008766896422</v>
      </c>
      <c r="N67" s="340">
        <f t="shared" si="11"/>
        <v>1.3241518053000603E-3</v>
      </c>
      <c r="O67" s="341">
        <f t="shared" si="12"/>
        <v>1.0000000112943239</v>
      </c>
      <c r="P67" s="342">
        <f t="shared" si="13"/>
        <v>1.8643448219277869E-3</v>
      </c>
      <c r="Q67" s="343">
        <f t="shared" si="14"/>
        <v>56.394970036206509</v>
      </c>
      <c r="R67" s="344">
        <f t="shared" si="15"/>
        <v>-90.098277833536059</v>
      </c>
      <c r="S67" s="346">
        <f t="shared" si="16"/>
        <v>89.901722166463941</v>
      </c>
      <c r="U67" s="319">
        <f t="shared" si="23"/>
        <v>1000000000</v>
      </c>
      <c r="V67" s="319">
        <f t="shared" si="24"/>
        <v>20891.811599999997</v>
      </c>
      <c r="X67" s="345">
        <f t="shared" si="17"/>
        <v>58.897817312223033</v>
      </c>
      <c r="Y67" s="346">
        <f t="shared" si="18"/>
        <v>-88.131253308654053</v>
      </c>
      <c r="AA67" s="345">
        <f t="shared" si="19"/>
        <v>59.736894058373451</v>
      </c>
      <c r="AB67" s="346">
        <f t="shared" si="20"/>
        <v>-1.9670245248820124</v>
      </c>
      <c r="AD67">
        <f t="shared" si="25"/>
        <v>0</v>
      </c>
      <c r="AE67">
        <f t="shared" si="21"/>
        <v>0</v>
      </c>
    </row>
    <row r="68" spans="1:31" x14ac:dyDescent="0.25">
      <c r="A68" s="347">
        <v>158.49</v>
      </c>
      <c r="B68" s="364">
        <f t="shared" si="22"/>
        <v>0.15849000000000002</v>
      </c>
      <c r="C68" s="337">
        <f t="shared" si="0"/>
        <v>1.000642474288596</v>
      </c>
      <c r="D68" s="338">
        <f t="shared" si="1"/>
        <v>3.5836587432352414E-2</v>
      </c>
      <c r="E68" s="338">
        <f t="shared" si="2"/>
        <v>1.0000000285598518</v>
      </c>
      <c r="F68" s="339">
        <f t="shared" si="3"/>
        <v>2.3899728461679537E-4</v>
      </c>
      <c r="G68" s="338">
        <f t="shared" si="4"/>
        <v>1</v>
      </c>
      <c r="H68" s="339">
        <f t="shared" si="5"/>
        <v>0</v>
      </c>
      <c r="I68" s="337">
        <f t="shared" si="6"/>
        <v>95.628790956191338</v>
      </c>
      <c r="J68" s="340">
        <f t="shared" si="7"/>
        <v>1.5603390344244645</v>
      </c>
      <c r="K68" s="348">
        <f t="shared" si="8"/>
        <v>1.0003036812223816</v>
      </c>
      <c r="L68" s="349">
        <f t="shared" si="9"/>
        <v>2.4641606700368052E-2</v>
      </c>
      <c r="M68" s="337">
        <f t="shared" si="10"/>
        <v>1.0000010540797426</v>
      </c>
      <c r="N68" s="340">
        <f t="shared" si="11"/>
        <v>1.4519495973668052E-3</v>
      </c>
      <c r="O68" s="341">
        <f t="shared" si="12"/>
        <v>1.0000000135799902</v>
      </c>
      <c r="P68" s="342">
        <f t="shared" si="13"/>
        <v>2.0442787103006439E-3</v>
      </c>
      <c r="Q68" s="343">
        <f t="shared" si="14"/>
        <v>55.594293704290926</v>
      </c>
      <c r="R68" s="344">
        <f t="shared" si="15"/>
        <v>-90.228892123334276</v>
      </c>
      <c r="S68" s="346">
        <f t="shared" si="16"/>
        <v>89.771107876665724</v>
      </c>
      <c r="U68" s="319">
        <f t="shared" si="23"/>
        <v>1000000000</v>
      </c>
      <c r="V68" s="319">
        <f t="shared" si="24"/>
        <v>25119.080100000003</v>
      </c>
      <c r="X68" s="345">
        <f t="shared" si="17"/>
        <v>58.098079286464248</v>
      </c>
      <c r="Y68" s="346">
        <f t="shared" si="18"/>
        <v>-88.072171902319468</v>
      </c>
      <c r="AA68" s="345">
        <f t="shared" si="19"/>
        <v>59.735955752216654</v>
      </c>
      <c r="AB68" s="346">
        <f t="shared" si="20"/>
        <v>-2.1567202210148175</v>
      </c>
      <c r="AD68">
        <f t="shared" si="25"/>
        <v>0</v>
      </c>
      <c r="AE68">
        <f t="shared" si="21"/>
        <v>0</v>
      </c>
    </row>
    <row r="69" spans="1:31" x14ac:dyDescent="0.25">
      <c r="A69" s="347">
        <v>173.78</v>
      </c>
      <c r="B69" s="364">
        <f t="shared" si="22"/>
        <v>0.17377999999999999</v>
      </c>
      <c r="C69" s="337">
        <f t="shared" si="0"/>
        <v>1.0007723664690458</v>
      </c>
      <c r="D69" s="338">
        <f t="shared" si="1"/>
        <v>3.9290448495913059E-2</v>
      </c>
      <c r="E69" s="338">
        <f t="shared" si="2"/>
        <v>1.0000000343361661</v>
      </c>
      <c r="F69" s="339">
        <f t="shared" si="3"/>
        <v>2.6205405994553888E-4</v>
      </c>
      <c r="G69" s="338">
        <f t="shared" si="4"/>
        <v>1</v>
      </c>
      <c r="H69" s="339">
        <f t="shared" si="5"/>
        <v>0</v>
      </c>
      <c r="I69" s="337">
        <f t="shared" si="6"/>
        <v>104.85341937335514</v>
      </c>
      <c r="J69" s="340">
        <f t="shared" si="7"/>
        <v>1.5612590588063961</v>
      </c>
      <c r="K69" s="348">
        <f t="shared" si="8"/>
        <v>1.0003650904402148</v>
      </c>
      <c r="L69" s="349">
        <f t="shared" si="9"/>
        <v>2.7017749682413002E-2</v>
      </c>
      <c r="M69" s="337">
        <f t="shared" si="10"/>
        <v>1.0000012672703553</v>
      </c>
      <c r="N69" s="340">
        <f t="shared" si="11"/>
        <v>1.5920232517443445E-3</v>
      </c>
      <c r="O69" s="341">
        <f t="shared" si="12"/>
        <v>1.0000000163271074</v>
      </c>
      <c r="P69" s="342">
        <f t="shared" si="13"/>
        <v>2.2414966455017488E-3</v>
      </c>
      <c r="Q69" s="343">
        <f t="shared" si="14"/>
        <v>54.793819006295486</v>
      </c>
      <c r="R69" s="344">
        <f t="shared" si="15"/>
        <v>-90.361358663827858</v>
      </c>
      <c r="S69" s="346">
        <f t="shared" si="16"/>
        <v>89.638641336172142</v>
      </c>
      <c r="U69" s="319">
        <f t="shared" si="23"/>
        <v>1000000000</v>
      </c>
      <c r="V69" s="319">
        <f t="shared" si="24"/>
        <v>30199.488400000002</v>
      </c>
      <c r="X69" s="345">
        <f t="shared" si="17"/>
        <v>57.298731993735288</v>
      </c>
      <c r="Y69" s="346">
        <f t="shared" si="18"/>
        <v>-87.99676808119311</v>
      </c>
      <c r="AA69" s="345">
        <f t="shared" si="19"/>
        <v>59.734828346950181</v>
      </c>
      <c r="AB69" s="346">
        <f t="shared" si="20"/>
        <v>-2.3645905826347247</v>
      </c>
      <c r="AD69">
        <f t="shared" si="25"/>
        <v>0</v>
      </c>
      <c r="AE69">
        <f t="shared" si="21"/>
        <v>0</v>
      </c>
    </row>
    <row r="70" spans="1:31" x14ac:dyDescent="0.25">
      <c r="A70" s="347">
        <v>190.55</v>
      </c>
      <c r="B70" s="364">
        <f t="shared" si="22"/>
        <v>0.19055000000000002</v>
      </c>
      <c r="C70" s="337">
        <f t="shared" si="0"/>
        <v>1.0009285554219332</v>
      </c>
      <c r="D70" s="338">
        <f t="shared" si="1"/>
        <v>4.3077545848299793E-2</v>
      </c>
      <c r="E70" s="338">
        <f t="shared" si="2"/>
        <v>1.0000000412828927</v>
      </c>
      <c r="F70" s="339">
        <f t="shared" si="3"/>
        <v>2.8734262223137699E-4</v>
      </c>
      <c r="G70" s="338">
        <f t="shared" si="4"/>
        <v>1</v>
      </c>
      <c r="H70" s="339">
        <f t="shared" si="5"/>
        <v>0</v>
      </c>
      <c r="I70" s="337">
        <f t="shared" si="6"/>
        <v>114.97103326834137</v>
      </c>
      <c r="J70" s="340">
        <f t="shared" si="7"/>
        <v>1.5620983740954475</v>
      </c>
      <c r="K70" s="348">
        <f t="shared" si="8"/>
        <v>1.0004389375641098</v>
      </c>
      <c r="L70" s="349">
        <f t="shared" si="9"/>
        <v>2.9623540270198506E-2</v>
      </c>
      <c r="M70" s="337">
        <f t="shared" si="10"/>
        <v>1.0000015236581552</v>
      </c>
      <c r="N70" s="340">
        <f t="shared" si="11"/>
        <v>1.7456553042241251E-3</v>
      </c>
      <c r="O70" s="341">
        <f t="shared" si="12"/>
        <v>1.0000000196310863</v>
      </c>
      <c r="P70" s="342">
        <f t="shared" si="13"/>
        <v>2.4578044467122415E-3</v>
      </c>
      <c r="Q70" s="343">
        <f t="shared" si="14"/>
        <v>53.992985760593051</v>
      </c>
      <c r="R70" s="344">
        <f t="shared" si="15"/>
        <v>-90.496878844049249</v>
      </c>
      <c r="S70" s="346">
        <f t="shared" si="16"/>
        <v>89.503121155950751</v>
      </c>
      <c r="U70" s="319">
        <f t="shared" si="23"/>
        <v>1000000000</v>
      </c>
      <c r="V70" s="319">
        <f t="shared" si="24"/>
        <v>36309.302500000005</v>
      </c>
      <c r="X70" s="345">
        <f t="shared" si="17"/>
        <v>56.499254203613624</v>
      </c>
      <c r="Y70" s="346">
        <f t="shared" si="18"/>
        <v>-87.904358970060969</v>
      </c>
      <c r="AA70" s="345">
        <f t="shared" si="19"/>
        <v>59.733472891369402</v>
      </c>
      <c r="AB70" s="346">
        <f t="shared" si="20"/>
        <v>-2.5925198739882833</v>
      </c>
      <c r="AD70">
        <f t="shared" si="25"/>
        <v>0</v>
      </c>
      <c r="AE70">
        <f t="shared" si="21"/>
        <v>0</v>
      </c>
    </row>
    <row r="71" spans="1:31" x14ac:dyDescent="0.25">
      <c r="A71" s="347">
        <v>208.93</v>
      </c>
      <c r="B71" s="364">
        <f t="shared" si="22"/>
        <v>0.20893</v>
      </c>
      <c r="C71" s="337">
        <f t="shared" si="0"/>
        <v>1.0011162225758214</v>
      </c>
      <c r="D71" s="338">
        <f t="shared" si="1"/>
        <v>4.7226798955985694E-2</v>
      </c>
      <c r="E71" s="338">
        <f t="shared" si="2"/>
        <v>1.0000000496310908</v>
      </c>
      <c r="F71" s="339">
        <f t="shared" si="3"/>
        <v>3.150590067104786E-4</v>
      </c>
      <c r="G71" s="338">
        <f t="shared" si="4"/>
        <v>1</v>
      </c>
      <c r="H71" s="339">
        <f t="shared" si="5"/>
        <v>0</v>
      </c>
      <c r="I71" s="337">
        <f t="shared" si="6"/>
        <v>126.06006374074438</v>
      </c>
      <c r="J71" s="340">
        <f t="shared" si="7"/>
        <v>1.5628635171591787</v>
      </c>
      <c r="K71" s="348">
        <f t="shared" si="8"/>
        <v>1.0005276758117303</v>
      </c>
      <c r="L71" s="349">
        <f t="shared" si="9"/>
        <v>3.2479035741896228E-2</v>
      </c>
      <c r="M71" s="337">
        <f t="shared" si="10"/>
        <v>1.0000018317709864</v>
      </c>
      <c r="N71" s="340">
        <f t="shared" si="11"/>
        <v>1.9140366717139185E-3</v>
      </c>
      <c r="O71" s="341">
        <f t="shared" si="12"/>
        <v>1.0000000236019657</v>
      </c>
      <c r="P71" s="342">
        <f t="shared" si="13"/>
        <v>2.6948789585958337E-3</v>
      </c>
      <c r="Q71" s="343">
        <f t="shared" si="14"/>
        <v>53.192343371067238</v>
      </c>
      <c r="R71" s="344">
        <f t="shared" si="15"/>
        <v>-90.636488043552077</v>
      </c>
      <c r="S71" s="346">
        <f t="shared" si="16"/>
        <v>89.363511956447923</v>
      </c>
      <c r="U71" s="319">
        <f t="shared" si="23"/>
        <v>1000000000</v>
      </c>
      <c r="V71" s="319">
        <f t="shared" si="24"/>
        <v>43651.744900000005</v>
      </c>
      <c r="X71" s="345">
        <f t="shared" si="17"/>
        <v>55.700240167409646</v>
      </c>
      <c r="Y71" s="346">
        <f t="shared" si="18"/>
        <v>-87.794238140969455</v>
      </c>
      <c r="AA71" s="345">
        <f t="shared" si="19"/>
        <v>59.731844538047568</v>
      </c>
      <c r="AB71" s="346">
        <f t="shared" si="20"/>
        <v>-2.842249902582624</v>
      </c>
      <c r="AD71">
        <f t="shared" si="25"/>
        <v>0</v>
      </c>
      <c r="AE71">
        <f t="shared" si="21"/>
        <v>0</v>
      </c>
    </row>
    <row r="72" spans="1:31" x14ac:dyDescent="0.25">
      <c r="A72" s="347">
        <v>229.09</v>
      </c>
      <c r="B72" s="364">
        <f t="shared" si="22"/>
        <v>0.22909000000000002</v>
      </c>
      <c r="C72" s="337">
        <f t="shared" si="0"/>
        <v>1.001341876316604</v>
      </c>
      <c r="D72" s="338">
        <f t="shared" si="1"/>
        <v>5.1776008075100584E-2</v>
      </c>
      <c r="E72" s="338">
        <f t="shared" si="2"/>
        <v>1.0000000596711591</v>
      </c>
      <c r="F72" s="339">
        <f t="shared" si="3"/>
        <v>3.4545956714783152E-4</v>
      </c>
      <c r="G72" s="338">
        <f t="shared" si="4"/>
        <v>1</v>
      </c>
      <c r="H72" s="339">
        <f t="shared" si="5"/>
        <v>0</v>
      </c>
      <c r="I72" s="337">
        <f t="shared" si="6"/>
        <v>138.22307526382562</v>
      </c>
      <c r="J72" s="340">
        <f t="shared" si="7"/>
        <v>1.5635615816430171</v>
      </c>
      <c r="K72" s="348">
        <f t="shared" si="8"/>
        <v>1.0006343875881549</v>
      </c>
      <c r="L72" s="349">
        <f t="shared" si="9"/>
        <v>3.5610459042167988E-2</v>
      </c>
      <c r="M72" s="337">
        <f t="shared" si="10"/>
        <v>1.0000022023267374</v>
      </c>
      <c r="N72" s="340">
        <f t="shared" si="11"/>
        <v>2.0987247058852848E-3</v>
      </c>
      <c r="O72" s="341">
        <f t="shared" si="12"/>
        <v>1.000000028378083</v>
      </c>
      <c r="P72" s="342">
        <f t="shared" si="13"/>
        <v>2.954912979673143E-3</v>
      </c>
      <c r="Q72" s="343">
        <f t="shared" si="14"/>
        <v>52.391248373550035</v>
      </c>
      <c r="R72" s="344">
        <f t="shared" si="15"/>
        <v>-90.781456209157099</v>
      </c>
      <c r="S72" s="346">
        <f t="shared" si="16"/>
        <v>89.218543790842901</v>
      </c>
      <c r="U72" s="319">
        <f t="shared" si="23"/>
        <v>1000000000</v>
      </c>
      <c r="V72" s="319">
        <f t="shared" si="24"/>
        <v>52482.2281</v>
      </c>
      <c r="X72" s="345">
        <f t="shared" si="17"/>
        <v>54.901102721683358</v>
      </c>
      <c r="Y72" s="346">
        <f t="shared" si="18"/>
        <v>-87.665398795484236</v>
      </c>
      <c r="AA72" s="345">
        <f t="shared" si="19"/>
        <v>59.729886986256645</v>
      </c>
      <c r="AB72" s="346">
        <f t="shared" si="20"/>
        <v>-3.1160574136728578</v>
      </c>
      <c r="AD72">
        <f t="shared" si="25"/>
        <v>0</v>
      </c>
      <c r="AE72">
        <f t="shared" si="21"/>
        <v>0</v>
      </c>
    </row>
    <row r="73" spans="1:31" x14ac:dyDescent="0.25">
      <c r="A73" s="347">
        <v>251.19</v>
      </c>
      <c r="B73" s="364">
        <f t="shared" si="22"/>
        <v>0.25119000000000002</v>
      </c>
      <c r="C73" s="337">
        <f t="shared" si="0"/>
        <v>1.0016130434855406</v>
      </c>
      <c r="D73" s="338">
        <f t="shared" si="1"/>
        <v>5.6760518111540079E-2</v>
      </c>
      <c r="E73" s="338">
        <f t="shared" si="2"/>
        <v>1.0000000717392612</v>
      </c>
      <c r="F73" s="339">
        <f t="shared" si="3"/>
        <v>3.7878557760581515E-4</v>
      </c>
      <c r="G73" s="338">
        <f t="shared" si="4"/>
        <v>1</v>
      </c>
      <c r="H73" s="339">
        <f t="shared" si="5"/>
        <v>0</v>
      </c>
      <c r="I73" s="337">
        <f t="shared" si="6"/>
        <v>151.55659968664483</v>
      </c>
      <c r="J73" s="340">
        <f t="shared" si="7"/>
        <v>1.5641980839058418</v>
      </c>
      <c r="K73" s="348">
        <f t="shared" si="8"/>
        <v>1.0007626394467679</v>
      </c>
      <c r="L73" s="349">
        <f t="shared" si="9"/>
        <v>3.904241487267051E-2</v>
      </c>
      <c r="M73" s="337">
        <f t="shared" si="10"/>
        <v>1.0000026477323525</v>
      </c>
      <c r="N73" s="340">
        <f t="shared" si="11"/>
        <v>2.301185133933111E-3</v>
      </c>
      <c r="O73" s="341">
        <f t="shared" si="12"/>
        <v>1.0000000341196518</v>
      </c>
      <c r="P73" s="342">
        <f t="shared" si="13"/>
        <v>3.2399703416003066E-3</v>
      </c>
      <c r="Q73" s="343">
        <f t="shared" si="14"/>
        <v>51.590119875404653</v>
      </c>
      <c r="R73" s="344">
        <f t="shared" si="15"/>
        <v>-90.93290317816188</v>
      </c>
      <c r="S73" s="346">
        <f t="shared" si="16"/>
        <v>89.06709682183812</v>
      </c>
      <c r="U73" s="319">
        <f t="shared" si="23"/>
        <v>1000000000</v>
      </c>
      <c r="V73" s="319">
        <f t="shared" si="24"/>
        <v>63096.416100000002</v>
      </c>
      <c r="X73" s="345">
        <f t="shared" si="17"/>
        <v>54.102326021934637</v>
      </c>
      <c r="Y73" s="346">
        <f t="shared" si="18"/>
        <v>-87.516831232107307</v>
      </c>
      <c r="AA73" s="345">
        <f t="shared" si="19"/>
        <v>59.727535187859992</v>
      </c>
      <c r="AB73" s="346">
        <f t="shared" si="20"/>
        <v>-3.4160719460545659</v>
      </c>
      <c r="AD73">
        <f t="shared" si="25"/>
        <v>0</v>
      </c>
      <c r="AE73">
        <f t="shared" si="21"/>
        <v>0</v>
      </c>
    </row>
    <row r="74" spans="1:31" x14ac:dyDescent="0.25">
      <c r="A74" s="347">
        <v>275.42</v>
      </c>
      <c r="B74" s="364">
        <f t="shared" si="22"/>
        <v>0.27542</v>
      </c>
      <c r="C74" s="337">
        <f t="shared" si="0"/>
        <v>1.0019389277642674</v>
      </c>
      <c r="D74" s="338">
        <f t="shared" si="1"/>
        <v>6.2222183690837582E-2</v>
      </c>
      <c r="E74" s="338">
        <f t="shared" si="2"/>
        <v>1.0000000862468321</v>
      </c>
      <c r="F74" s="339">
        <f t="shared" si="3"/>
        <v>4.1532355099801305E-4</v>
      </c>
      <c r="G74" s="338">
        <f t="shared" si="4"/>
        <v>1</v>
      </c>
      <c r="H74" s="339">
        <f t="shared" si="5"/>
        <v>0</v>
      </c>
      <c r="I74" s="337">
        <f t="shared" si="6"/>
        <v>166.17526909350843</v>
      </c>
      <c r="J74" s="340">
        <f t="shared" si="7"/>
        <v>1.564778547849262</v>
      </c>
      <c r="K74" s="348">
        <f t="shared" si="8"/>
        <v>1.0009167946297617</v>
      </c>
      <c r="L74" s="349">
        <f t="shared" si="9"/>
        <v>4.2804082756122262E-2</v>
      </c>
      <c r="M74" s="337">
        <f t="shared" si="10"/>
        <v>1.0000031831728491</v>
      </c>
      <c r="N74" s="340">
        <f t="shared" si="11"/>
        <v>2.5231584989435611E-3</v>
      </c>
      <c r="O74" s="341">
        <f t="shared" si="12"/>
        <v>1.0000000410228511</v>
      </c>
      <c r="P74" s="342">
        <f t="shared" si="13"/>
        <v>3.552501855357661E-3</v>
      </c>
      <c r="Q74" s="343">
        <f t="shared" si="14"/>
        <v>50.788796809387058</v>
      </c>
      <c r="R74" s="344">
        <f t="shared" si="15"/>
        <v>-91.092095407630424</v>
      </c>
      <c r="S74" s="346">
        <f t="shared" si="16"/>
        <v>88.907904592369576</v>
      </c>
      <c r="U74" s="319">
        <f t="shared" si="23"/>
        <v>1000000000</v>
      </c>
      <c r="V74" s="319">
        <f t="shared" si="24"/>
        <v>75856.176400000011</v>
      </c>
      <c r="X74" s="345">
        <f t="shared" si="17"/>
        <v>53.303828466587447</v>
      </c>
      <c r="Y74" s="346">
        <f t="shared" si="18"/>
        <v>-87.347279809358781</v>
      </c>
      <c r="AA74" s="345">
        <f t="shared" si="19"/>
        <v>59.724709677189594</v>
      </c>
      <c r="AB74" s="346">
        <f t="shared" si="20"/>
        <v>-3.7448155982716287</v>
      </c>
      <c r="AD74">
        <f t="shared" si="25"/>
        <v>0</v>
      </c>
      <c r="AE74">
        <f t="shared" si="21"/>
        <v>0</v>
      </c>
    </row>
    <row r="75" spans="1:31" x14ac:dyDescent="0.25">
      <c r="A75" s="347">
        <v>302</v>
      </c>
      <c r="B75" s="364">
        <f t="shared" si="22"/>
        <v>0.30199999999999999</v>
      </c>
      <c r="C75" s="337">
        <f t="shared" si="0"/>
        <v>1.0023307708108731</v>
      </c>
      <c r="D75" s="338">
        <f t="shared" si="1"/>
        <v>6.8209276781267064E-2</v>
      </c>
      <c r="E75" s="338">
        <f t="shared" si="2"/>
        <v>1.0000001036969748</v>
      </c>
      <c r="F75" s="339">
        <f t="shared" si="3"/>
        <v>4.5540523906123639E-4</v>
      </c>
      <c r="G75" s="338">
        <f t="shared" si="4"/>
        <v>1</v>
      </c>
      <c r="H75" s="339">
        <f t="shared" si="5"/>
        <v>0</v>
      </c>
      <c r="I75" s="337">
        <f t="shared" si="6"/>
        <v>182.21181596593297</v>
      </c>
      <c r="J75" s="340">
        <f t="shared" si="7"/>
        <v>1.5653081809538933</v>
      </c>
      <c r="K75" s="348">
        <f t="shared" si="8"/>
        <v>1.0011021856740259</v>
      </c>
      <c r="L75" s="349">
        <f t="shared" si="9"/>
        <v>4.6929186672517574E-2</v>
      </c>
      <c r="M75" s="337">
        <f t="shared" si="10"/>
        <v>1.0000038272164091</v>
      </c>
      <c r="N75" s="340">
        <f t="shared" si="11"/>
        <v>2.7666601536212752E-3</v>
      </c>
      <c r="O75" s="341">
        <f t="shared" si="12"/>
        <v>1.0000000493277001</v>
      </c>
      <c r="P75" s="342">
        <f t="shared" si="13"/>
        <v>3.8953453198328674E-3</v>
      </c>
      <c r="Q75" s="343">
        <f t="shared" si="14"/>
        <v>49.986800787745892</v>
      </c>
      <c r="R75" s="344">
        <f t="shared" si="15"/>
        <v>-91.260423859683542</v>
      </c>
      <c r="S75" s="346">
        <f t="shared" si="16"/>
        <v>88.739576140316458</v>
      </c>
      <c r="U75" s="319">
        <f t="shared" si="23"/>
        <v>1000000000</v>
      </c>
      <c r="V75" s="319">
        <f t="shared" si="24"/>
        <v>91204</v>
      </c>
      <c r="X75" s="345">
        <f t="shared" si="17"/>
        <v>52.505228620520306</v>
      </c>
      <c r="Y75" s="346">
        <f t="shared" si="18"/>
        <v>-87.15522612338026</v>
      </c>
      <c r="AA75" s="345">
        <f t="shared" si="19"/>
        <v>59.721313501615555</v>
      </c>
      <c r="AB75" s="346">
        <f t="shared" si="20"/>
        <v>-4.1051977363032615</v>
      </c>
      <c r="AD75">
        <f t="shared" si="25"/>
        <v>0</v>
      </c>
      <c r="AE75">
        <f t="shared" si="21"/>
        <v>0</v>
      </c>
    </row>
    <row r="76" spans="1:31" x14ac:dyDescent="0.25">
      <c r="A76" s="347">
        <v>331.13</v>
      </c>
      <c r="B76" s="364">
        <f t="shared" si="22"/>
        <v>0.33112999999999998</v>
      </c>
      <c r="C76" s="337">
        <f t="shared" si="0"/>
        <v>1.0028014357744406</v>
      </c>
      <c r="D76" s="338">
        <f t="shared" si="1"/>
        <v>7.4765116670971549E-2</v>
      </c>
      <c r="E76" s="338">
        <f t="shared" si="2"/>
        <v>1.000000124666353</v>
      </c>
      <c r="F76" s="339">
        <f t="shared" si="3"/>
        <v>4.9933223411340781E-4</v>
      </c>
      <c r="G76" s="338">
        <f t="shared" si="4"/>
        <v>1</v>
      </c>
      <c r="H76" s="339">
        <f t="shared" si="5"/>
        <v>0</v>
      </c>
      <c r="I76" s="337">
        <f t="shared" si="6"/>
        <v>199.78690656845092</v>
      </c>
      <c r="J76" s="340">
        <f t="shared" si="7"/>
        <v>1.5657909728766497</v>
      </c>
      <c r="K76" s="348">
        <f t="shared" si="8"/>
        <v>1.0013249198214675</v>
      </c>
      <c r="L76" s="349">
        <f t="shared" si="9"/>
        <v>5.144819976778791E-2</v>
      </c>
      <c r="M76" s="337">
        <f t="shared" si="10"/>
        <v>1.000004601146107</v>
      </c>
      <c r="N76" s="340">
        <f t="shared" si="11"/>
        <v>3.0335221986525084E-3</v>
      </c>
      <c r="O76" s="341">
        <f t="shared" si="12"/>
        <v>1.0000000593095475</v>
      </c>
      <c r="P76" s="342">
        <f t="shared" si="13"/>
        <v>4.2710806043785368E-3</v>
      </c>
      <c r="Q76" s="343">
        <f t="shared" si="14"/>
        <v>49.18483905906573</v>
      </c>
      <c r="R76" s="344">
        <f t="shared" si="15"/>
        <v>-91.439088661852821</v>
      </c>
      <c r="S76" s="346">
        <f t="shared" si="16"/>
        <v>88.560911338147179</v>
      </c>
      <c r="U76" s="319">
        <f t="shared" si="23"/>
        <v>1000000000</v>
      </c>
      <c r="V76" s="319">
        <f t="shared" si="24"/>
        <v>109647.0769</v>
      </c>
      <c r="X76" s="345">
        <f t="shared" si="17"/>
        <v>51.707344476660097</v>
      </c>
      <c r="Y76" s="346">
        <f t="shared" si="18"/>
        <v>-86.939257753659618</v>
      </c>
      <c r="AA76" s="345">
        <f t="shared" si="19"/>
        <v>59.717235916795616</v>
      </c>
      <c r="AB76" s="346">
        <f t="shared" si="20"/>
        <v>-4.4998309081932053</v>
      </c>
      <c r="AD76">
        <f t="shared" si="25"/>
        <v>0</v>
      </c>
      <c r="AE76">
        <f t="shared" si="21"/>
        <v>0</v>
      </c>
    </row>
    <row r="77" spans="1:31" x14ac:dyDescent="0.25">
      <c r="A77" s="347">
        <v>363.08</v>
      </c>
      <c r="B77" s="364">
        <f t="shared" si="22"/>
        <v>0.36307999999999996</v>
      </c>
      <c r="C77" s="337">
        <f t="shared" ref="C77:C140" si="26">SQRT(1+(A77/pole1)^2)</f>
        <v>1.0033671743636248</v>
      </c>
      <c r="D77" s="338">
        <f t="shared" ref="D77:D140" si="27">ATAN(A77/pole1)</f>
        <v>8.1948193546079698E-2</v>
      </c>
      <c r="E77" s="338">
        <f t="shared" ref="E77:E140" si="28">SQRT(1+(A77/Zero1)^2)</f>
        <v>1.0000001498845417</v>
      </c>
      <c r="F77" s="339">
        <f t="shared" ref="F77:F140" si="29">ATAN(A77/Zero1)</f>
        <v>5.4751168578473486E-4</v>
      </c>
      <c r="G77" s="338">
        <f t="shared" ref="G77:G140" si="30">IF(VIN_nom&gt;Vout, 1, SQRT(1+(A77/z_RHP)^2))</f>
        <v>1</v>
      </c>
      <c r="H77" s="339">
        <f t="shared" ref="H77:H140" si="31">IF(VIN_nom&gt;Vout, 0, -ATAN(A77/z_RHP))</f>
        <v>0</v>
      </c>
      <c r="I77" s="337">
        <f t="shared" ref="I77:I140" si="32">SQRT(1+(A77/Pole2)^2)</f>
        <v>219.0634408014684</v>
      </c>
      <c r="J77" s="340">
        <f t="shared" ref="J77:J140" si="33">ATAN(A77/Pole2)</f>
        <v>1.5662314232701131</v>
      </c>
      <c r="K77" s="348">
        <f t="shared" ref="K77:K140" si="34">SQRT(1+(A77/Zero2)^2)</f>
        <v>1.0015927187153955</v>
      </c>
      <c r="L77" s="349">
        <f t="shared" ref="L77:L140" si="35">ATAN(A77/Zero2)</f>
        <v>5.6402262787734886E-2</v>
      </c>
      <c r="M77" s="337">
        <f t="shared" ref="M77:M140" si="36">SQRT(1+(A77/pole4)^2)</f>
        <v>1.0000055318884939</v>
      </c>
      <c r="N77" s="340">
        <f t="shared" ref="N77:N140" si="37">ATAN(A77/pole4)</f>
        <v>3.3262179701912223E-3</v>
      </c>
      <c r="O77" s="341">
        <f t="shared" ref="O77:O140" si="38">SQRT((1-(V77/pterm2))^2+(A77/pterm1)^2)</f>
        <v>1.0000000713169914</v>
      </c>
      <c r="P77" s="342">
        <f t="shared" ref="P77:P140" si="39">IF((ATAN((A77/pterm1)/(1-A77^2/pterm2))&gt;0),ATAN((A77/pterm1)/(1-A77^2/pterm2)),PI()+ATAN((A77/pterm1)/(1-A77^2/pterm2)))</f>
        <v>4.6831905323093696E-3</v>
      </c>
      <c r="Q77" s="343">
        <f t="shared" ref="Q77:Q140" si="40">20*LOG10(((E77*K77*G77)/(C77*I77*O77*M77))*Adc)</f>
        <v>48.382197292755393</v>
      </c>
      <c r="R77" s="344">
        <f t="shared" ref="R77:R140" si="41">((F77+L77+H77)-(D77+J77+P77+N77))*radconv</f>
        <v>-91.629659609794174</v>
      </c>
      <c r="S77" s="346">
        <f t="shared" ref="S77:S140" si="42">IF(R77&gt;0,R77,R77+180)</f>
        <v>88.370340390205826</v>
      </c>
      <c r="U77" s="319">
        <f t="shared" si="23"/>
        <v>1000000000</v>
      </c>
      <c r="V77" s="319">
        <f t="shared" si="24"/>
        <v>131827.0864</v>
      </c>
      <c r="X77" s="345">
        <f t="shared" ref="X77:X140" si="43">20*LOG10((K77/(I77*M77))*AEA)</f>
        <v>50.909601429185365</v>
      </c>
      <c r="Y77" s="346">
        <f t="shared" ref="Y77:Y140" si="44">(L77-(J77+N77))*radconv</f>
        <v>-86.697417031919287</v>
      </c>
      <c r="AA77" s="345">
        <f t="shared" ref="AA77:AA140" si="45">20*LOG10((E77*G77/(C77*O77))*Acs*Am)</f>
        <v>59.712337197960011</v>
      </c>
      <c r="AB77" s="346">
        <f t="shared" ref="AB77:AB140" si="46">(F77+H77-(D77+P77))*radconv</f>
        <v>-4.9322425778748809</v>
      </c>
      <c r="AD77">
        <f t="shared" si="25"/>
        <v>0</v>
      </c>
      <c r="AE77">
        <f t="shared" ref="AE77:AE89" si="47">IF(AD77&gt;0,S75,0)</f>
        <v>0</v>
      </c>
    </row>
    <row r="78" spans="1:31" x14ac:dyDescent="0.25">
      <c r="A78" s="347">
        <v>398.11</v>
      </c>
      <c r="B78" s="364">
        <f t="shared" ref="B78:B141" si="48">A78/1000</f>
        <v>0.39811000000000002</v>
      </c>
      <c r="C78" s="337">
        <f t="shared" si="26"/>
        <v>1.0040468751279255</v>
      </c>
      <c r="D78" s="338">
        <f t="shared" si="27"/>
        <v>8.9813968035818245E-2</v>
      </c>
      <c r="E78" s="338">
        <f t="shared" si="28"/>
        <v>1.0000001802014817</v>
      </c>
      <c r="F78" s="339">
        <f t="shared" si="29"/>
        <v>6.0033566382700315E-4</v>
      </c>
      <c r="G78" s="338">
        <f t="shared" si="30"/>
        <v>1</v>
      </c>
      <c r="H78" s="339">
        <f t="shared" si="31"/>
        <v>0</v>
      </c>
      <c r="I78" s="337">
        <f t="shared" si="32"/>
        <v>240.19828562448248</v>
      </c>
      <c r="J78" s="340">
        <f t="shared" si="33"/>
        <v>1.566633087718623</v>
      </c>
      <c r="K78" s="348">
        <f t="shared" si="34"/>
        <v>1.0019145679105967</v>
      </c>
      <c r="L78" s="349">
        <f t="shared" si="35"/>
        <v>6.1830708405376369E-2</v>
      </c>
      <c r="M78" s="337">
        <f t="shared" si="36"/>
        <v>1.0000066508123446</v>
      </c>
      <c r="N78" s="340">
        <f t="shared" si="37"/>
        <v>3.6471291404956445E-3</v>
      </c>
      <c r="O78" s="341">
        <f t="shared" si="38"/>
        <v>1.0000000857566143</v>
      </c>
      <c r="P78" s="342">
        <f t="shared" si="39"/>
        <v>5.1350290140130019E-3</v>
      </c>
      <c r="Q78" s="343">
        <f t="shared" si="40"/>
        <v>47.579096391789768</v>
      </c>
      <c r="R78" s="344">
        <f t="shared" si="41"/>
        <v>-91.833570648045139</v>
      </c>
      <c r="S78" s="346">
        <f t="shared" si="42"/>
        <v>88.166429351954861</v>
      </c>
      <c r="U78" s="319">
        <f t="shared" ref="U78:U141" si="49">IF(Q78&lt;0,A78,1000000000)</f>
        <v>1000000000</v>
      </c>
      <c r="V78" s="319">
        <f t="shared" ref="V78:V141" si="50">A78^2</f>
        <v>158491.57210000002</v>
      </c>
      <c r="X78" s="345">
        <f t="shared" si="43"/>
        <v>50.112382391637915</v>
      </c>
      <c r="Y78" s="346">
        <f t="shared" si="44"/>
        <v>-86.42779054174116</v>
      </c>
      <c r="AA78" s="345">
        <f t="shared" si="45"/>
        <v>59.706455334541829</v>
      </c>
      <c r="AB78" s="346">
        <f t="shared" si="46"/>
        <v>-5.4057801063039674</v>
      </c>
      <c r="AD78">
        <f t="shared" ref="AD78:AD141" si="51">SUM((Q79&lt;0)*(Q78&gt;0))*A78</f>
        <v>0</v>
      </c>
      <c r="AE78">
        <f t="shared" si="47"/>
        <v>0</v>
      </c>
    </row>
    <row r="79" spans="1:31" x14ac:dyDescent="0.25">
      <c r="A79" s="347">
        <v>436.52</v>
      </c>
      <c r="B79" s="364">
        <f t="shared" si="48"/>
        <v>0.43651999999999996</v>
      </c>
      <c r="C79" s="337">
        <f t="shared" si="26"/>
        <v>1.0048634560929546</v>
      </c>
      <c r="D79" s="338">
        <f t="shared" si="27"/>
        <v>9.8425876144435709E-2</v>
      </c>
      <c r="E79" s="338">
        <f t="shared" si="28"/>
        <v>1.0000002166508861</v>
      </c>
      <c r="F79" s="339">
        <f t="shared" si="29"/>
        <v>6.5825655624286326E-4</v>
      </c>
      <c r="G79" s="338">
        <f t="shared" si="30"/>
        <v>1</v>
      </c>
      <c r="H79" s="339">
        <f t="shared" si="31"/>
        <v>0</v>
      </c>
      <c r="I79" s="337">
        <f t="shared" si="32"/>
        <v>263.37244170321821</v>
      </c>
      <c r="J79" s="340">
        <f t="shared" si="33"/>
        <v>1.5669994132063074</v>
      </c>
      <c r="K79" s="348">
        <f t="shared" si="34"/>
        <v>1.0023013834620753</v>
      </c>
      <c r="L79" s="349">
        <f t="shared" si="35"/>
        <v>6.7778735223620795E-2</v>
      </c>
      <c r="M79" s="337">
        <f t="shared" si="36"/>
        <v>1.0000079960687938</v>
      </c>
      <c r="N79" s="340">
        <f t="shared" si="37"/>
        <v>3.9990037542683328E-3</v>
      </c>
      <c r="O79" s="341">
        <f t="shared" si="38"/>
        <v>1.0000001031234911</v>
      </c>
      <c r="P79" s="342">
        <f t="shared" si="39"/>
        <v>5.6304659990061819E-3</v>
      </c>
      <c r="Q79" s="343">
        <f t="shared" si="40"/>
        <v>46.775367835216372</v>
      </c>
      <c r="R79" s="344">
        <f t="shared" si="41"/>
        <v>-92.05241746359053</v>
      </c>
      <c r="S79" s="346">
        <f t="shared" si="42"/>
        <v>87.94758253640947</v>
      </c>
      <c r="U79" s="319">
        <f t="shared" si="49"/>
        <v>1000000000</v>
      </c>
      <c r="V79" s="319">
        <f t="shared" si="50"/>
        <v>190549.71039999998</v>
      </c>
      <c r="X79" s="345">
        <f t="shared" si="43"/>
        <v>49.315714942706883</v>
      </c>
      <c r="Y79" s="346">
        <f t="shared" si="44"/>
        <v>-86.128143542942098</v>
      </c>
      <c r="AA79" s="345">
        <f t="shared" si="45"/>
        <v>59.699394226899472</v>
      </c>
      <c r="AB79" s="346">
        <f t="shared" si="46"/>
        <v>-5.9242739206484396</v>
      </c>
      <c r="AD79">
        <f t="shared" si="51"/>
        <v>0</v>
      </c>
      <c r="AE79">
        <f t="shared" si="47"/>
        <v>0</v>
      </c>
    </row>
    <row r="80" spans="1:31" x14ac:dyDescent="0.25">
      <c r="A80" s="347">
        <v>478.63</v>
      </c>
      <c r="B80" s="364">
        <f t="shared" si="48"/>
        <v>0.47863</v>
      </c>
      <c r="C80" s="337">
        <f t="shared" si="26"/>
        <v>1.0058441875435939</v>
      </c>
      <c r="D80" s="338">
        <f t="shared" si="27"/>
        <v>0.10785051376913442</v>
      </c>
      <c r="E80" s="338">
        <f t="shared" si="28"/>
        <v>1.000000260466575</v>
      </c>
      <c r="F80" s="339">
        <f t="shared" si="29"/>
        <v>7.2175690990432771E-4</v>
      </c>
      <c r="G80" s="338">
        <f t="shared" si="30"/>
        <v>1</v>
      </c>
      <c r="H80" s="339">
        <f t="shared" si="31"/>
        <v>0</v>
      </c>
      <c r="I80" s="337">
        <f t="shared" si="32"/>
        <v>288.77897672077194</v>
      </c>
      <c r="J80" s="340">
        <f t="shared" si="33"/>
        <v>1.5673334639164136</v>
      </c>
      <c r="K80" s="348">
        <f t="shared" si="34"/>
        <v>1.0027661754759869</v>
      </c>
      <c r="L80" s="349">
        <f t="shared" si="35"/>
        <v>7.4294199669315858E-2</v>
      </c>
      <c r="M80" s="337">
        <f t="shared" si="36"/>
        <v>1.0000096131940757</v>
      </c>
      <c r="N80" s="340">
        <f t="shared" si="37"/>
        <v>4.3847729850212836E-3</v>
      </c>
      <c r="O80" s="341">
        <f t="shared" si="38"/>
        <v>1.0000001240094385</v>
      </c>
      <c r="P80" s="342">
        <f t="shared" si="39"/>
        <v>6.1736295349285077E-3</v>
      </c>
      <c r="Q80" s="343">
        <f t="shared" si="40"/>
        <v>45.971002893476992</v>
      </c>
      <c r="R80" s="344">
        <f t="shared" si="41"/>
        <v>-92.287826129441044</v>
      </c>
      <c r="S80" s="346">
        <f t="shared" si="42"/>
        <v>87.712173870558956</v>
      </c>
      <c r="U80" s="319">
        <f t="shared" si="49"/>
        <v>1000000000</v>
      </c>
      <c r="V80" s="319">
        <f t="shared" si="50"/>
        <v>229086.67689999999</v>
      </c>
      <c r="X80" s="345">
        <f t="shared" si="43"/>
        <v>48.519822963823032</v>
      </c>
      <c r="Y80" s="346">
        <f t="shared" si="44"/>
        <v>-85.796077572877365</v>
      </c>
      <c r="AA80" s="345">
        <f t="shared" si="45"/>
        <v>59.690921264043936</v>
      </c>
      <c r="AB80" s="346">
        <f t="shared" si="46"/>
        <v>-6.4917485565636737</v>
      </c>
      <c r="AD80">
        <f t="shared" si="51"/>
        <v>0</v>
      </c>
      <c r="AE80">
        <f t="shared" si="47"/>
        <v>0</v>
      </c>
    </row>
    <row r="81" spans="1:31" x14ac:dyDescent="0.25">
      <c r="A81" s="347">
        <v>524.80999999999995</v>
      </c>
      <c r="B81" s="364">
        <f t="shared" si="48"/>
        <v>0.52481</v>
      </c>
      <c r="C81" s="337">
        <f t="shared" si="26"/>
        <v>1.0070222054584079</v>
      </c>
      <c r="D81" s="338">
        <f t="shared" si="27"/>
        <v>0.11816393184215378</v>
      </c>
      <c r="E81" s="338">
        <f t="shared" si="28"/>
        <v>1.000000313152843</v>
      </c>
      <c r="F81" s="339">
        <f t="shared" si="29"/>
        <v>7.9139466933199473E-4</v>
      </c>
      <c r="G81" s="338">
        <f t="shared" si="30"/>
        <v>1</v>
      </c>
      <c r="H81" s="339">
        <f t="shared" si="31"/>
        <v>0</v>
      </c>
      <c r="I81" s="337">
        <f t="shared" si="32"/>
        <v>316.64112549110928</v>
      </c>
      <c r="J81" s="340">
        <f t="shared" si="33"/>
        <v>1.5676381720833932</v>
      </c>
      <c r="K81" s="348">
        <f t="shared" si="34"/>
        <v>1.0033247805292402</v>
      </c>
      <c r="L81" s="349">
        <f t="shared" si="35"/>
        <v>8.1432116322903925E-2</v>
      </c>
      <c r="M81" s="337">
        <f t="shared" si="36"/>
        <v>1.0000115577064259</v>
      </c>
      <c r="N81" s="340">
        <f t="shared" si="37"/>
        <v>4.8078259348312332E-3</v>
      </c>
      <c r="O81" s="341">
        <f t="shared" si="38"/>
        <v>1.0000001491372223</v>
      </c>
      <c r="P81" s="342">
        <f t="shared" si="39"/>
        <v>6.7692927689455553E-3</v>
      </c>
      <c r="Q81" s="343">
        <f t="shared" si="40"/>
        <v>45.165621815310843</v>
      </c>
      <c r="R81" s="344">
        <f t="shared" si="41"/>
        <v>-92.541605638998334</v>
      </c>
      <c r="S81" s="346">
        <f t="shared" si="42"/>
        <v>87.458394361001666</v>
      </c>
      <c r="U81" s="319">
        <f t="shared" si="49"/>
        <v>1000000000</v>
      </c>
      <c r="V81" s="319">
        <f t="shared" si="50"/>
        <v>275425.53609999997</v>
      </c>
      <c r="X81" s="345">
        <f t="shared" si="43"/>
        <v>47.724608376481854</v>
      </c>
      <c r="Y81" s="346">
        <f t="shared" si="44"/>
        <v>-85.428802714176726</v>
      </c>
      <c r="AA81" s="345">
        <f t="shared" si="45"/>
        <v>59.680754773218958</v>
      </c>
      <c r="AB81" s="346">
        <f t="shared" si="46"/>
        <v>-7.1128029248216249</v>
      </c>
      <c r="AD81">
        <f t="shared" si="51"/>
        <v>0</v>
      </c>
      <c r="AE81">
        <f t="shared" si="47"/>
        <v>0</v>
      </c>
    </row>
    <row r="82" spans="1:31" x14ac:dyDescent="0.25">
      <c r="A82" s="347">
        <v>575.44000000000005</v>
      </c>
      <c r="B82" s="364">
        <f t="shared" si="48"/>
        <v>0.57544000000000006</v>
      </c>
      <c r="C82" s="337">
        <f t="shared" si="26"/>
        <v>1.0084365229138723</v>
      </c>
      <c r="D82" s="338">
        <f t="shared" si="27"/>
        <v>0.12944214436390347</v>
      </c>
      <c r="E82" s="338">
        <f t="shared" si="28"/>
        <v>1.0000003764889518</v>
      </c>
      <c r="F82" s="339">
        <f t="shared" si="29"/>
        <v>8.6774285797061688E-4</v>
      </c>
      <c r="G82" s="338">
        <f t="shared" si="30"/>
        <v>1</v>
      </c>
      <c r="H82" s="339">
        <f t="shared" si="31"/>
        <v>0</v>
      </c>
      <c r="I82" s="337">
        <f t="shared" si="32"/>
        <v>347.18815645603894</v>
      </c>
      <c r="J82" s="340">
        <f t="shared" si="33"/>
        <v>1.5679160402295826</v>
      </c>
      <c r="K82" s="348">
        <f t="shared" si="34"/>
        <v>1.0039958889532954</v>
      </c>
      <c r="L82" s="349">
        <f t="shared" si="35"/>
        <v>8.9248285434715247E-2</v>
      </c>
      <c r="M82" s="337">
        <f t="shared" si="36"/>
        <v>1.0000138952716775</v>
      </c>
      <c r="N82" s="340">
        <f t="shared" si="37"/>
        <v>5.271643155720358E-3</v>
      </c>
      <c r="O82" s="341">
        <f t="shared" si="38"/>
        <v>1.000000179363673</v>
      </c>
      <c r="P82" s="342">
        <f t="shared" si="39"/>
        <v>7.4223580538997965E-3</v>
      </c>
      <c r="Q82" s="343">
        <f t="shared" si="40"/>
        <v>44.359267706394476</v>
      </c>
      <c r="R82" s="344">
        <f t="shared" si="41"/>
        <v>-92.815505012044028</v>
      </c>
      <c r="S82" s="346">
        <f t="shared" si="42"/>
        <v>87.184494987955972</v>
      </c>
      <c r="U82" s="319">
        <f t="shared" si="49"/>
        <v>1000000000</v>
      </c>
      <c r="V82" s="319">
        <f t="shared" si="50"/>
        <v>331131.19360000006</v>
      </c>
      <c r="X82" s="345">
        <f t="shared" si="43"/>
        <v>46.930444363413464</v>
      </c>
      <c r="Y82" s="346">
        <f t="shared" si="44"/>
        <v>-85.023464652906469</v>
      </c>
      <c r="AA82" s="345">
        <f t="shared" si="45"/>
        <v>59.668564677370988</v>
      </c>
      <c r="AB82" s="346">
        <f t="shared" si="46"/>
        <v>-7.7920403591375456</v>
      </c>
      <c r="AD82">
        <f t="shared" si="51"/>
        <v>0</v>
      </c>
      <c r="AE82">
        <f t="shared" si="47"/>
        <v>0</v>
      </c>
    </row>
    <row r="83" spans="1:31" x14ac:dyDescent="0.25">
      <c r="A83" s="347">
        <v>630.96</v>
      </c>
      <c r="B83" s="364">
        <f t="shared" si="48"/>
        <v>0.63096000000000008</v>
      </c>
      <c r="C83" s="337">
        <f t="shared" si="26"/>
        <v>1.0101344469993618</v>
      </c>
      <c r="D83" s="338">
        <f t="shared" si="27"/>
        <v>0.14177158761716566</v>
      </c>
      <c r="E83" s="338">
        <f t="shared" si="28"/>
        <v>1.0000004526429711</v>
      </c>
      <c r="F83" s="339">
        <f t="shared" si="29"/>
        <v>9.5146497613716877E-4</v>
      </c>
      <c r="G83" s="338">
        <f t="shared" si="30"/>
        <v>1</v>
      </c>
      <c r="H83" s="339">
        <f t="shared" si="31"/>
        <v>0</v>
      </c>
      <c r="I83" s="337">
        <f t="shared" si="32"/>
        <v>380.68553857878663</v>
      </c>
      <c r="J83" s="340">
        <f t="shared" si="33"/>
        <v>1.5681694837743161</v>
      </c>
      <c r="K83" s="348">
        <f t="shared" si="34"/>
        <v>1.004802222329743</v>
      </c>
      <c r="L83" s="349">
        <f t="shared" si="35"/>
        <v>9.7806778616209053E-2</v>
      </c>
      <c r="M83" s="337">
        <f t="shared" si="36"/>
        <v>1.000016705904452</v>
      </c>
      <c r="N83" s="340">
        <f t="shared" si="37"/>
        <v>5.780254645370771E-3</v>
      </c>
      <c r="O83" s="341">
        <f t="shared" si="38"/>
        <v>1.0000002157353927</v>
      </c>
      <c r="P83" s="342">
        <f t="shared" si="39"/>
        <v>8.1385019559549673E-3</v>
      </c>
      <c r="Q83" s="343">
        <f t="shared" si="40"/>
        <v>43.551574836510213</v>
      </c>
      <c r="R83" s="344">
        <f t="shared" si="41"/>
        <v>-93.111462172564927</v>
      </c>
      <c r="S83" s="346">
        <f t="shared" si="42"/>
        <v>86.888537827435073</v>
      </c>
      <c r="U83" s="319">
        <f t="shared" si="49"/>
        <v>1000000000</v>
      </c>
      <c r="V83" s="319">
        <f t="shared" si="50"/>
        <v>398110.52160000004</v>
      </c>
      <c r="X83" s="345">
        <f t="shared" si="43"/>
        <v>46.137363450369406</v>
      </c>
      <c r="Y83" s="346">
        <f t="shared" si="44"/>
        <v>-84.576761651331836</v>
      </c>
      <c r="AA83" s="345">
        <f t="shared" si="45"/>
        <v>59.653952720530796</v>
      </c>
      <c r="AB83" s="346">
        <f t="shared" si="46"/>
        <v>-8.5347005212330824</v>
      </c>
      <c r="AD83">
        <f t="shared" si="51"/>
        <v>0</v>
      </c>
      <c r="AE83">
        <f t="shared" si="47"/>
        <v>0</v>
      </c>
    </row>
    <row r="84" spans="1:31" x14ac:dyDescent="0.25">
      <c r="A84" s="347">
        <v>691.83</v>
      </c>
      <c r="B84" s="364">
        <f t="shared" si="48"/>
        <v>0.69183000000000006</v>
      </c>
      <c r="C84" s="337">
        <f t="shared" si="26"/>
        <v>1.0121718117362575</v>
      </c>
      <c r="D84" s="338">
        <f t="shared" si="27"/>
        <v>0.15523929785425725</v>
      </c>
      <c r="E84" s="338">
        <f t="shared" si="28"/>
        <v>1.0000005441904127</v>
      </c>
      <c r="F84" s="339">
        <f t="shared" si="29"/>
        <v>1.0432546821776362E-3</v>
      </c>
      <c r="G84" s="338">
        <f t="shared" si="30"/>
        <v>1</v>
      </c>
      <c r="H84" s="339">
        <f t="shared" si="31"/>
        <v>0</v>
      </c>
      <c r="I84" s="337">
        <f t="shared" si="32"/>
        <v>417.41080780604807</v>
      </c>
      <c r="J84" s="340">
        <f t="shared" si="33"/>
        <v>1.5684006031148157</v>
      </c>
      <c r="K84" s="348">
        <f t="shared" si="34"/>
        <v>1.0057706886457252</v>
      </c>
      <c r="L84" s="349">
        <f t="shared" si="35"/>
        <v>0.10717344736363384</v>
      </c>
      <c r="M84" s="337">
        <f t="shared" si="36"/>
        <v>1.0000200846554042</v>
      </c>
      <c r="N84" s="340">
        <f t="shared" si="37"/>
        <v>6.3378733418807164E-3</v>
      </c>
      <c r="O84" s="341">
        <f t="shared" si="38"/>
        <v>1.0000002594996837</v>
      </c>
      <c r="P84" s="342">
        <f t="shared" si="39"/>
        <v>8.9236593971773991E-3</v>
      </c>
      <c r="Q84" s="343">
        <f t="shared" si="40"/>
        <v>42.742466309811313</v>
      </c>
      <c r="R84" s="344">
        <f t="shared" si="41"/>
        <v>-93.431352947434931</v>
      </c>
      <c r="S84" s="346">
        <f t="shared" si="42"/>
        <v>86.568647052565069</v>
      </c>
      <c r="U84" s="319">
        <f t="shared" si="49"/>
        <v>1000000000</v>
      </c>
      <c r="V84" s="319">
        <f t="shared" si="50"/>
        <v>478628.74890000006</v>
      </c>
      <c r="X84" s="345">
        <f t="shared" si="43"/>
        <v>45.345755647410854</v>
      </c>
      <c r="Y84" s="346">
        <f t="shared" si="44"/>
        <v>-84.085282424107788</v>
      </c>
      <c r="AA84" s="345">
        <f t="shared" si="45"/>
        <v>59.636451996790434</v>
      </c>
      <c r="AB84" s="346">
        <f t="shared" si="46"/>
        <v>-9.3460705233271604</v>
      </c>
      <c r="AD84">
        <f t="shared" si="51"/>
        <v>0</v>
      </c>
      <c r="AE84">
        <f t="shared" si="47"/>
        <v>0</v>
      </c>
    </row>
    <row r="85" spans="1:31" x14ac:dyDescent="0.25">
      <c r="A85" s="347">
        <v>758.58</v>
      </c>
      <c r="B85" s="364">
        <f t="shared" si="48"/>
        <v>0.75858000000000003</v>
      </c>
      <c r="C85" s="337">
        <f t="shared" si="26"/>
        <v>1.0146161159292069</v>
      </c>
      <c r="D85" s="338">
        <f t="shared" si="27"/>
        <v>0.16994283006300037</v>
      </c>
      <c r="E85" s="338">
        <f t="shared" si="28"/>
        <v>1.0000006542667623</v>
      </c>
      <c r="F85" s="339">
        <f t="shared" si="29"/>
        <v>1.1439111902210573E-3</v>
      </c>
      <c r="G85" s="338">
        <f t="shared" si="30"/>
        <v>1</v>
      </c>
      <c r="H85" s="339">
        <f t="shared" si="31"/>
        <v>0</v>
      </c>
      <c r="I85" s="337">
        <f t="shared" si="32"/>
        <v>457.68373401959275</v>
      </c>
      <c r="J85" s="340">
        <f t="shared" si="33"/>
        <v>1.5686114101782158</v>
      </c>
      <c r="K85" s="348">
        <f t="shared" si="34"/>
        <v>1.0069339362135235</v>
      </c>
      <c r="L85" s="349">
        <f t="shared" si="35"/>
        <v>0.11742321435964354</v>
      </c>
      <c r="M85" s="337">
        <f t="shared" si="36"/>
        <v>1.0000241472399849</v>
      </c>
      <c r="N85" s="340">
        <f t="shared" si="37"/>
        <v>6.9493530759869235E-3</v>
      </c>
      <c r="O85" s="341">
        <f t="shared" si="38"/>
        <v>1.0000003121803613</v>
      </c>
      <c r="P85" s="342">
        <f t="shared" si="39"/>
        <v>9.7846687226908931E-3</v>
      </c>
      <c r="Q85" s="343">
        <f t="shared" si="40"/>
        <v>41.9314854644783</v>
      </c>
      <c r="R85" s="344">
        <f t="shared" si="41"/>
        <v>-93.77721346789032</v>
      </c>
      <c r="S85" s="346">
        <f t="shared" si="42"/>
        <v>86.22278653210968</v>
      </c>
      <c r="U85" s="319">
        <f t="shared" si="49"/>
        <v>1000000000</v>
      </c>
      <c r="V85" s="319">
        <f t="shared" si="50"/>
        <v>575443.61640000006</v>
      </c>
      <c r="X85" s="345">
        <f t="shared" si="43"/>
        <v>44.55572466195779</v>
      </c>
      <c r="Y85" s="346">
        <f t="shared" si="44"/>
        <v>-83.545127596673183</v>
      </c>
      <c r="AA85" s="345">
        <f t="shared" si="45"/>
        <v>59.615502136910486</v>
      </c>
      <c r="AB85" s="346">
        <f t="shared" si="46"/>
        <v>-10.232085871217146</v>
      </c>
      <c r="AD85">
        <f t="shared" si="51"/>
        <v>0</v>
      </c>
      <c r="AE85">
        <f t="shared" si="47"/>
        <v>0</v>
      </c>
    </row>
    <row r="86" spans="1:31" x14ac:dyDescent="0.25">
      <c r="A86" s="347">
        <v>831.76</v>
      </c>
      <c r="B86" s="364">
        <f t="shared" si="48"/>
        <v>0.83175999999999994</v>
      </c>
      <c r="C86" s="337">
        <f t="shared" si="26"/>
        <v>1.017546640761932</v>
      </c>
      <c r="D86" s="338">
        <f t="shared" si="27"/>
        <v>0.18597770909720118</v>
      </c>
      <c r="E86" s="338">
        <f t="shared" si="28"/>
        <v>1.0000007865894454</v>
      </c>
      <c r="F86" s="339">
        <f t="shared" si="29"/>
        <v>1.2542638715035887E-3</v>
      </c>
      <c r="G86" s="338">
        <f t="shared" si="30"/>
        <v>1</v>
      </c>
      <c r="H86" s="339">
        <f t="shared" si="31"/>
        <v>0</v>
      </c>
      <c r="I86" s="337">
        <f t="shared" si="32"/>
        <v>501.83615406398246</v>
      </c>
      <c r="J86" s="340">
        <f t="shared" si="33"/>
        <v>1.5688036432193908</v>
      </c>
      <c r="K86" s="348">
        <f t="shared" si="34"/>
        <v>1.008330499076227</v>
      </c>
      <c r="L86" s="349">
        <f t="shared" si="35"/>
        <v>0.12863184836761049</v>
      </c>
      <c r="M86" s="337">
        <f t="shared" si="36"/>
        <v>1.000029030848085</v>
      </c>
      <c r="N86" s="340">
        <f t="shared" si="37"/>
        <v>7.6197304121901933E-3</v>
      </c>
      <c r="O86" s="341">
        <f t="shared" si="38"/>
        <v>1.000000375592496</v>
      </c>
      <c r="P86" s="342">
        <f t="shared" si="39"/>
        <v>1.072862691628482E-2</v>
      </c>
      <c r="Q86" s="343">
        <f t="shared" si="40"/>
        <v>41.118501420501936</v>
      </c>
      <c r="R86" s="344">
        <f t="shared" si="41"/>
        <v>-94.15092295083879</v>
      </c>
      <c r="S86" s="346">
        <f t="shared" si="42"/>
        <v>85.84907704916121</v>
      </c>
      <c r="U86" s="319">
        <f t="shared" si="49"/>
        <v>1000000000</v>
      </c>
      <c r="V86" s="319">
        <f t="shared" si="50"/>
        <v>691824.69759999996</v>
      </c>
      <c r="X86" s="345">
        <f t="shared" si="43"/>
        <v>43.767791391759481</v>
      </c>
      <c r="Y86" s="346">
        <f t="shared" si="44"/>
        <v>-82.952344107220469</v>
      </c>
      <c r="AA86" s="345">
        <f t="shared" si="45"/>
        <v>59.590451363132431</v>
      </c>
      <c r="AB86" s="346">
        <f t="shared" si="46"/>
        <v>-11.198578843618325</v>
      </c>
      <c r="AD86">
        <f t="shared" si="51"/>
        <v>0</v>
      </c>
      <c r="AE86">
        <f t="shared" si="47"/>
        <v>0</v>
      </c>
    </row>
    <row r="87" spans="1:31" x14ac:dyDescent="0.25">
      <c r="A87" s="347">
        <v>912.01</v>
      </c>
      <c r="B87" s="364">
        <f t="shared" si="48"/>
        <v>0.91200999999999999</v>
      </c>
      <c r="C87" s="337">
        <f t="shared" si="26"/>
        <v>1.0210591905339383</v>
      </c>
      <c r="D87" s="338">
        <f t="shared" si="27"/>
        <v>0.20345091722850653</v>
      </c>
      <c r="E87" s="338">
        <f t="shared" si="28"/>
        <v>1.0000009456952741</v>
      </c>
      <c r="F87" s="339">
        <f t="shared" si="29"/>
        <v>1.3752778110462632E-3</v>
      </c>
      <c r="G87" s="338">
        <f t="shared" si="30"/>
        <v>1</v>
      </c>
      <c r="H87" s="339">
        <f t="shared" si="31"/>
        <v>0</v>
      </c>
      <c r="I87" s="337">
        <f t="shared" si="32"/>
        <v>550.25420552884725</v>
      </c>
      <c r="J87" s="340">
        <f t="shared" si="33"/>
        <v>1.5689789839369808</v>
      </c>
      <c r="K87" s="348">
        <f t="shared" si="34"/>
        <v>1.0100071805169</v>
      </c>
      <c r="L87" s="349">
        <f t="shared" si="35"/>
        <v>0.14088601034594561</v>
      </c>
      <c r="M87" s="337">
        <f t="shared" si="36"/>
        <v>1.0000349029059306</v>
      </c>
      <c r="N87" s="340">
        <f t="shared" si="37"/>
        <v>8.3548657420020444E-3</v>
      </c>
      <c r="O87" s="341">
        <f t="shared" si="38"/>
        <v>1.0000004519622419</v>
      </c>
      <c r="P87" s="342">
        <f t="shared" si="39"/>
        <v>1.1763792748977708E-2</v>
      </c>
      <c r="Q87" s="343">
        <f t="shared" si="40"/>
        <v>40.302921930242675</v>
      </c>
      <c r="R87" s="344">
        <f t="shared" si="41"/>
        <v>-94.554495749124428</v>
      </c>
      <c r="S87" s="346">
        <f t="shared" si="42"/>
        <v>85.445504250875572</v>
      </c>
      <c r="U87" s="319">
        <f t="shared" si="49"/>
        <v>1000000000</v>
      </c>
      <c r="V87" s="319">
        <f t="shared" si="50"/>
        <v>831762.24009999994</v>
      </c>
      <c r="X87" s="345">
        <f t="shared" si="43"/>
        <v>42.982143060220928</v>
      </c>
      <c r="Y87" s="346">
        <f t="shared" si="44"/>
        <v>-82.302398778513393</v>
      </c>
      <c r="AA87" s="345">
        <f t="shared" si="45"/>
        <v>59.560520204411731</v>
      </c>
      <c r="AB87" s="346">
        <f t="shared" si="46"/>
        <v>-12.252096970611015</v>
      </c>
      <c r="AD87">
        <f t="shared" si="51"/>
        <v>0</v>
      </c>
      <c r="AE87">
        <f t="shared" si="47"/>
        <v>0</v>
      </c>
    </row>
    <row r="88" spans="1:31" x14ac:dyDescent="0.25">
      <c r="A88" s="347">
        <v>1000</v>
      </c>
      <c r="B88" s="364">
        <f t="shared" si="48"/>
        <v>1</v>
      </c>
      <c r="C88" s="337">
        <f t="shared" si="26"/>
        <v>1.0252661690751834</v>
      </c>
      <c r="D88" s="338">
        <f t="shared" si="27"/>
        <v>0.22246532025474358</v>
      </c>
      <c r="E88" s="338">
        <f t="shared" si="28"/>
        <v>1.0000011369777781</v>
      </c>
      <c r="F88" s="339">
        <f t="shared" si="29"/>
        <v>1.5079633289861801E-3</v>
      </c>
      <c r="G88" s="338">
        <f t="shared" si="30"/>
        <v>1</v>
      </c>
      <c r="H88" s="339">
        <f t="shared" si="31"/>
        <v>0</v>
      </c>
      <c r="I88" s="337">
        <f t="shared" si="32"/>
        <v>603.34212635394829</v>
      </c>
      <c r="J88" s="340">
        <f t="shared" si="33"/>
        <v>1.5691388916280671</v>
      </c>
      <c r="K88" s="348">
        <f t="shared" si="34"/>
        <v>1.0120192676666304</v>
      </c>
      <c r="L88" s="349">
        <f t="shared" si="35"/>
        <v>0.15427316000670208</v>
      </c>
      <c r="M88" s="337">
        <f t="shared" si="36"/>
        <v>1.0000419624515891</v>
      </c>
      <c r="N88" s="340">
        <f t="shared" si="37"/>
        <v>9.1608934355602526E-3</v>
      </c>
      <c r="O88" s="341">
        <f t="shared" si="38"/>
        <v>1.0000005439536477</v>
      </c>
      <c r="P88" s="342">
        <f t="shared" si="39"/>
        <v>1.2898813116745823E-2</v>
      </c>
      <c r="Q88" s="343">
        <f t="shared" si="40"/>
        <v>39.484428122569881</v>
      </c>
      <c r="R88" s="344">
        <f t="shared" si="41"/>
        <v>-94.989687195091022</v>
      </c>
      <c r="S88" s="346">
        <f t="shared" si="42"/>
        <v>85.010312804908978</v>
      </c>
      <c r="U88" s="319">
        <f t="shared" si="49"/>
        <v>1000000000</v>
      </c>
      <c r="V88" s="319">
        <f t="shared" si="50"/>
        <v>1000000</v>
      </c>
      <c r="X88" s="345">
        <f t="shared" si="43"/>
        <v>42.199362557104543</v>
      </c>
      <c r="Y88" s="346">
        <f t="shared" si="44"/>
        <v>-81.590715623251327</v>
      </c>
      <c r="AA88" s="345">
        <f t="shared" si="45"/>
        <v>59.524806899855321</v>
      </c>
      <c r="AB88" s="346">
        <f t="shared" si="46"/>
        <v>-13.398971571839709</v>
      </c>
      <c r="AD88">
        <f t="shared" si="51"/>
        <v>0</v>
      </c>
      <c r="AE88">
        <f t="shared" si="47"/>
        <v>0</v>
      </c>
    </row>
    <row r="89" spans="1:31" x14ac:dyDescent="0.25">
      <c r="A89" s="347">
        <v>1096.5</v>
      </c>
      <c r="B89" s="364">
        <f t="shared" si="48"/>
        <v>1.0965</v>
      </c>
      <c r="C89" s="337">
        <f t="shared" si="26"/>
        <v>1.0303024703607901</v>
      </c>
      <c r="D89" s="338">
        <f t="shared" si="27"/>
        <v>0.24313185266836054</v>
      </c>
      <c r="E89" s="338">
        <f t="shared" si="28"/>
        <v>1.0000013670021533</v>
      </c>
      <c r="F89" s="339">
        <f t="shared" si="29"/>
        <v>1.6534815366728546E-3</v>
      </c>
      <c r="G89" s="338">
        <f t="shared" si="30"/>
        <v>1</v>
      </c>
      <c r="H89" s="339">
        <f t="shared" si="31"/>
        <v>0</v>
      </c>
      <c r="I89" s="337">
        <f t="shared" si="32"/>
        <v>661.56448864271624</v>
      </c>
      <c r="J89" s="340">
        <f t="shared" si="33"/>
        <v>1.5692847577823903</v>
      </c>
      <c r="K89" s="348">
        <f t="shared" si="34"/>
        <v>1.0144335931403425</v>
      </c>
      <c r="L89" s="349">
        <f t="shared" si="35"/>
        <v>0.16889107553609956</v>
      </c>
      <c r="M89" s="337">
        <f t="shared" si="36"/>
        <v>1.0000504517554401</v>
      </c>
      <c r="N89" s="340">
        <f t="shared" si="37"/>
        <v>1.0044862804595578E-2</v>
      </c>
      <c r="O89" s="341">
        <f t="shared" si="38"/>
        <v>1.0000006548327867</v>
      </c>
      <c r="P89" s="342">
        <f t="shared" si="39"/>
        <v>1.4143626367348582E-2</v>
      </c>
      <c r="Q89" s="343">
        <f t="shared" si="40"/>
        <v>38.662319259655547</v>
      </c>
      <c r="R89" s="344">
        <f t="shared" si="41"/>
        <v>-95.458237610463613</v>
      </c>
      <c r="S89" s="346">
        <f t="shared" si="42"/>
        <v>84.541762389536387</v>
      </c>
      <c r="U89" s="319">
        <f t="shared" si="49"/>
        <v>1000000000</v>
      </c>
      <c r="V89" s="319">
        <f t="shared" si="50"/>
        <v>1202312.25</v>
      </c>
      <c r="X89" s="345">
        <f t="shared" si="43"/>
        <v>41.419814939978338</v>
      </c>
      <c r="Y89" s="346">
        <f t="shared" si="44"/>
        <v>-80.812175986329578</v>
      </c>
      <c r="AA89" s="345">
        <f t="shared" si="45"/>
        <v>59.482245654067185</v>
      </c>
      <c r="AB89" s="346">
        <f t="shared" si="46"/>
        <v>-14.646061624134029</v>
      </c>
      <c r="AD89">
        <f t="shared" si="51"/>
        <v>0</v>
      </c>
      <c r="AE89">
        <f t="shared" si="47"/>
        <v>0</v>
      </c>
    </row>
    <row r="90" spans="1:31" x14ac:dyDescent="0.25">
      <c r="A90" s="347">
        <v>1202.3</v>
      </c>
      <c r="B90" s="364">
        <f t="shared" si="48"/>
        <v>1.2022999999999999</v>
      </c>
      <c r="C90" s="337">
        <f t="shared" si="26"/>
        <v>1.0363245467427507</v>
      </c>
      <c r="D90" s="338">
        <f t="shared" si="27"/>
        <v>0.26554858303117007</v>
      </c>
      <c r="E90" s="338">
        <f t="shared" si="28"/>
        <v>1.0000016435297161</v>
      </c>
      <c r="F90" s="339">
        <f t="shared" si="29"/>
        <v>1.8130236981801597E-3</v>
      </c>
      <c r="G90" s="338">
        <f t="shared" si="30"/>
        <v>1</v>
      </c>
      <c r="H90" s="339">
        <f t="shared" si="31"/>
        <v>0</v>
      </c>
      <c r="I90" s="337">
        <f t="shared" si="32"/>
        <v>725.39793142514918</v>
      </c>
      <c r="J90" s="340">
        <f t="shared" si="33"/>
        <v>1.5694177726614837</v>
      </c>
      <c r="K90" s="348">
        <f t="shared" si="34"/>
        <v>1.0173284304406192</v>
      </c>
      <c r="L90" s="349">
        <f t="shared" si="35"/>
        <v>0.18483423292454373</v>
      </c>
      <c r="M90" s="337">
        <f t="shared" si="36"/>
        <v>1.0000606572180282</v>
      </c>
      <c r="N90" s="340">
        <f t="shared" si="37"/>
        <v>1.1014004912384003E-2</v>
      </c>
      <c r="O90" s="341">
        <f t="shared" si="38"/>
        <v>1.000000788498022</v>
      </c>
      <c r="P90" s="342">
        <f t="shared" si="39"/>
        <v>1.5508430831181995E-2</v>
      </c>
      <c r="Q90" s="343">
        <f t="shared" si="40"/>
        <v>37.836279610361146</v>
      </c>
      <c r="R90" s="344">
        <f t="shared" si="41"/>
        <v>-95.961351407678265</v>
      </c>
      <c r="S90" s="346">
        <f t="shared" si="42"/>
        <v>84.038648592321735</v>
      </c>
      <c r="U90" s="319">
        <f t="shared" si="49"/>
        <v>1000000000</v>
      </c>
      <c r="V90" s="319">
        <f t="shared" si="50"/>
        <v>1445525.2899999998</v>
      </c>
      <c r="X90" s="345">
        <f t="shared" si="43"/>
        <v>40.644394929584891</v>
      </c>
      <c r="Y90" s="346">
        <f t="shared" si="44"/>
        <v>-79.961849298596448</v>
      </c>
      <c r="AA90" s="345">
        <f t="shared" si="45"/>
        <v>59.431626015166223</v>
      </c>
      <c r="AB90" s="346">
        <f t="shared" si="46"/>
        <v>-15.999502109081817</v>
      </c>
      <c r="AD90">
        <f t="shared" si="51"/>
        <v>0</v>
      </c>
      <c r="AE90">
        <f t="shared" ref="AE90:AE153" si="52">IF(AD90&gt;0,S90,0)</f>
        <v>0</v>
      </c>
    </row>
    <row r="91" spans="1:31" x14ac:dyDescent="0.25">
      <c r="A91" s="347">
        <v>1318.3</v>
      </c>
      <c r="B91" s="364">
        <f t="shared" si="48"/>
        <v>1.3183</v>
      </c>
      <c r="C91" s="337">
        <f t="shared" si="26"/>
        <v>1.0435182565669447</v>
      </c>
      <c r="D91" s="338">
        <f t="shared" si="27"/>
        <v>0.28981555181298024</v>
      </c>
      <c r="E91" s="338">
        <f t="shared" si="28"/>
        <v>1.0000019759697811</v>
      </c>
      <c r="F91" s="339">
        <f t="shared" si="29"/>
        <v>1.9879469446890466E-3</v>
      </c>
      <c r="G91" s="338">
        <f t="shared" si="30"/>
        <v>1</v>
      </c>
      <c r="H91" s="339">
        <f t="shared" si="31"/>
        <v>0</v>
      </c>
      <c r="I91" s="337">
        <f t="shared" si="32"/>
        <v>795.38546130004192</v>
      </c>
      <c r="J91" s="340">
        <f t="shared" si="33"/>
        <v>1.5695390744158892</v>
      </c>
      <c r="K91" s="348">
        <f t="shared" si="34"/>
        <v>1.0207977236124537</v>
      </c>
      <c r="L91" s="349">
        <f t="shared" si="35"/>
        <v>0.20220560124362275</v>
      </c>
      <c r="M91" s="337">
        <f t="shared" si="36"/>
        <v>1.0000729260404353</v>
      </c>
      <c r="N91" s="340">
        <f t="shared" si="37"/>
        <v>1.20765565350065E-2</v>
      </c>
      <c r="O91" s="341">
        <f t="shared" si="38"/>
        <v>1.0000009497245455</v>
      </c>
      <c r="P91" s="342">
        <f t="shared" si="39"/>
        <v>1.7004846424810396E-2</v>
      </c>
      <c r="Q91" s="343">
        <f t="shared" si="40"/>
        <v>37.005632727068914</v>
      </c>
      <c r="R91" s="344">
        <f t="shared" si="41"/>
        <v>-96.499985948231512</v>
      </c>
      <c r="S91" s="346">
        <f t="shared" si="42"/>
        <v>83.500014051768488</v>
      </c>
      <c r="U91" s="319">
        <f t="shared" si="49"/>
        <v>1000000000</v>
      </c>
      <c r="V91" s="319">
        <f t="shared" si="50"/>
        <v>1737914.89</v>
      </c>
      <c r="X91" s="345">
        <f t="shared" si="43"/>
        <v>39.873831887421588</v>
      </c>
      <c r="Y91" s="346">
        <f t="shared" si="44"/>
        <v>-79.034373010552187</v>
      </c>
      <c r="AA91" s="345">
        <f t="shared" si="45"/>
        <v>59.371542174037302</v>
      </c>
      <c r="AB91" s="346">
        <f t="shared" si="46"/>
        <v>-17.465612937679325</v>
      </c>
      <c r="AD91">
        <f t="shared" si="51"/>
        <v>0</v>
      </c>
      <c r="AE91">
        <f t="shared" si="52"/>
        <v>0</v>
      </c>
    </row>
    <row r="92" spans="1:31" x14ac:dyDescent="0.25">
      <c r="A92" s="347">
        <v>1445.4</v>
      </c>
      <c r="B92" s="364">
        <f t="shared" si="48"/>
        <v>1.4454</v>
      </c>
      <c r="C92" s="337">
        <f t="shared" si="26"/>
        <v>1.0520954799068558</v>
      </c>
      <c r="D92" s="338">
        <f t="shared" si="27"/>
        <v>0.31600647158357292</v>
      </c>
      <c r="E92" s="338">
        <f t="shared" si="28"/>
        <v>1.0000023753510825</v>
      </c>
      <c r="F92" s="339">
        <f t="shared" si="29"/>
        <v>2.1796083962722979E-3</v>
      </c>
      <c r="G92" s="338">
        <f t="shared" si="30"/>
        <v>1</v>
      </c>
      <c r="H92" s="339">
        <f t="shared" si="31"/>
        <v>0</v>
      </c>
      <c r="I92" s="337">
        <f t="shared" si="32"/>
        <v>872.07008495192997</v>
      </c>
      <c r="J92" s="340">
        <f t="shared" si="33"/>
        <v>1.5696496297158338</v>
      </c>
      <c r="K92" s="348">
        <f t="shared" si="34"/>
        <v>1.0249500788245169</v>
      </c>
      <c r="L92" s="349">
        <f t="shared" si="35"/>
        <v>0.22109786718880275</v>
      </c>
      <c r="M92" s="337">
        <f t="shared" si="36"/>
        <v>1.0000876651600616</v>
      </c>
      <c r="N92" s="340">
        <f t="shared" si="37"/>
        <v>1.3240751959302757E-2</v>
      </c>
      <c r="O92" s="341">
        <f t="shared" si="38"/>
        <v>1.0000011441883414</v>
      </c>
      <c r="P92" s="342">
        <f t="shared" si="39"/>
        <v>1.8644496470825875E-2</v>
      </c>
      <c r="Q92" s="343">
        <f t="shared" si="40"/>
        <v>36.170190024284501</v>
      </c>
      <c r="R92" s="344">
        <f t="shared" si="41"/>
        <v>-97.074169480885061</v>
      </c>
      <c r="S92" s="346">
        <f t="shared" si="42"/>
        <v>82.925830519114939</v>
      </c>
      <c r="U92" s="319">
        <f t="shared" si="49"/>
        <v>1000000000</v>
      </c>
      <c r="V92" s="319">
        <f t="shared" si="50"/>
        <v>2089181.1600000001</v>
      </c>
      <c r="X92" s="345">
        <f t="shared" si="43"/>
        <v>39.109489469083613</v>
      </c>
      <c r="Y92" s="346">
        <f t="shared" si="44"/>
        <v>-78.024963741731469</v>
      </c>
      <c r="AA92" s="345">
        <f t="shared" si="45"/>
        <v>59.300441889590871</v>
      </c>
      <c r="AB92" s="346">
        <f t="shared" si="46"/>
        <v>-19.049205739153599</v>
      </c>
      <c r="AD92">
        <f t="shared" si="51"/>
        <v>0</v>
      </c>
      <c r="AE92">
        <f t="shared" si="52"/>
        <v>0</v>
      </c>
    </row>
    <row r="93" spans="1:31" x14ac:dyDescent="0.25">
      <c r="A93" s="347">
        <v>1584.9</v>
      </c>
      <c r="B93" s="364">
        <f t="shared" si="48"/>
        <v>1.5849000000000002</v>
      </c>
      <c r="C93" s="337">
        <f t="shared" si="26"/>
        <v>1.062325813976277</v>
      </c>
      <c r="D93" s="338">
        <f t="shared" si="27"/>
        <v>0.34424420203281841</v>
      </c>
      <c r="E93" s="338">
        <f t="shared" si="28"/>
        <v>1.0000028559811331</v>
      </c>
      <c r="F93" s="339">
        <f t="shared" si="29"/>
        <v>2.3899683412035729E-3</v>
      </c>
      <c r="G93" s="338">
        <f t="shared" si="30"/>
        <v>1</v>
      </c>
      <c r="H93" s="339">
        <f t="shared" si="31"/>
        <v>0</v>
      </c>
      <c r="I93" s="337">
        <f t="shared" si="32"/>
        <v>956.23614550710977</v>
      </c>
      <c r="J93" s="340">
        <f t="shared" si="33"/>
        <v>1.5697505598188521</v>
      </c>
      <c r="K93" s="348">
        <f t="shared" si="34"/>
        <v>1.0299249811053239</v>
      </c>
      <c r="L93" s="349">
        <f t="shared" si="35"/>
        <v>0.24164974677171558</v>
      </c>
      <c r="M93" s="337">
        <f t="shared" si="36"/>
        <v>1.0001054024749683</v>
      </c>
      <c r="N93" s="340">
        <f t="shared" si="37"/>
        <v>1.4518485990818657E-2</v>
      </c>
      <c r="O93" s="341">
        <f t="shared" si="38"/>
        <v>1.000001379330598</v>
      </c>
      <c r="P93" s="342">
        <f t="shared" si="39"/>
        <v>2.0444169069511818E-2</v>
      </c>
      <c r="Q93" s="343">
        <f t="shared" si="40"/>
        <v>35.327768748384386</v>
      </c>
      <c r="R93" s="344">
        <f t="shared" si="41"/>
        <v>-97.684588841852147</v>
      </c>
      <c r="S93" s="346">
        <f t="shared" si="42"/>
        <v>82.315411158147853</v>
      </c>
      <c r="U93" s="319">
        <f t="shared" si="49"/>
        <v>1000000000</v>
      </c>
      <c r="V93" s="319">
        <f t="shared" si="50"/>
        <v>2511908.0100000002</v>
      </c>
      <c r="X93" s="345">
        <f t="shared" si="43"/>
        <v>38.351117660607173</v>
      </c>
      <c r="Y93" s="346">
        <f t="shared" si="44"/>
        <v>-76.926419415589066</v>
      </c>
      <c r="AA93" s="345">
        <f t="shared" si="45"/>
        <v>59.216392422167189</v>
      </c>
      <c r="AB93" s="346">
        <f t="shared" si="46"/>
        <v>-20.758169426263073</v>
      </c>
      <c r="AD93">
        <f t="shared" si="51"/>
        <v>0</v>
      </c>
      <c r="AE93">
        <f t="shared" si="52"/>
        <v>0</v>
      </c>
    </row>
    <row r="94" spans="1:31" x14ac:dyDescent="0.25">
      <c r="A94" s="347">
        <v>1737.8</v>
      </c>
      <c r="B94" s="364">
        <f t="shared" si="48"/>
        <v>1.7378</v>
      </c>
      <c r="C94" s="337">
        <f t="shared" si="26"/>
        <v>1.0744919491580218</v>
      </c>
      <c r="D94" s="338">
        <f t="shared" si="27"/>
        <v>0.3745498670452459</v>
      </c>
      <c r="E94" s="338">
        <f t="shared" si="28"/>
        <v>1.000003433610779</v>
      </c>
      <c r="F94" s="339">
        <f t="shared" si="29"/>
        <v>2.6205346608449147E-3</v>
      </c>
      <c r="G94" s="338">
        <f t="shared" si="30"/>
        <v>1</v>
      </c>
      <c r="H94" s="339">
        <f t="shared" si="31"/>
        <v>0</v>
      </c>
      <c r="I94" s="337">
        <f t="shared" si="32"/>
        <v>1048.4869839098951</v>
      </c>
      <c r="J94" s="340">
        <f t="shared" si="33"/>
        <v>1.5698425713673574</v>
      </c>
      <c r="K94" s="348">
        <f t="shared" si="34"/>
        <v>1.035872297701746</v>
      </c>
      <c r="L94" s="349">
        <f t="shared" si="35"/>
        <v>0.26393854767920444</v>
      </c>
      <c r="M94" s="337">
        <f t="shared" si="36"/>
        <v>1.0001267190869709</v>
      </c>
      <c r="N94" s="340">
        <f t="shared" si="37"/>
        <v>1.5918901154202053E-2</v>
      </c>
      <c r="O94" s="341">
        <f t="shared" si="38"/>
        <v>1.0000016635436459</v>
      </c>
      <c r="P94" s="342">
        <f t="shared" si="39"/>
        <v>2.241678816799958E-2</v>
      </c>
      <c r="Q94" s="343">
        <f t="shared" si="40"/>
        <v>34.478732326862726</v>
      </c>
      <c r="R94" s="344">
        <f t="shared" si="41"/>
        <v>-98.329243344472403</v>
      </c>
      <c r="S94" s="346">
        <f t="shared" si="42"/>
        <v>81.670756655527597</v>
      </c>
      <c r="U94" s="319">
        <f t="shared" si="49"/>
        <v>1000000000</v>
      </c>
      <c r="V94" s="319">
        <f t="shared" si="50"/>
        <v>3019948.84</v>
      </c>
      <c r="X94" s="345">
        <f t="shared" si="43"/>
        <v>37.600987311757557</v>
      </c>
      <c r="Y94" s="346">
        <f t="shared" si="44"/>
        <v>-75.734874943644868</v>
      </c>
      <c r="AA94" s="345">
        <f t="shared" si="45"/>
        <v>59.117486349495145</v>
      </c>
      <c r="AB94" s="346">
        <f t="shared" si="46"/>
        <v>-22.594368400827552</v>
      </c>
      <c r="AD94">
        <f t="shared" si="51"/>
        <v>0</v>
      </c>
      <c r="AE94">
        <f t="shared" si="52"/>
        <v>0</v>
      </c>
    </row>
    <row r="95" spans="1:31" x14ac:dyDescent="0.25">
      <c r="A95" s="347">
        <v>1905.5</v>
      </c>
      <c r="B95" s="364">
        <f t="shared" si="48"/>
        <v>1.9055</v>
      </c>
      <c r="C95" s="337">
        <f t="shared" si="26"/>
        <v>1.0889432060046933</v>
      </c>
      <c r="D95" s="338">
        <f t="shared" si="27"/>
        <v>0.40697722274438813</v>
      </c>
      <c r="E95" s="338">
        <f t="shared" si="28"/>
        <v>1.0000041282808334</v>
      </c>
      <c r="F95" s="339">
        <f t="shared" si="29"/>
        <v>2.8734183932117023E-3</v>
      </c>
      <c r="G95" s="338">
        <f t="shared" si="30"/>
        <v>1</v>
      </c>
      <c r="H95" s="339">
        <f t="shared" si="31"/>
        <v>0</v>
      </c>
      <c r="I95" s="337">
        <f t="shared" si="32"/>
        <v>1149.6672775542522</v>
      </c>
      <c r="J95" s="340">
        <f t="shared" si="33"/>
        <v>1.5699265098090429</v>
      </c>
      <c r="K95" s="348">
        <f t="shared" si="34"/>
        <v>1.0429797598421913</v>
      </c>
      <c r="L95" s="349">
        <f t="shared" si="35"/>
        <v>0.28807915642332577</v>
      </c>
      <c r="M95" s="337">
        <f t="shared" si="36"/>
        <v>1.0001523543256756</v>
      </c>
      <c r="N95" s="340">
        <f t="shared" si="37"/>
        <v>1.7454797907145787E-2</v>
      </c>
      <c r="O95" s="341">
        <f t="shared" si="38"/>
        <v>1.0000020076794711</v>
      </c>
      <c r="P95" s="342">
        <f t="shared" si="39"/>
        <v>2.4580446029034732E-2</v>
      </c>
      <c r="Q95" s="343">
        <f t="shared" si="40"/>
        <v>33.621682154085981</v>
      </c>
      <c r="R95" s="344">
        <f t="shared" si="41"/>
        <v>-99.00632798499619</v>
      </c>
      <c r="S95" s="346">
        <f t="shared" si="42"/>
        <v>80.99367201500381</v>
      </c>
      <c r="U95" s="319">
        <f t="shared" si="49"/>
        <v>1000000000</v>
      </c>
      <c r="V95" s="319">
        <f t="shared" si="50"/>
        <v>3630930.25</v>
      </c>
      <c r="X95" s="345">
        <f t="shared" si="43"/>
        <v>36.859975371296791</v>
      </c>
      <c r="Y95" s="346">
        <f t="shared" si="44"/>
        <v>-74.444529666414667</v>
      </c>
      <c r="AA95" s="345">
        <f t="shared" si="45"/>
        <v>59.001448117179166</v>
      </c>
      <c r="AB95" s="346">
        <f t="shared" si="46"/>
        <v>-24.561798318581502</v>
      </c>
      <c r="AD95">
        <f t="shared" si="51"/>
        <v>0</v>
      </c>
      <c r="AE95">
        <f t="shared" si="52"/>
        <v>0</v>
      </c>
    </row>
    <row r="96" spans="1:31" x14ac:dyDescent="0.25">
      <c r="A96" s="347">
        <v>2089.3000000000002</v>
      </c>
      <c r="B96" s="364">
        <f t="shared" si="48"/>
        <v>2.0893000000000002</v>
      </c>
      <c r="C96" s="337">
        <f t="shared" si="26"/>
        <v>1.106060174876659</v>
      </c>
      <c r="D96" s="338">
        <f t="shared" si="27"/>
        <v>0.44150420062668921</v>
      </c>
      <c r="E96" s="338">
        <f t="shared" si="28"/>
        <v>1.0000049630968977</v>
      </c>
      <c r="F96" s="339">
        <f t="shared" si="29"/>
        <v>3.1505797469296134E-3</v>
      </c>
      <c r="G96" s="338">
        <f t="shared" si="30"/>
        <v>1</v>
      </c>
      <c r="H96" s="339">
        <f t="shared" si="31"/>
        <v>0</v>
      </c>
      <c r="I96" s="337">
        <f t="shared" si="32"/>
        <v>1260.5613698000006</v>
      </c>
      <c r="J96" s="340">
        <f t="shared" si="33"/>
        <v>1.570003029357069</v>
      </c>
      <c r="K96" s="348">
        <f t="shared" si="34"/>
        <v>1.0514575628727292</v>
      </c>
      <c r="L96" s="349">
        <f t="shared" si="35"/>
        <v>0.31414562095742476</v>
      </c>
      <c r="M96" s="337">
        <f t="shared" si="36"/>
        <v>1.0001831604925344</v>
      </c>
      <c r="N96" s="340">
        <f t="shared" si="37"/>
        <v>1.913805321508023E-2</v>
      </c>
      <c r="O96" s="341">
        <f t="shared" si="38"/>
        <v>1.0000024246161754</v>
      </c>
      <c r="P96" s="342">
        <f t="shared" si="39"/>
        <v>2.6951955163375417E-2</v>
      </c>
      <c r="Q96" s="343">
        <f t="shared" si="40"/>
        <v>32.756428638276063</v>
      </c>
      <c r="R96" s="344">
        <f t="shared" si="41"/>
        <v>-99.711904653970549</v>
      </c>
      <c r="S96" s="346">
        <f t="shared" si="42"/>
        <v>80.288095346029451</v>
      </c>
      <c r="U96" s="319">
        <f t="shared" si="49"/>
        <v>1000000000</v>
      </c>
      <c r="V96" s="319">
        <f t="shared" si="50"/>
        <v>4365174.4900000012</v>
      </c>
      <c r="X96" s="345">
        <f t="shared" si="43"/>
        <v>36.130188738283863</v>
      </c>
      <c r="Y96" s="346">
        <f t="shared" si="44"/>
        <v>-73.051858932331783</v>
      </c>
      <c r="AA96" s="345">
        <f t="shared" si="45"/>
        <v>58.865981234382176</v>
      </c>
      <c r="AB96" s="346">
        <f t="shared" si="46"/>
        <v>-26.660045721638763</v>
      </c>
      <c r="AD96">
        <f t="shared" si="51"/>
        <v>0</v>
      </c>
      <c r="AE96">
        <f t="shared" si="52"/>
        <v>0</v>
      </c>
    </row>
    <row r="97" spans="1:31" x14ac:dyDescent="0.25">
      <c r="A97" s="347">
        <v>2290.9</v>
      </c>
      <c r="B97" s="364">
        <f t="shared" si="48"/>
        <v>2.2909000000000002</v>
      </c>
      <c r="C97" s="337">
        <f t="shared" si="26"/>
        <v>1.1263016143669924</v>
      </c>
      <c r="D97" s="338">
        <f t="shared" si="27"/>
        <v>0.47811969194243831</v>
      </c>
      <c r="E97" s="338">
        <f t="shared" si="28"/>
        <v>1.0000059670982984</v>
      </c>
      <c r="F97" s="339">
        <f t="shared" si="29"/>
        <v>3.4545820663536876E-3</v>
      </c>
      <c r="G97" s="338">
        <f t="shared" si="30"/>
        <v>1</v>
      </c>
      <c r="H97" s="339">
        <f t="shared" si="31"/>
        <v>0</v>
      </c>
      <c r="I97" s="337">
        <f t="shared" si="32"/>
        <v>1382.1949404982354</v>
      </c>
      <c r="J97" s="340">
        <f t="shared" si="33"/>
        <v>1.5700728397830874</v>
      </c>
      <c r="K97" s="348">
        <f t="shared" si="34"/>
        <v>1.061563828694345</v>
      </c>
      <c r="L97" s="349">
        <f t="shared" si="35"/>
        <v>0.34223646934717922</v>
      </c>
      <c r="M97" s="337">
        <f t="shared" si="36"/>
        <v>1.0002202086703238</v>
      </c>
      <c r="N97" s="340">
        <f t="shared" si="37"/>
        <v>2.0984197293853597E-2</v>
      </c>
      <c r="O97" s="341">
        <f t="shared" si="38"/>
        <v>1.0000029309274636</v>
      </c>
      <c r="P97" s="342">
        <f t="shared" si="39"/>
        <v>2.9553302804513955E-2</v>
      </c>
      <c r="Q97" s="343">
        <f t="shared" si="40"/>
        <v>31.881573363694876</v>
      </c>
      <c r="R97" s="344">
        <f t="shared" si="41"/>
        <v>-100.44173501420204</v>
      </c>
      <c r="S97" s="346">
        <f t="shared" si="42"/>
        <v>79.558264985797962</v>
      </c>
      <c r="U97" s="319">
        <f t="shared" si="49"/>
        <v>1000000000</v>
      </c>
      <c r="V97" s="319">
        <f t="shared" si="50"/>
        <v>5248222.8100000005</v>
      </c>
      <c r="X97" s="345">
        <f t="shared" si="43"/>
        <v>35.412848167432124</v>
      </c>
      <c r="Y97" s="346">
        <f t="shared" si="44"/>
        <v>-71.552147981806954</v>
      </c>
      <c r="AA97" s="345">
        <f t="shared" si="45"/>
        <v>58.708466530652728</v>
      </c>
      <c r="AB97" s="346">
        <f t="shared" si="46"/>
        <v>-28.889587032395088</v>
      </c>
      <c r="AD97">
        <f t="shared" si="51"/>
        <v>0</v>
      </c>
      <c r="AE97">
        <f t="shared" si="52"/>
        <v>0</v>
      </c>
    </row>
    <row r="98" spans="1:31" x14ac:dyDescent="0.25">
      <c r="A98" s="347">
        <v>2511.9</v>
      </c>
      <c r="B98" s="364">
        <f t="shared" si="48"/>
        <v>2.5119000000000002</v>
      </c>
      <c r="C98" s="337">
        <f t="shared" si="26"/>
        <v>1.1501603749202629</v>
      </c>
      <c r="D98" s="338">
        <f t="shared" si="27"/>
        <v>0.51672062267060115</v>
      </c>
      <c r="E98" s="338">
        <f t="shared" si="28"/>
        <v>1.0000071739006438</v>
      </c>
      <c r="F98" s="339">
        <f t="shared" si="29"/>
        <v>3.7878378415062458E-3</v>
      </c>
      <c r="G98" s="338">
        <f t="shared" si="30"/>
        <v>1</v>
      </c>
      <c r="H98" s="339">
        <f t="shared" si="31"/>
        <v>0</v>
      </c>
      <c r="I98" s="337">
        <f t="shared" si="32"/>
        <v>1515.5333354492047</v>
      </c>
      <c r="J98" s="340">
        <f t="shared" si="33"/>
        <v>1.570136493026036</v>
      </c>
      <c r="K98" s="348">
        <f t="shared" si="34"/>
        <v>1.073585604992054</v>
      </c>
      <c r="L98" s="349">
        <f t="shared" si="35"/>
        <v>0.37239640395713586</v>
      </c>
      <c r="M98" s="337">
        <f t="shared" si="36"/>
        <v>1.0002647385425141</v>
      </c>
      <c r="N98" s="340">
        <f t="shared" si="37"/>
        <v>2.3007831288155582E-2</v>
      </c>
      <c r="O98" s="341">
        <f t="shared" si="38"/>
        <v>1.000003546558577</v>
      </c>
      <c r="P98" s="342">
        <f t="shared" si="39"/>
        <v>3.2405204067351895E-2</v>
      </c>
      <c r="Q98" s="343">
        <f t="shared" si="40"/>
        <v>30.997005376471588</v>
      </c>
      <c r="R98" s="344">
        <f t="shared" si="41"/>
        <v>-101.18926897337577</v>
      </c>
      <c r="S98" s="346">
        <f t="shared" si="42"/>
        <v>78.810731026624225</v>
      </c>
      <c r="U98" s="319">
        <f t="shared" si="49"/>
        <v>1000000000</v>
      </c>
      <c r="V98" s="319">
        <f t="shared" si="50"/>
        <v>6309641.6100000003</v>
      </c>
      <c r="X98" s="345">
        <f t="shared" si="43"/>
        <v>34.710348939325073</v>
      </c>
      <c r="Y98" s="346">
        <f t="shared" si="44"/>
        <v>-69.943703765753966</v>
      </c>
      <c r="AA98" s="345">
        <f t="shared" si="45"/>
        <v>58.526397771536494</v>
      </c>
      <c r="AB98" s="346">
        <f t="shared" si="46"/>
        <v>-31.245565207621812</v>
      </c>
      <c r="AD98">
        <f t="shared" si="51"/>
        <v>0</v>
      </c>
      <c r="AE98">
        <f t="shared" si="52"/>
        <v>0</v>
      </c>
    </row>
    <row r="99" spans="1:31" x14ac:dyDescent="0.25">
      <c r="A99" s="347">
        <v>2754.2</v>
      </c>
      <c r="B99" s="364">
        <f t="shared" si="48"/>
        <v>2.7542</v>
      </c>
      <c r="C99" s="337">
        <f t="shared" si="26"/>
        <v>1.1782026552936271</v>
      </c>
      <c r="D99" s="338">
        <f t="shared" si="27"/>
        <v>0.55717860815659104</v>
      </c>
      <c r="E99" s="338">
        <f t="shared" si="28"/>
        <v>1.0000086246464002</v>
      </c>
      <c r="F99" s="339">
        <f t="shared" si="29"/>
        <v>4.1532118688000696E-3</v>
      </c>
      <c r="G99" s="338">
        <f t="shared" si="30"/>
        <v>1</v>
      </c>
      <c r="H99" s="339">
        <f t="shared" si="31"/>
        <v>0</v>
      </c>
      <c r="I99" s="337">
        <f t="shared" si="32"/>
        <v>1661.7229028421059</v>
      </c>
      <c r="J99" s="340">
        <f t="shared" si="33"/>
        <v>1.5701945417086784</v>
      </c>
      <c r="K99" s="348">
        <f t="shared" si="34"/>
        <v>1.0878616535165027</v>
      </c>
      <c r="L99" s="349">
        <f t="shared" si="35"/>
        <v>0.4046645123102664</v>
      </c>
      <c r="M99" s="337">
        <f t="shared" si="36"/>
        <v>1.0003182671445616</v>
      </c>
      <c r="N99" s="340">
        <f t="shared" si="37"/>
        <v>2.522628612516218E-2</v>
      </c>
      <c r="O99" s="341">
        <f t="shared" si="38"/>
        <v>1.0000042968192986</v>
      </c>
      <c r="P99" s="342">
        <f t="shared" si="39"/>
        <v>3.5532269003977407E-2</v>
      </c>
      <c r="Q99" s="343">
        <f t="shared" si="40"/>
        <v>30.102192267100794</v>
      </c>
      <c r="R99" s="344">
        <f t="shared" si="41"/>
        <v>-101.94718164583229</v>
      </c>
      <c r="S99" s="346">
        <f t="shared" si="42"/>
        <v>78.052818354167712</v>
      </c>
      <c r="U99" s="319">
        <f t="shared" si="49"/>
        <v>1000000000</v>
      </c>
      <c r="V99" s="319">
        <f t="shared" si="50"/>
        <v>7585617.6399999987</v>
      </c>
      <c r="X99" s="345">
        <f t="shared" si="43"/>
        <v>34.02476166297069</v>
      </c>
      <c r="Y99" s="346">
        <f t="shared" si="44"/>
        <v>-68.225311386007775</v>
      </c>
      <c r="AA99" s="345">
        <f t="shared" si="45"/>
        <v>58.317171938520083</v>
      </c>
      <c r="AB99" s="346">
        <f t="shared" si="46"/>
        <v>-33.72187025982452</v>
      </c>
      <c r="AD99">
        <f t="shared" si="51"/>
        <v>0</v>
      </c>
      <c r="AE99">
        <f t="shared" si="52"/>
        <v>0</v>
      </c>
    </row>
    <row r="100" spans="1:31" x14ac:dyDescent="0.25">
      <c r="A100" s="347">
        <v>3020</v>
      </c>
      <c r="B100" s="364">
        <f t="shared" si="48"/>
        <v>3.02</v>
      </c>
      <c r="C100" s="337">
        <f t="shared" si="26"/>
        <v>1.2110728348996664</v>
      </c>
      <c r="D100" s="338">
        <f t="shared" si="27"/>
        <v>0.59932923886559397</v>
      </c>
      <c r="E100" s="338">
        <f t="shared" si="28"/>
        <v>1.0000103696442573</v>
      </c>
      <c r="F100" s="339">
        <f t="shared" si="29"/>
        <v>4.5540212230642009E-3</v>
      </c>
      <c r="G100" s="338">
        <f t="shared" si="30"/>
        <v>1</v>
      </c>
      <c r="H100" s="339">
        <f t="shared" si="31"/>
        <v>0</v>
      </c>
      <c r="I100" s="337">
        <f t="shared" si="32"/>
        <v>1822.0909932712752</v>
      </c>
      <c r="J100" s="340">
        <f t="shared" si="33"/>
        <v>1.5702475067557804</v>
      </c>
      <c r="K100" s="348">
        <f t="shared" si="34"/>
        <v>1.1047889464197218</v>
      </c>
      <c r="L100" s="349">
        <f t="shared" si="35"/>
        <v>0.43906326621658337</v>
      </c>
      <c r="M100" s="337">
        <f t="shared" si="36"/>
        <v>1.0003826491630983</v>
      </c>
      <c r="N100" s="340">
        <f t="shared" si="37"/>
        <v>2.7659616264213507E-2</v>
      </c>
      <c r="O100" s="341">
        <f t="shared" si="38"/>
        <v>1.0000052139869124</v>
      </c>
      <c r="P100" s="342">
        <f t="shared" si="39"/>
        <v>3.8963011155588576E-2</v>
      </c>
      <c r="Q100" s="343">
        <f t="shared" si="40"/>
        <v>29.1965190513022</v>
      </c>
      <c r="R100" s="344">
        <f t="shared" si="41"/>
        <v>-102.70738805308677</v>
      </c>
      <c r="S100" s="346">
        <f t="shared" si="42"/>
        <v>77.292611946913226</v>
      </c>
      <c r="U100" s="319">
        <f t="shared" si="49"/>
        <v>1000000000</v>
      </c>
      <c r="V100" s="319">
        <f t="shared" si="50"/>
        <v>9120400</v>
      </c>
      <c r="X100" s="345">
        <f t="shared" si="43"/>
        <v>33.358086568581676</v>
      </c>
      <c r="Y100" s="346">
        <f t="shared" si="44"/>
        <v>-66.396862185367624</v>
      </c>
      <c r="AA100" s="345">
        <f t="shared" si="45"/>
        <v>58.078173817110503</v>
      </c>
      <c r="AB100" s="346">
        <f t="shared" si="46"/>
        <v>-36.310525867719122</v>
      </c>
      <c r="AD100">
        <f t="shared" si="51"/>
        <v>0</v>
      </c>
      <c r="AE100">
        <f t="shared" si="52"/>
        <v>0</v>
      </c>
    </row>
    <row r="101" spans="1:31" x14ac:dyDescent="0.25">
      <c r="A101" s="347">
        <v>3311.3</v>
      </c>
      <c r="B101" s="364">
        <f t="shared" si="48"/>
        <v>3.3113000000000001</v>
      </c>
      <c r="C101" s="337">
        <f t="shared" si="26"/>
        <v>1.2494286530762595</v>
      </c>
      <c r="D101" s="338">
        <f t="shared" si="27"/>
        <v>0.64289114531262992</v>
      </c>
      <c r="E101" s="338">
        <f t="shared" si="28"/>
        <v>1.0000124665583658</v>
      </c>
      <c r="F101" s="339">
        <f t="shared" si="29"/>
        <v>4.9932812567960285E-3</v>
      </c>
      <c r="G101" s="338">
        <f t="shared" si="30"/>
        <v>1</v>
      </c>
      <c r="H101" s="339">
        <f t="shared" si="31"/>
        <v>0</v>
      </c>
      <c r="I101" s="337">
        <f t="shared" si="32"/>
        <v>1997.8442891324371</v>
      </c>
      <c r="J101" s="340">
        <f t="shared" si="33"/>
        <v>1.5702957872647658</v>
      </c>
      <c r="K101" s="348">
        <f t="shared" si="34"/>
        <v>1.1247930945497722</v>
      </c>
      <c r="L101" s="349">
        <f t="shared" si="35"/>
        <v>0.47552521096970146</v>
      </c>
      <c r="M101" s="337">
        <f t="shared" si="36"/>
        <v>1.0004600098646805</v>
      </c>
      <c r="N101" s="340">
        <f t="shared" si="37"/>
        <v>3.032601500288714E-2</v>
      </c>
      <c r="O101" s="341">
        <f t="shared" si="38"/>
        <v>1.0000063374048993</v>
      </c>
      <c r="P101" s="342">
        <f t="shared" si="39"/>
        <v>4.2723403956738085E-2</v>
      </c>
      <c r="Q101" s="343">
        <f t="shared" si="40"/>
        <v>28.281066787726587</v>
      </c>
      <c r="R101" s="344">
        <f t="shared" si="41"/>
        <v>-103.46001244811103</v>
      </c>
      <c r="S101" s="346">
        <f t="shared" si="42"/>
        <v>76.53998755188897</v>
      </c>
      <c r="U101" s="319">
        <f t="shared" si="49"/>
        <v>1000000000</v>
      </c>
      <c r="V101" s="319">
        <f t="shared" si="50"/>
        <v>10964707.690000001</v>
      </c>
      <c r="X101" s="345">
        <f t="shared" si="43"/>
        <v>32.713449821978401</v>
      </c>
      <c r="Y101" s="346">
        <f t="shared" si="44"/>
        <v>-64.463286299587963</v>
      </c>
      <c r="AA101" s="345">
        <f t="shared" si="45"/>
        <v>57.807358300138169</v>
      </c>
      <c r="AB101" s="346">
        <f t="shared" si="46"/>
        <v>-38.996726148523095</v>
      </c>
      <c r="AD101">
        <f t="shared" si="51"/>
        <v>0</v>
      </c>
      <c r="AE101">
        <f t="shared" si="52"/>
        <v>0</v>
      </c>
    </row>
    <row r="102" spans="1:31" x14ac:dyDescent="0.25">
      <c r="A102" s="347">
        <v>3630.8</v>
      </c>
      <c r="B102" s="364">
        <f t="shared" si="48"/>
        <v>3.6308000000000002</v>
      </c>
      <c r="C102" s="337">
        <f t="shared" si="26"/>
        <v>1.2940512582755233</v>
      </c>
      <c r="D102" s="338">
        <f t="shared" si="27"/>
        <v>0.68760719343880827</v>
      </c>
      <c r="E102" s="338">
        <f t="shared" si="28"/>
        <v>1.0000149883429736</v>
      </c>
      <c r="F102" s="339">
        <f t="shared" si="29"/>
        <v>5.4750626968865972E-3</v>
      </c>
      <c r="G102" s="338">
        <f t="shared" si="30"/>
        <v>1</v>
      </c>
      <c r="H102" s="339">
        <f t="shared" si="31"/>
        <v>0</v>
      </c>
      <c r="I102" s="337">
        <f t="shared" si="32"/>
        <v>2190.6118117041747</v>
      </c>
      <c r="J102" s="340">
        <f t="shared" si="33"/>
        <v>1.5703398333032665</v>
      </c>
      <c r="K102" s="348">
        <f t="shared" si="34"/>
        <v>1.1483890535744934</v>
      </c>
      <c r="L102" s="349">
        <f t="shared" si="35"/>
        <v>0.51399957052701661</v>
      </c>
      <c r="M102" s="337">
        <f t="shared" si="36"/>
        <v>1.000553037454275</v>
      </c>
      <c r="N102" s="340">
        <f t="shared" si="37"/>
        <v>3.3250043583258448E-2</v>
      </c>
      <c r="O102" s="341">
        <f t="shared" si="38"/>
        <v>1.0000077192181624</v>
      </c>
      <c r="P102" s="342">
        <f t="shared" si="39"/>
        <v>4.6848511145317122E-2</v>
      </c>
      <c r="Q102" s="343">
        <f t="shared" si="40"/>
        <v>27.355720995513849</v>
      </c>
      <c r="R102" s="344">
        <f t="shared" si="41"/>
        <v>-104.19644019870445</v>
      </c>
      <c r="S102" s="346">
        <f t="shared" si="42"/>
        <v>75.803559801295549</v>
      </c>
      <c r="U102" s="319">
        <f t="shared" si="49"/>
        <v>1000000000</v>
      </c>
      <c r="V102" s="319">
        <f t="shared" si="50"/>
        <v>13182708.640000001</v>
      </c>
      <c r="X102" s="345">
        <f t="shared" si="43"/>
        <v>32.092894488451591</v>
      </c>
      <c r="Y102" s="346">
        <f t="shared" si="44"/>
        <v>-62.428926024101663</v>
      </c>
      <c r="AA102" s="345">
        <f t="shared" si="45"/>
        <v>57.502567841452226</v>
      </c>
      <c r="AB102" s="346">
        <f t="shared" si="46"/>
        <v>-41.767514174602795</v>
      </c>
      <c r="AD102">
        <f t="shared" si="51"/>
        <v>0</v>
      </c>
      <c r="AE102">
        <f t="shared" si="52"/>
        <v>0</v>
      </c>
    </row>
    <row r="103" spans="1:31" x14ac:dyDescent="0.25">
      <c r="A103" s="347">
        <v>3981.1</v>
      </c>
      <c r="B103" s="364">
        <f t="shared" si="48"/>
        <v>3.9811000000000001</v>
      </c>
      <c r="C103" s="337">
        <f t="shared" si="26"/>
        <v>1.345738735942146</v>
      </c>
      <c r="D103" s="338">
        <f t="shared" si="27"/>
        <v>0.73312576659535056</v>
      </c>
      <c r="E103" s="338">
        <f t="shared" si="28"/>
        <v>1.0000180199874329</v>
      </c>
      <c r="F103" s="339">
        <f t="shared" si="29"/>
        <v>6.0032852401061317E-3</v>
      </c>
      <c r="G103" s="338">
        <f t="shared" si="30"/>
        <v>1</v>
      </c>
      <c r="H103" s="339">
        <f t="shared" si="31"/>
        <v>0</v>
      </c>
      <c r="I103" s="337">
        <f t="shared" si="32"/>
        <v>2401.962248182524</v>
      </c>
      <c r="J103" s="340">
        <f t="shared" si="33"/>
        <v>1.5703800005059865</v>
      </c>
      <c r="K103" s="348">
        <f t="shared" si="34"/>
        <v>1.176129303753537</v>
      </c>
      <c r="L103" s="349">
        <f t="shared" si="35"/>
        <v>0.55434263709947063</v>
      </c>
      <c r="M103" s="337">
        <f t="shared" si="36"/>
        <v>1.0006648624251036</v>
      </c>
      <c r="N103" s="340">
        <f t="shared" si="37"/>
        <v>3.6455294968108516E-2</v>
      </c>
      <c r="O103" s="341">
        <f t="shared" si="38"/>
        <v>1.0000094248893701</v>
      </c>
      <c r="P103" s="342">
        <f t="shared" si="39"/>
        <v>5.1372177984748572E-2</v>
      </c>
      <c r="Q103" s="343">
        <f t="shared" si="40"/>
        <v>26.421881810911216</v>
      </c>
      <c r="R103" s="344">
        <f t="shared" si="41"/>
        <v>-104.90784576690142</v>
      </c>
      <c r="S103" s="346">
        <f t="shared" si="42"/>
        <v>75.092154233098583</v>
      </c>
      <c r="U103" s="319">
        <f t="shared" si="49"/>
        <v>1000000000</v>
      </c>
      <c r="V103" s="319">
        <f t="shared" si="50"/>
        <v>15849157.209999999</v>
      </c>
      <c r="X103" s="345">
        <f t="shared" si="43"/>
        <v>31.499229266979633</v>
      </c>
      <c r="Y103" s="346">
        <f t="shared" si="44"/>
        <v>-60.303387362277014</v>
      </c>
      <c r="AA103" s="345">
        <f t="shared" si="45"/>
        <v>57.162393878321566</v>
      </c>
      <c r="AB103" s="346">
        <f t="shared" si="46"/>
        <v>-44.604458404624388</v>
      </c>
      <c r="AD103">
        <f t="shared" si="51"/>
        <v>0</v>
      </c>
      <c r="AE103">
        <f t="shared" si="52"/>
        <v>0</v>
      </c>
    </row>
    <row r="104" spans="1:31" x14ac:dyDescent="0.25">
      <c r="A104" s="347">
        <v>4365.2</v>
      </c>
      <c r="B104" s="364">
        <f t="shared" si="48"/>
        <v>4.3651999999999997</v>
      </c>
      <c r="C104" s="337">
        <f t="shared" si="26"/>
        <v>1.4053670478233526</v>
      </c>
      <c r="D104" s="338">
        <f t="shared" si="27"/>
        <v>0.77908337606943323</v>
      </c>
      <c r="E104" s="338">
        <f t="shared" si="28"/>
        <v>1.0000216648562672</v>
      </c>
      <c r="F104" s="339">
        <f t="shared" si="29"/>
        <v>6.5824714410446213E-3</v>
      </c>
      <c r="G104" s="338">
        <f t="shared" si="30"/>
        <v>1</v>
      </c>
      <c r="H104" s="339">
        <f t="shared" si="31"/>
        <v>0</v>
      </c>
      <c r="I104" s="337">
        <f t="shared" si="32"/>
        <v>2633.7056222880165</v>
      </c>
      <c r="J104" s="340">
        <f t="shared" si="33"/>
        <v>1.5704166336296601</v>
      </c>
      <c r="K104" s="348">
        <f t="shared" si="34"/>
        <v>1.2086382126174064</v>
      </c>
      <c r="L104" s="349">
        <f t="shared" si="35"/>
        <v>0.59637423192288519</v>
      </c>
      <c r="M104" s="337">
        <f t="shared" si="36"/>
        <v>1.0007992906434786</v>
      </c>
      <c r="N104" s="340">
        <f t="shared" si="37"/>
        <v>3.9968953411454101E-2</v>
      </c>
      <c r="O104" s="341">
        <f t="shared" si="38"/>
        <v>1.0000115398665668</v>
      </c>
      <c r="P104" s="342">
        <f t="shared" si="39"/>
        <v>5.63335092320114E-2</v>
      </c>
      <c r="Q104" s="343">
        <f t="shared" si="40"/>
        <v>25.480951998872978</v>
      </c>
      <c r="R104" s="344">
        <f t="shared" si="41"/>
        <v>-105.58728497666723</v>
      </c>
      <c r="S104" s="346">
        <f t="shared" si="42"/>
        <v>74.412715023332765</v>
      </c>
      <c r="U104" s="319">
        <f t="shared" si="49"/>
        <v>1000000000</v>
      </c>
      <c r="V104" s="319">
        <f t="shared" si="50"/>
        <v>19054971.039999999</v>
      </c>
      <c r="X104" s="345">
        <f t="shared" si="43"/>
        <v>30.934866424242212</v>
      </c>
      <c r="Y104" s="346">
        <f t="shared" si="44"/>
        <v>-58.098571093003166</v>
      </c>
      <c r="AA104" s="345">
        <f t="shared" si="45"/>
        <v>56.785826909020749</v>
      </c>
      <c r="AB104" s="346">
        <f t="shared" si="46"/>
        <v>-47.488713883664069</v>
      </c>
      <c r="AD104">
        <f t="shared" si="51"/>
        <v>0</v>
      </c>
      <c r="AE104">
        <f t="shared" si="52"/>
        <v>0</v>
      </c>
    </row>
    <row r="105" spans="1:31" x14ac:dyDescent="0.25">
      <c r="A105" s="347">
        <v>4786.3</v>
      </c>
      <c r="B105" s="364">
        <f t="shared" si="48"/>
        <v>4.7862999999999998</v>
      </c>
      <c r="C105" s="337">
        <f t="shared" si="26"/>
        <v>1.4738564928524358</v>
      </c>
      <c r="D105" s="338">
        <f t="shared" si="27"/>
        <v>0.82508829121206317</v>
      </c>
      <c r="E105" s="338">
        <f t="shared" si="28"/>
        <v>1.0000260463216901</v>
      </c>
      <c r="F105" s="339">
        <f t="shared" si="29"/>
        <v>7.2174450271791021E-3</v>
      </c>
      <c r="G105" s="338">
        <f t="shared" si="30"/>
        <v>1</v>
      </c>
      <c r="H105" s="339">
        <f t="shared" si="31"/>
        <v>0</v>
      </c>
      <c r="I105" s="337">
        <f t="shared" si="32"/>
        <v>2887.7726260198565</v>
      </c>
      <c r="J105" s="340">
        <f t="shared" si="33"/>
        <v>1.5704500391367286</v>
      </c>
      <c r="K105" s="348">
        <f t="shared" si="34"/>
        <v>1.2465954708219371</v>
      </c>
      <c r="L105" s="349">
        <f t="shared" si="35"/>
        <v>0.63985080190176458</v>
      </c>
      <c r="M105" s="337">
        <f t="shared" si="36"/>
        <v>1.0009608623999695</v>
      </c>
      <c r="N105" s="340">
        <f t="shared" si="37"/>
        <v>4.3819941803370038E-2</v>
      </c>
      <c r="O105" s="341">
        <f t="shared" si="38"/>
        <v>1.0000141751730318</v>
      </c>
      <c r="P105" s="342">
        <f t="shared" si="39"/>
        <v>6.1774317387125501E-2</v>
      </c>
      <c r="Q105" s="343">
        <f t="shared" si="40"/>
        <v>24.534925536656203</v>
      </c>
      <c r="R105" s="344">
        <f t="shared" si="41"/>
        <v>-106.23006189865573</v>
      </c>
      <c r="S105" s="346">
        <f t="shared" si="42"/>
        <v>73.769938101344266</v>
      </c>
      <c r="U105" s="319">
        <f t="shared" si="49"/>
        <v>1000000000</v>
      </c>
      <c r="V105" s="319">
        <f t="shared" si="50"/>
        <v>22908667.690000001</v>
      </c>
      <c r="X105" s="345">
        <f t="shared" si="43"/>
        <v>30.402133450518782</v>
      </c>
      <c r="Y105" s="346">
        <f t="shared" si="44"/>
        <v>-55.830106499294274</v>
      </c>
      <c r="AA105" s="345">
        <f t="shared" si="45"/>
        <v>56.37253342052739</v>
      </c>
      <c r="AB105" s="346">
        <f t="shared" si="46"/>
        <v>-50.399955399361431</v>
      </c>
      <c r="AD105">
        <f t="shared" si="51"/>
        <v>0</v>
      </c>
      <c r="AE105">
        <f t="shared" si="52"/>
        <v>0</v>
      </c>
    </row>
    <row r="106" spans="1:31" x14ac:dyDescent="0.25">
      <c r="A106" s="347">
        <v>5248.1</v>
      </c>
      <c r="B106" s="364">
        <f t="shared" si="48"/>
        <v>5.2481</v>
      </c>
      <c r="C106" s="337">
        <f t="shared" si="26"/>
        <v>1.5522152649138619</v>
      </c>
      <c r="D106" s="338">
        <f t="shared" si="27"/>
        <v>0.87076644775435141</v>
      </c>
      <c r="E106" s="338">
        <f t="shared" si="28"/>
        <v>1.0000313147988993</v>
      </c>
      <c r="F106" s="339">
        <f t="shared" si="29"/>
        <v>7.9137831333240816E-3</v>
      </c>
      <c r="G106" s="338">
        <f t="shared" si="30"/>
        <v>1</v>
      </c>
      <c r="H106" s="339">
        <f t="shared" si="31"/>
        <v>0</v>
      </c>
      <c r="I106" s="337">
        <f t="shared" si="32"/>
        <v>3166.3956220326672</v>
      </c>
      <c r="J106" s="340">
        <f t="shared" si="33"/>
        <v>1.5704805102842669</v>
      </c>
      <c r="K106" s="348">
        <f t="shared" si="34"/>
        <v>1.2907600560928525</v>
      </c>
      <c r="L106" s="349">
        <f t="shared" si="35"/>
        <v>0.68449676793656677</v>
      </c>
      <c r="M106" s="337">
        <f t="shared" si="36"/>
        <v>1.0011551101818497</v>
      </c>
      <c r="N106" s="340">
        <f t="shared" si="37"/>
        <v>4.8041635632673135E-2</v>
      </c>
      <c r="O106" s="341">
        <f t="shared" si="38"/>
        <v>1.0000174783077558</v>
      </c>
      <c r="P106" s="342">
        <f t="shared" si="39"/>
        <v>6.7743039266636773E-2</v>
      </c>
      <c r="Q106" s="343">
        <f t="shared" si="40"/>
        <v>23.585677982448161</v>
      </c>
      <c r="R106" s="344">
        <f t="shared" si="41"/>
        <v>-106.83491850423277</v>
      </c>
      <c r="S106" s="346">
        <f t="shared" si="42"/>
        <v>73.165081495767225</v>
      </c>
      <c r="U106" s="319">
        <f t="shared" si="49"/>
        <v>1000000000</v>
      </c>
      <c r="V106" s="319">
        <f t="shared" si="50"/>
        <v>27542553.610000003</v>
      </c>
      <c r="X106" s="345">
        <f t="shared" si="43"/>
        <v>29.902803848412368</v>
      </c>
      <c r="Y106" s="346">
        <f t="shared" si="44"/>
        <v>-53.515712177537459</v>
      </c>
      <c r="AA106" s="345">
        <f t="shared" si="45"/>
        <v>55.922615468425775</v>
      </c>
      <c r="AB106" s="346">
        <f t="shared" si="46"/>
        <v>-53.31920632669533</v>
      </c>
      <c r="AD106">
        <f t="shared" si="51"/>
        <v>0</v>
      </c>
      <c r="AE106">
        <f t="shared" si="52"/>
        <v>0</v>
      </c>
    </row>
    <row r="107" spans="1:31" x14ac:dyDescent="0.25">
      <c r="A107" s="347">
        <v>5370.3</v>
      </c>
      <c r="B107" s="364">
        <f t="shared" si="48"/>
        <v>5.3703000000000003</v>
      </c>
      <c r="C107" s="337">
        <f t="shared" si="26"/>
        <v>1.5734578922531894</v>
      </c>
      <c r="D107" s="338">
        <f t="shared" si="27"/>
        <v>0.88208482477467332</v>
      </c>
      <c r="E107" s="338">
        <f t="shared" si="28"/>
        <v>1.0000327900589796</v>
      </c>
      <c r="F107" s="339">
        <f t="shared" si="29"/>
        <v>8.0980445806021397E-3</v>
      </c>
      <c r="G107" s="338">
        <f t="shared" si="30"/>
        <v>1</v>
      </c>
      <c r="H107" s="339">
        <f t="shared" si="31"/>
        <v>0</v>
      </c>
      <c r="I107" s="337">
        <f t="shared" si="32"/>
        <v>3240.1239250106405</v>
      </c>
      <c r="J107" s="340">
        <f t="shared" si="33"/>
        <v>1.5704876966193171</v>
      </c>
      <c r="K107" s="348">
        <f t="shared" si="34"/>
        <v>1.3028586333629093</v>
      </c>
      <c r="L107" s="349">
        <f t="shared" si="35"/>
        <v>0.69579713908863539</v>
      </c>
      <c r="M107" s="337">
        <f t="shared" si="36"/>
        <v>1.0012094961780489</v>
      </c>
      <c r="N107" s="340">
        <f t="shared" si="37"/>
        <v>4.9158485888508144E-2</v>
      </c>
      <c r="O107" s="341">
        <f t="shared" si="38"/>
        <v>1.0000184295243231</v>
      </c>
      <c r="P107" s="342">
        <f t="shared" si="39"/>
        <v>6.9322846646108702E-2</v>
      </c>
      <c r="Q107" s="343">
        <f t="shared" si="40"/>
        <v>23.348253866752341</v>
      </c>
      <c r="R107" s="344">
        <f t="shared" si="41"/>
        <v>-106.98031160936365</v>
      </c>
      <c r="S107" s="346">
        <f t="shared" si="42"/>
        <v>73.019688390636347</v>
      </c>
      <c r="U107" s="319">
        <f t="shared" si="49"/>
        <v>1000000000</v>
      </c>
      <c r="V107" s="319">
        <f t="shared" si="50"/>
        <v>28840122.090000004</v>
      </c>
      <c r="X107" s="345">
        <f t="shared" si="43"/>
        <v>29.783438681904649</v>
      </c>
      <c r="Y107" s="346">
        <f t="shared" si="44"/>
        <v>-52.932651155602287</v>
      </c>
      <c r="AA107" s="345">
        <f t="shared" si="45"/>
        <v>55.804556519237664</v>
      </c>
      <c r="AB107" s="346">
        <f t="shared" si="46"/>
        <v>-54.04766045376136</v>
      </c>
      <c r="AD107">
        <f t="shared" si="51"/>
        <v>0</v>
      </c>
      <c r="AE107">
        <f t="shared" si="52"/>
        <v>0</v>
      </c>
    </row>
    <row r="108" spans="1:31" x14ac:dyDescent="0.25">
      <c r="A108" s="347">
        <v>5432.85</v>
      </c>
      <c r="B108" s="364">
        <f t="shared" si="48"/>
        <v>5.4328500000000002</v>
      </c>
      <c r="C108" s="337">
        <f t="shared" si="26"/>
        <v>1.5844076771634494</v>
      </c>
      <c r="D108" s="338">
        <f t="shared" si="27"/>
        <v>0.88776051044662085</v>
      </c>
      <c r="E108" s="338">
        <f t="shared" si="28"/>
        <v>1.0000335583319193</v>
      </c>
      <c r="F108" s="339">
        <f t="shared" si="29"/>
        <v>8.1923615005859238E-3</v>
      </c>
      <c r="G108" s="338">
        <f t="shared" si="30"/>
        <v>1</v>
      </c>
      <c r="H108" s="339">
        <f t="shared" si="31"/>
        <v>0</v>
      </c>
      <c r="I108" s="337">
        <f t="shared" si="32"/>
        <v>3277.8629214011085</v>
      </c>
      <c r="J108" s="340">
        <f t="shared" si="33"/>
        <v>1.5704912499690833</v>
      </c>
      <c r="K108" s="348">
        <f t="shared" si="34"/>
        <v>1.3091149551970507</v>
      </c>
      <c r="L108" s="349">
        <f t="shared" si="35"/>
        <v>0.70150022166682036</v>
      </c>
      <c r="M108" s="337">
        <f t="shared" si="36"/>
        <v>1.0012378176996706</v>
      </c>
      <c r="N108" s="340">
        <f t="shared" si="37"/>
        <v>4.9730116019970676E-2</v>
      </c>
      <c r="O108" s="341">
        <f t="shared" si="38"/>
        <v>1.0000189294443851</v>
      </c>
      <c r="P108" s="342">
        <f t="shared" si="39"/>
        <v>7.0131560735327308E-2</v>
      </c>
      <c r="Q108" s="343">
        <f t="shared" si="40"/>
        <v>23.228800689646153</v>
      </c>
      <c r="R108" s="344">
        <f t="shared" si="41"/>
        <v>-107.05262941096048</v>
      </c>
      <c r="S108" s="346">
        <f t="shared" si="42"/>
        <v>72.947370589039522</v>
      </c>
      <c r="U108" s="319">
        <f t="shared" si="49"/>
        <v>1000000000</v>
      </c>
      <c r="V108" s="319">
        <f t="shared" si="50"/>
        <v>29515859.122500002</v>
      </c>
      <c r="X108" s="345">
        <f t="shared" si="43"/>
        <v>29.724219433247715</v>
      </c>
      <c r="Y108" s="346">
        <f t="shared" si="44"/>
        <v>-52.638844179242021</v>
      </c>
      <c r="AA108" s="345">
        <f t="shared" si="45"/>
        <v>55.744322590788414</v>
      </c>
      <c r="AB108" s="346">
        <f t="shared" si="46"/>
        <v>-54.413785231718435</v>
      </c>
      <c r="AD108">
        <f t="shared" si="51"/>
        <v>0</v>
      </c>
      <c r="AE108">
        <f t="shared" si="52"/>
        <v>0</v>
      </c>
    </row>
    <row r="109" spans="1:31" x14ac:dyDescent="0.25">
      <c r="A109" s="347">
        <v>5495.4</v>
      </c>
      <c r="B109" s="364">
        <f t="shared" si="48"/>
        <v>5.4954000000000001</v>
      </c>
      <c r="C109" s="337">
        <f t="shared" si="26"/>
        <v>1.5954077996973082</v>
      </c>
      <c r="D109" s="338">
        <f t="shared" si="27"/>
        <v>0.89335810819304573</v>
      </c>
      <c r="E109" s="338">
        <f t="shared" si="28"/>
        <v>1.0000343355008252</v>
      </c>
      <c r="F109" s="339">
        <f t="shared" si="29"/>
        <v>8.2866782748133964E-3</v>
      </c>
      <c r="G109" s="338">
        <f t="shared" si="30"/>
        <v>1</v>
      </c>
      <c r="H109" s="339">
        <f t="shared" si="31"/>
        <v>0</v>
      </c>
      <c r="I109" s="337">
        <f t="shared" si="32"/>
        <v>3315.6019178320207</v>
      </c>
      <c r="J109" s="340">
        <f t="shared" si="33"/>
        <v>1.5704947224286478</v>
      </c>
      <c r="K109" s="348">
        <f t="shared" si="34"/>
        <v>1.3154134503623391</v>
      </c>
      <c r="L109" s="349">
        <f t="shared" si="35"/>
        <v>0.70714887122754377</v>
      </c>
      <c r="M109" s="337">
        <f t="shared" si="36"/>
        <v>1.0012664663681994</v>
      </c>
      <c r="N109" s="340">
        <f t="shared" si="37"/>
        <v>5.0301713626743794E-2</v>
      </c>
      <c r="O109" s="341">
        <f t="shared" si="38"/>
        <v>1.0000194383263454</v>
      </c>
      <c r="P109" s="342">
        <f t="shared" si="39"/>
        <v>7.0940319324397649E-2</v>
      </c>
      <c r="Q109" s="343">
        <f t="shared" si="40"/>
        <v>23.110717025859508</v>
      </c>
      <c r="R109" s="344">
        <f t="shared" si="41"/>
        <v>-107.12358794596936</v>
      </c>
      <c r="S109" s="346">
        <f t="shared" si="42"/>
        <v>72.876412054030638</v>
      </c>
      <c r="U109" s="319">
        <f t="shared" si="49"/>
        <v>1000000000</v>
      </c>
      <c r="V109" s="319">
        <f t="shared" si="50"/>
        <v>30199421.159999996</v>
      </c>
      <c r="X109" s="345">
        <f t="shared" si="43"/>
        <v>29.666228895883158</v>
      </c>
      <c r="Y109" s="346">
        <f t="shared" si="44"/>
        <v>-52.348149486857437</v>
      </c>
      <c r="AA109" s="345">
        <f t="shared" si="45"/>
        <v>55.684229464366332</v>
      </c>
      <c r="AB109" s="346">
        <f t="shared" si="46"/>
        <v>-54.775438459111925</v>
      </c>
      <c r="AD109">
        <f t="shared" si="51"/>
        <v>0</v>
      </c>
      <c r="AE109">
        <f t="shared" si="52"/>
        <v>0</v>
      </c>
    </row>
    <row r="110" spans="1:31" x14ac:dyDescent="0.25">
      <c r="A110" s="347">
        <v>5559.4</v>
      </c>
      <c r="B110" s="364">
        <f t="shared" si="48"/>
        <v>5.5593999999999992</v>
      </c>
      <c r="C110" s="337">
        <f t="shared" si="26"/>
        <v>1.6067139441606024</v>
      </c>
      <c r="D110" s="338">
        <f t="shared" si="27"/>
        <v>0.8990059530995187</v>
      </c>
      <c r="E110" s="338">
        <f t="shared" si="28"/>
        <v>1.0000351398933038</v>
      </c>
      <c r="F110" s="339">
        <f t="shared" si="29"/>
        <v>8.3831812964692935E-3</v>
      </c>
      <c r="G110" s="338">
        <f t="shared" si="30"/>
        <v>1</v>
      </c>
      <c r="H110" s="339">
        <f t="shared" si="31"/>
        <v>0</v>
      </c>
      <c r="I110" s="337">
        <f t="shared" si="32"/>
        <v>3354.2157591446962</v>
      </c>
      <c r="J110" s="340">
        <f t="shared" si="33"/>
        <v>1.5704981945080609</v>
      </c>
      <c r="K110" s="348">
        <f t="shared" si="34"/>
        <v>1.3219009761278098</v>
      </c>
      <c r="L110" s="349">
        <f t="shared" si="35"/>
        <v>0.71287256268886146</v>
      </c>
      <c r="M110" s="337">
        <f t="shared" si="36"/>
        <v>1.001296117735673</v>
      </c>
      <c r="N110" s="340">
        <f t="shared" si="37"/>
        <v>5.0886527646584939E-2</v>
      </c>
      <c r="O110" s="341">
        <f t="shared" si="38"/>
        <v>1.0000199683951692</v>
      </c>
      <c r="P110" s="342">
        <f t="shared" si="39"/>
        <v>7.1767872702217975E-2</v>
      </c>
      <c r="Q110" s="343">
        <f t="shared" si="40"/>
        <v>22.991285793750759</v>
      </c>
      <c r="R110" s="344">
        <f t="shared" si="41"/>
        <v>-107.1948346692208</v>
      </c>
      <c r="S110" s="346">
        <f t="shared" si="42"/>
        <v>72.805165330779204</v>
      </c>
      <c r="U110" s="319">
        <f t="shared" si="49"/>
        <v>1000000000</v>
      </c>
      <c r="V110" s="319">
        <f t="shared" si="50"/>
        <v>30906928.359999996</v>
      </c>
      <c r="X110" s="345">
        <f t="shared" si="43"/>
        <v>29.608132318929155</v>
      </c>
      <c r="Y110" s="346">
        <f t="shared" si="44"/>
        <v>-52.053912433186127</v>
      </c>
      <c r="AA110" s="345">
        <f t="shared" si="45"/>
        <v>55.622894809211587</v>
      </c>
      <c r="AB110" s="346">
        <f t="shared" si="46"/>
        <v>-55.140922236034676</v>
      </c>
      <c r="AD110">
        <f t="shared" si="51"/>
        <v>0</v>
      </c>
      <c r="AE110">
        <f t="shared" si="52"/>
        <v>0</v>
      </c>
    </row>
    <row r="111" spans="1:31" x14ac:dyDescent="0.25">
      <c r="A111" s="347">
        <v>5623.4</v>
      </c>
      <c r="B111" s="364">
        <f t="shared" si="48"/>
        <v>5.6233999999999993</v>
      </c>
      <c r="C111" s="337">
        <f t="shared" si="26"/>
        <v>1.6180706226560644</v>
      </c>
      <c r="D111" s="338">
        <f t="shared" si="27"/>
        <v>0.90457469302755267</v>
      </c>
      <c r="E111" s="338">
        <f t="shared" si="28"/>
        <v>1.0000359535989283</v>
      </c>
      <c r="F111" s="339">
        <f t="shared" si="29"/>
        <v>8.4796841619794467E-3</v>
      </c>
      <c r="G111" s="338">
        <f t="shared" si="30"/>
        <v>1</v>
      </c>
      <c r="H111" s="339">
        <f t="shared" si="31"/>
        <v>0</v>
      </c>
      <c r="I111" s="337">
        <f t="shared" si="32"/>
        <v>3392.8296004968879</v>
      </c>
      <c r="J111" s="340">
        <f t="shared" si="33"/>
        <v>1.570501587555905</v>
      </c>
      <c r="K111" s="348">
        <f t="shared" si="34"/>
        <v>1.3284313844161568</v>
      </c>
      <c r="L111" s="349">
        <f t="shared" si="35"/>
        <v>0.71854016435839685</v>
      </c>
      <c r="M111" s="337">
        <f t="shared" si="36"/>
        <v>1.0013261115335166</v>
      </c>
      <c r="N111" s="340">
        <f t="shared" si="37"/>
        <v>5.1471306831288505E-2</v>
      </c>
      <c r="O111" s="341">
        <f t="shared" si="38"/>
        <v>1.0000205080796791</v>
      </c>
      <c r="P111" s="342">
        <f t="shared" si="39"/>
        <v>7.2595473740728916E-2</v>
      </c>
      <c r="Q111" s="343">
        <f t="shared" si="40"/>
        <v>22.873232801510049</v>
      </c>
      <c r="R111" s="344">
        <f t="shared" si="41"/>
        <v>-107.26475893503181</v>
      </c>
      <c r="S111" s="346">
        <f t="shared" si="42"/>
        <v>72.735241064968193</v>
      </c>
      <c r="U111" s="319">
        <f t="shared" si="49"/>
        <v>1000000000</v>
      </c>
      <c r="V111" s="319">
        <f t="shared" si="50"/>
        <v>31622627.559999995</v>
      </c>
      <c r="X111" s="345">
        <f t="shared" si="43"/>
        <v>29.551255150619561</v>
      </c>
      <c r="Y111" s="346">
        <f t="shared" si="44"/>
        <v>-51.762882563779669</v>
      </c>
      <c r="AA111" s="345">
        <f t="shared" si="45"/>
        <v>55.561718985280464</v>
      </c>
      <c r="AB111" s="346">
        <f t="shared" si="46"/>
        <v>-55.501876371252131</v>
      </c>
      <c r="AD111">
        <f t="shared" si="51"/>
        <v>0</v>
      </c>
      <c r="AE111">
        <f t="shared" si="52"/>
        <v>0</v>
      </c>
    </row>
    <row r="112" spans="1:31" x14ac:dyDescent="0.25">
      <c r="A112" s="347">
        <v>5688.9</v>
      </c>
      <c r="B112" s="364">
        <f t="shared" si="48"/>
        <v>5.6888999999999994</v>
      </c>
      <c r="C112" s="337">
        <f t="shared" si="26"/>
        <v>1.6297446953777117</v>
      </c>
      <c r="D112" s="338">
        <f t="shared" si="27"/>
        <v>0.91019341171799406</v>
      </c>
      <c r="E112" s="338">
        <f t="shared" si="28"/>
        <v>1.0000367960188727</v>
      </c>
      <c r="F112" s="339">
        <f t="shared" si="29"/>
        <v>8.5784486498466216E-3</v>
      </c>
      <c r="G112" s="338">
        <f t="shared" si="30"/>
        <v>1</v>
      </c>
      <c r="H112" s="339">
        <f t="shared" si="31"/>
        <v>0</v>
      </c>
      <c r="I112" s="337">
        <f t="shared" si="32"/>
        <v>3432.348453795295</v>
      </c>
      <c r="J112" s="340">
        <f t="shared" si="33"/>
        <v>1.5705049810799703</v>
      </c>
      <c r="K112" s="348">
        <f t="shared" si="34"/>
        <v>1.335158594399587</v>
      </c>
      <c r="L112" s="349">
        <f t="shared" si="35"/>
        <v>0.72428300513420374</v>
      </c>
      <c r="M112" s="337">
        <f t="shared" si="36"/>
        <v>1.0013571628418743</v>
      </c>
      <c r="N112" s="340">
        <f t="shared" si="37"/>
        <v>5.2069755294685785E-2</v>
      </c>
      <c r="O112" s="341">
        <f t="shared" si="38"/>
        <v>1.0000210704947765</v>
      </c>
      <c r="P112" s="342">
        <f t="shared" si="39"/>
        <v>7.3442521594294846E-2</v>
      </c>
      <c r="Q112" s="343">
        <f t="shared" si="40"/>
        <v>22.753811934679469</v>
      </c>
      <c r="R112" s="344">
        <f t="shared" si="41"/>
        <v>-107.33500374802601</v>
      </c>
      <c r="S112" s="346">
        <f t="shared" si="42"/>
        <v>72.664996251973989</v>
      </c>
      <c r="U112" s="319">
        <f t="shared" si="49"/>
        <v>1000000000</v>
      </c>
      <c r="V112" s="319">
        <f t="shared" si="50"/>
        <v>32363583.209999997</v>
      </c>
      <c r="X112" s="345">
        <f t="shared" si="43"/>
        <v>29.49427391463712</v>
      </c>
      <c r="Y112" s="346">
        <f t="shared" si="44"/>
        <v>-51.468325030389096</v>
      </c>
      <c r="AA112" s="345">
        <f t="shared" si="45"/>
        <v>55.499279354432325</v>
      </c>
      <c r="AB112" s="346">
        <f t="shared" si="46"/>
        <v>-55.86667871763693</v>
      </c>
      <c r="AD112">
        <f t="shared" si="51"/>
        <v>0</v>
      </c>
      <c r="AE112">
        <f t="shared" si="52"/>
        <v>0</v>
      </c>
    </row>
    <row r="113" spans="1:31" x14ac:dyDescent="0.25">
      <c r="A113" s="347">
        <v>5754.4</v>
      </c>
      <c r="B113" s="364">
        <f t="shared" si="48"/>
        <v>5.7543999999999995</v>
      </c>
      <c r="C113" s="337">
        <f t="shared" si="26"/>
        <v>1.6414694863633861</v>
      </c>
      <c r="D113" s="338">
        <f t="shared" si="27"/>
        <v>0.91573203572008843</v>
      </c>
      <c r="E113" s="338">
        <f t="shared" si="28"/>
        <v>1.0000376481935838</v>
      </c>
      <c r="F113" s="339">
        <f t="shared" si="29"/>
        <v>8.6772129703543196E-3</v>
      </c>
      <c r="G113" s="338">
        <f t="shared" si="30"/>
        <v>1</v>
      </c>
      <c r="H113" s="339">
        <f t="shared" si="31"/>
        <v>0</v>
      </c>
      <c r="I113" s="337">
        <f t="shared" si="32"/>
        <v>3471.8673071323296</v>
      </c>
      <c r="J113" s="340">
        <f t="shared" si="33"/>
        <v>1.5705082973498274</v>
      </c>
      <c r="K113" s="348">
        <f t="shared" si="34"/>
        <v>1.3419293958743792</v>
      </c>
      <c r="L113" s="349">
        <f t="shared" si="35"/>
        <v>0.72996808000205438</v>
      </c>
      <c r="M113" s="337">
        <f t="shared" si="36"/>
        <v>1.0013885727545346</v>
      </c>
      <c r="N113" s="340">
        <f t="shared" si="37"/>
        <v>5.2668166430089494E-2</v>
      </c>
      <c r="O113" s="341">
        <f t="shared" si="38"/>
        <v>1.0000216432376496</v>
      </c>
      <c r="P113" s="342">
        <f t="shared" si="39"/>
        <v>7.428962051889397E-2</v>
      </c>
      <c r="Q113" s="343">
        <f t="shared" si="40"/>
        <v>22.635778431576693</v>
      </c>
      <c r="R113" s="344">
        <f t="shared" si="41"/>
        <v>-107.4039655868078</v>
      </c>
      <c r="S113" s="346">
        <f t="shared" si="42"/>
        <v>72.5960344131922</v>
      </c>
      <c r="U113" s="319">
        <f t="shared" si="49"/>
        <v>1000000000</v>
      </c>
      <c r="V113" s="319">
        <f t="shared" si="50"/>
        <v>33113119.359999996</v>
      </c>
      <c r="X113" s="345">
        <f t="shared" si="43"/>
        <v>29.438502740720178</v>
      </c>
      <c r="Y113" s="346">
        <f t="shared" si="44"/>
        <v>-51.177070674651354</v>
      </c>
      <c r="AA113" s="345">
        <f t="shared" si="45"/>
        <v>55.437017025246497</v>
      </c>
      <c r="AB113" s="346">
        <f t="shared" si="46"/>
        <v>-56.226894912156432</v>
      </c>
      <c r="AD113">
        <f t="shared" si="51"/>
        <v>0</v>
      </c>
      <c r="AE113">
        <f t="shared" si="52"/>
        <v>0</v>
      </c>
    </row>
    <row r="114" spans="1:31" x14ac:dyDescent="0.25">
      <c r="A114" s="347">
        <v>5821.4</v>
      </c>
      <c r="B114" s="364">
        <f t="shared" si="48"/>
        <v>5.8213999999999997</v>
      </c>
      <c r="C114" s="337">
        <f t="shared" si="26"/>
        <v>1.6535141330097618</v>
      </c>
      <c r="D114" s="338">
        <f t="shared" si="27"/>
        <v>0.92131605729390309</v>
      </c>
      <c r="E114" s="338">
        <f t="shared" si="28"/>
        <v>1.0000385299761323</v>
      </c>
      <c r="F114" s="339">
        <f t="shared" si="29"/>
        <v>8.7782388940336759E-3</v>
      </c>
      <c r="G114" s="338">
        <f t="shared" si="30"/>
        <v>1</v>
      </c>
      <c r="H114" s="339">
        <f t="shared" si="31"/>
        <v>0</v>
      </c>
      <c r="I114" s="337">
        <f t="shared" si="32"/>
        <v>3512.2911724164505</v>
      </c>
      <c r="J114" s="340">
        <f t="shared" si="33"/>
        <v>1.5705116123551133</v>
      </c>
      <c r="K114" s="348">
        <f t="shared" si="34"/>
        <v>1.3488996698583937</v>
      </c>
      <c r="L114" s="349">
        <f t="shared" si="35"/>
        <v>0.73572410878708128</v>
      </c>
      <c r="M114" s="337">
        <f t="shared" si="36"/>
        <v>1.0014210729597972</v>
      </c>
      <c r="N114" s="340">
        <f t="shared" si="37"/>
        <v>5.328024257414269E-2</v>
      </c>
      <c r="O114" s="341">
        <f t="shared" si="38"/>
        <v>1.0000222399193985</v>
      </c>
      <c r="P114" s="342">
        <f t="shared" si="39"/>
        <v>7.5156172100350999E-2</v>
      </c>
      <c r="Q114" s="343">
        <f t="shared" si="40"/>
        <v>22.516448824028007</v>
      </c>
      <c r="R114" s="344">
        <f t="shared" si="41"/>
        <v>-107.47323100454513</v>
      </c>
      <c r="S114" s="346">
        <f t="shared" si="42"/>
        <v>72.526768995454873</v>
      </c>
      <c r="U114" s="319">
        <f t="shared" si="49"/>
        <v>1000000000</v>
      </c>
      <c r="V114" s="319">
        <f t="shared" si="50"/>
        <v>33888697.959999993</v>
      </c>
      <c r="X114" s="345">
        <f t="shared" si="43"/>
        <v>29.382672603936868</v>
      </c>
      <c r="Y114" s="346">
        <f t="shared" si="44"/>
        <v>-50.882533833783775</v>
      </c>
      <c r="AA114" s="345">
        <f t="shared" si="45"/>
        <v>55.373517554481126</v>
      </c>
      <c r="AB114" s="346">
        <f t="shared" si="46"/>
        <v>-56.590697170761345</v>
      </c>
      <c r="AD114">
        <f t="shared" si="51"/>
        <v>0</v>
      </c>
      <c r="AE114">
        <f t="shared" si="52"/>
        <v>0</v>
      </c>
    </row>
    <row r="115" spans="1:31" x14ac:dyDescent="0.25">
      <c r="A115" s="347">
        <v>5888.4</v>
      </c>
      <c r="B115" s="364">
        <f t="shared" si="48"/>
        <v>5.8883999999999999</v>
      </c>
      <c r="C115" s="337">
        <f t="shared" si="26"/>
        <v>1.6656095917606974</v>
      </c>
      <c r="D115" s="338">
        <f t="shared" si="27"/>
        <v>0.9268191473932762</v>
      </c>
      <c r="E115" s="338">
        <f t="shared" si="28"/>
        <v>1.0000394219652931</v>
      </c>
      <c r="F115" s="339">
        <f t="shared" si="29"/>
        <v>8.8792646385231697E-3</v>
      </c>
      <c r="G115" s="338">
        <f t="shared" si="30"/>
        <v>1</v>
      </c>
      <c r="H115" s="339">
        <f t="shared" si="31"/>
        <v>0</v>
      </c>
      <c r="I115" s="337">
        <f t="shared" si="32"/>
        <v>3552.7150377382909</v>
      </c>
      <c r="J115" s="340">
        <f t="shared" si="33"/>
        <v>1.5705148519221352</v>
      </c>
      <c r="K115" s="348">
        <f t="shared" si="34"/>
        <v>1.3559141750618244</v>
      </c>
      <c r="L115" s="349">
        <f t="shared" si="35"/>
        <v>0.74142076975344839</v>
      </c>
      <c r="M115" s="337">
        <f t="shared" si="36"/>
        <v>1.0014539483102198</v>
      </c>
      <c r="N115" s="340">
        <f t="shared" si="37"/>
        <v>5.3892278761467863E-2</v>
      </c>
      <c r="O115" s="341">
        <f t="shared" si="38"/>
        <v>1.0000228476878938</v>
      </c>
      <c r="P115" s="342">
        <f t="shared" si="39"/>
        <v>7.6022778349016371E-2</v>
      </c>
      <c r="Q115" s="343">
        <f t="shared" si="40"/>
        <v>22.398513924077839</v>
      </c>
      <c r="R115" s="344">
        <f t="shared" si="41"/>
        <v>-107.54125744663502</v>
      </c>
      <c r="S115" s="346">
        <f t="shared" si="42"/>
        <v>72.458742553364985</v>
      </c>
      <c r="U115" s="319">
        <f t="shared" si="49"/>
        <v>1000000000</v>
      </c>
      <c r="V115" s="319">
        <f t="shared" si="50"/>
        <v>34673254.559999995</v>
      </c>
      <c r="X115" s="345">
        <f t="shared" si="43"/>
        <v>29.328041272602931</v>
      </c>
      <c r="Y115" s="346">
        <f t="shared" si="44"/>
        <v>-50.591391906722166</v>
      </c>
      <c r="AA115" s="345">
        <f t="shared" si="45"/>
        <v>55.310213985864884</v>
      </c>
      <c r="AB115" s="346">
        <f t="shared" si="46"/>
        <v>-56.949865539912835</v>
      </c>
      <c r="AD115">
        <f t="shared" si="51"/>
        <v>0</v>
      </c>
      <c r="AE115">
        <f t="shared" si="52"/>
        <v>0</v>
      </c>
    </row>
    <row r="116" spans="1:31" x14ac:dyDescent="0.25">
      <c r="A116" s="347">
        <v>5957</v>
      </c>
      <c r="B116" s="364">
        <f t="shared" si="48"/>
        <v>5.9569999999999999</v>
      </c>
      <c r="C116" s="337">
        <f t="shared" si="26"/>
        <v>1.6780453964824678</v>
      </c>
      <c r="D116" s="338">
        <f t="shared" si="27"/>
        <v>0.93237128448692796</v>
      </c>
      <c r="E116" s="338">
        <f t="shared" si="28"/>
        <v>1.0000403458307918</v>
      </c>
      <c r="F116" s="339">
        <f t="shared" si="29"/>
        <v>8.9827027502921118E-3</v>
      </c>
      <c r="G116" s="338">
        <f t="shared" si="30"/>
        <v>1</v>
      </c>
      <c r="H116" s="339">
        <f t="shared" si="31"/>
        <v>0</v>
      </c>
      <c r="I116" s="337">
        <f t="shared" si="32"/>
        <v>3594.1042491354196</v>
      </c>
      <c r="J116" s="340">
        <f t="shared" si="33"/>
        <v>1.5705180933482339</v>
      </c>
      <c r="K116" s="348">
        <f t="shared" si="34"/>
        <v>1.3631413059383608</v>
      </c>
      <c r="L116" s="349">
        <f t="shared" si="35"/>
        <v>0.7471925331436452</v>
      </c>
      <c r="M116" s="337">
        <f t="shared" si="36"/>
        <v>1.0014879973952175</v>
      </c>
      <c r="N116" s="340">
        <f t="shared" si="37"/>
        <v>5.4518888864208005E-2</v>
      </c>
      <c r="O116" s="341">
        <f t="shared" si="38"/>
        <v>1.0000234816080247</v>
      </c>
      <c r="P116" s="342">
        <f t="shared" si="39"/>
        <v>7.6910136962591732E-2</v>
      </c>
      <c r="Q116" s="343">
        <f t="shared" si="40"/>
        <v>22.279178905891829</v>
      </c>
      <c r="R116" s="344">
        <f t="shared" si="41"/>
        <v>-107.60967695740068</v>
      </c>
      <c r="S116" s="346">
        <f t="shared" si="42"/>
        <v>72.39032304259932</v>
      </c>
      <c r="U116" s="319">
        <f t="shared" si="49"/>
        <v>1000000000</v>
      </c>
      <c r="V116" s="319">
        <f t="shared" si="50"/>
        <v>35485849</v>
      </c>
      <c r="X116" s="345">
        <f t="shared" si="43"/>
        <v>29.273313587255959</v>
      </c>
      <c r="Y116" s="346">
        <f t="shared" si="44"/>
        <v>-50.296782058101456</v>
      </c>
      <c r="AA116" s="345">
        <f t="shared" si="45"/>
        <v>55.245606653025845</v>
      </c>
      <c r="AB116" s="346">
        <f t="shared" si="46"/>
        <v>-57.312894899299231</v>
      </c>
      <c r="AD116">
        <f t="shared" si="51"/>
        <v>0</v>
      </c>
      <c r="AE116">
        <f t="shared" si="52"/>
        <v>0</v>
      </c>
    </row>
    <row r="117" spans="1:31" x14ac:dyDescent="0.25">
      <c r="A117" s="347">
        <v>6025.6</v>
      </c>
      <c r="B117" s="364">
        <f t="shared" si="48"/>
        <v>6.0256000000000007</v>
      </c>
      <c r="C117" s="337">
        <f t="shared" si="26"/>
        <v>1.6905321670544307</v>
      </c>
      <c r="D117" s="338">
        <f t="shared" si="27"/>
        <v>0.93784156868950319</v>
      </c>
      <c r="E117" s="338">
        <f t="shared" si="28"/>
        <v>1.0000412803961454</v>
      </c>
      <c r="F117" s="339">
        <f t="shared" si="29"/>
        <v>9.0861406698364115E-3</v>
      </c>
      <c r="G117" s="338">
        <f t="shared" si="30"/>
        <v>1</v>
      </c>
      <c r="H117" s="339">
        <f t="shared" si="31"/>
        <v>0</v>
      </c>
      <c r="I117" s="337">
        <f t="shared" si="32"/>
        <v>3635.4934605694511</v>
      </c>
      <c r="J117" s="340">
        <f t="shared" si="33"/>
        <v>1.5705212609686323</v>
      </c>
      <c r="K117" s="348">
        <f t="shared" si="34"/>
        <v>1.3704133676452657</v>
      </c>
      <c r="L117" s="349">
        <f t="shared" si="35"/>
        <v>0.75290322968677559</v>
      </c>
      <c r="M117" s="337">
        <f t="shared" si="36"/>
        <v>1.0015224396778566</v>
      </c>
      <c r="N117" s="340">
        <f t="shared" si="37"/>
        <v>5.5145456114799429E-2</v>
      </c>
      <c r="O117" s="341">
        <f t="shared" si="38"/>
        <v>1.0000241274587141</v>
      </c>
      <c r="P117" s="342">
        <f t="shared" si="39"/>
        <v>7.7797554204336122E-2</v>
      </c>
      <c r="Q117" s="343">
        <f t="shared" si="40"/>
        <v>22.161248247201875</v>
      </c>
      <c r="R117" s="344">
        <f t="shared" si="41"/>
        <v>-107.67690220172834</v>
      </c>
      <c r="S117" s="346">
        <f t="shared" si="42"/>
        <v>72.323097798271661</v>
      </c>
      <c r="U117" s="319">
        <f t="shared" si="49"/>
        <v>1000000000</v>
      </c>
      <c r="V117" s="319">
        <f t="shared" si="50"/>
        <v>36307855.360000007</v>
      </c>
      <c r="X117" s="345">
        <f t="shared" si="43"/>
        <v>29.219775083661204</v>
      </c>
      <c r="Y117" s="346">
        <f t="shared" si="44"/>
        <v>-50.005664398087418</v>
      </c>
      <c r="AA117" s="345">
        <f t="shared" si="45"/>
        <v>55.181214497930647</v>
      </c>
      <c r="AB117" s="346">
        <f t="shared" si="46"/>
        <v>-57.671237803640935</v>
      </c>
      <c r="AD117">
        <f t="shared" si="51"/>
        <v>0</v>
      </c>
      <c r="AE117">
        <f t="shared" si="52"/>
        <v>0</v>
      </c>
    </row>
    <row r="118" spans="1:31" x14ac:dyDescent="0.25">
      <c r="A118" s="347">
        <v>6095.8</v>
      </c>
      <c r="B118" s="364">
        <f t="shared" si="48"/>
        <v>6.0958000000000006</v>
      </c>
      <c r="C118" s="337">
        <f t="shared" si="26"/>
        <v>1.7033617676253117</v>
      </c>
      <c r="D118" s="338">
        <f t="shared" si="27"/>
        <v>0.94335624127043505</v>
      </c>
      <c r="E118" s="338">
        <f t="shared" si="28"/>
        <v>1.0000422478360143</v>
      </c>
      <c r="F118" s="339">
        <f t="shared" si="29"/>
        <v>9.1919909342984239E-3</v>
      </c>
      <c r="G118" s="338">
        <f t="shared" si="30"/>
        <v>1</v>
      </c>
      <c r="H118" s="339">
        <f t="shared" si="31"/>
        <v>0</v>
      </c>
      <c r="I118" s="337">
        <f t="shared" si="32"/>
        <v>3677.8480180796646</v>
      </c>
      <c r="J118" s="340">
        <f t="shared" si="33"/>
        <v>1.5705244286611495</v>
      </c>
      <c r="K118" s="348">
        <f t="shared" si="34"/>
        <v>1.3779008128764489</v>
      </c>
      <c r="L118" s="349">
        <f t="shared" si="35"/>
        <v>0.75868452374657314</v>
      </c>
      <c r="M118" s="337">
        <f t="shared" si="36"/>
        <v>1.001558092297492</v>
      </c>
      <c r="N118" s="340">
        <f t="shared" si="37"/>
        <v>5.5786592307182463E-2</v>
      </c>
      <c r="O118" s="341">
        <f t="shared" si="38"/>
        <v>1.0000248008895503</v>
      </c>
      <c r="P118" s="342">
        <f t="shared" si="39"/>
        <v>7.870573061519695E-2</v>
      </c>
      <c r="Q118" s="343">
        <f t="shared" si="40"/>
        <v>22.041991659093071</v>
      </c>
      <c r="R118" s="344">
        <f t="shared" si="41"/>
        <v>-107.74451171164937</v>
      </c>
      <c r="S118" s="346">
        <f t="shared" si="42"/>
        <v>72.255488288350634</v>
      </c>
      <c r="U118" s="319">
        <f t="shared" si="49"/>
        <v>1000000000</v>
      </c>
      <c r="V118" s="319">
        <f t="shared" si="50"/>
        <v>37158777.640000001</v>
      </c>
      <c r="X118" s="345">
        <f t="shared" si="43"/>
        <v>29.166185068770524</v>
      </c>
      <c r="Y118" s="346">
        <f t="shared" si="44"/>
        <v>-49.71133654132931</v>
      </c>
      <c r="AA118" s="345">
        <f t="shared" si="45"/>
        <v>55.115547924712523</v>
      </c>
      <c r="AB118" s="346">
        <f t="shared" si="46"/>
        <v>-58.033175170320078</v>
      </c>
      <c r="AD118">
        <f t="shared" si="51"/>
        <v>0</v>
      </c>
      <c r="AE118">
        <f t="shared" si="52"/>
        <v>0</v>
      </c>
    </row>
    <row r="119" spans="1:31" x14ac:dyDescent="0.25">
      <c r="A119" s="347">
        <v>6166</v>
      </c>
      <c r="B119" s="364">
        <f t="shared" si="48"/>
        <v>6.1660000000000004</v>
      </c>
      <c r="C119" s="337">
        <f t="shared" si="26"/>
        <v>1.7162423947841252</v>
      </c>
      <c r="D119" s="338">
        <f t="shared" si="27"/>
        <v>0.94878830029193584</v>
      </c>
      <c r="E119" s="338">
        <f t="shared" si="28"/>
        <v>1.0000432264806132</v>
      </c>
      <c r="F119" s="339">
        <f t="shared" si="29"/>
        <v>9.2978409927757816E-3</v>
      </c>
      <c r="G119" s="338">
        <f t="shared" si="30"/>
        <v>1</v>
      </c>
      <c r="H119" s="339">
        <f t="shared" si="31"/>
        <v>0</v>
      </c>
      <c r="I119" s="337">
        <f t="shared" si="32"/>
        <v>3720.2025756259418</v>
      </c>
      <c r="J119" s="340">
        <f t="shared" si="33"/>
        <v>1.5705275242252208</v>
      </c>
      <c r="K119" s="348">
        <f t="shared" si="34"/>
        <v>1.3854338135019353</v>
      </c>
      <c r="L119" s="349">
        <f t="shared" si="35"/>
        <v>0.7644031381132923</v>
      </c>
      <c r="M119" s="337">
        <f t="shared" si="36"/>
        <v>1.0015941565837989</v>
      </c>
      <c r="N119" s="340">
        <f t="shared" si="37"/>
        <v>5.6427682592438327E-2</v>
      </c>
      <c r="O119" s="341">
        <f t="shared" si="38"/>
        <v>1.000025487151768</v>
      </c>
      <c r="P119" s="342">
        <f t="shared" si="39"/>
        <v>7.9613969833388754E-2</v>
      </c>
      <c r="Q119" s="343">
        <f t="shared" si="40"/>
        <v>21.924147154022059</v>
      </c>
      <c r="R119" s="344">
        <f t="shared" si="41"/>
        <v>-107.81097594261458</v>
      </c>
      <c r="S119" s="346">
        <f t="shared" si="42"/>
        <v>72.189024057385424</v>
      </c>
      <c r="U119" s="319">
        <f t="shared" si="49"/>
        <v>1000000000</v>
      </c>
      <c r="V119" s="319">
        <f t="shared" si="50"/>
        <v>38019556</v>
      </c>
      <c r="X119" s="345">
        <f t="shared" si="43"/>
        <v>29.113772635909683</v>
      </c>
      <c r="Y119" s="346">
        <f t="shared" si="44"/>
        <v>-49.420593203509696</v>
      </c>
      <c r="AA119" s="345">
        <f t="shared" si="45"/>
        <v>55.050115852502358</v>
      </c>
      <c r="AB119" s="346">
        <f t="shared" si="46"/>
        <v>-58.390382739104886</v>
      </c>
      <c r="AD119">
        <f t="shared" si="51"/>
        <v>0</v>
      </c>
      <c r="AE119">
        <f t="shared" si="52"/>
        <v>0</v>
      </c>
    </row>
    <row r="120" spans="1:31" x14ac:dyDescent="0.25">
      <c r="A120" s="347">
        <v>6237.8</v>
      </c>
      <c r="B120" s="364">
        <f t="shared" si="48"/>
        <v>6.2378</v>
      </c>
      <c r="C120" s="337">
        <f t="shared" si="26"/>
        <v>1.7294681934725118</v>
      </c>
      <c r="D120" s="338">
        <f t="shared" si="27"/>
        <v>0.95426030118443317</v>
      </c>
      <c r="E120" s="338">
        <f t="shared" si="28"/>
        <v>1.0000442390211761</v>
      </c>
      <c r="F120" s="339">
        <f t="shared" si="29"/>
        <v>9.4061033726464769E-3</v>
      </c>
      <c r="G120" s="338">
        <f t="shared" si="30"/>
        <v>1</v>
      </c>
      <c r="H120" s="339">
        <f t="shared" si="31"/>
        <v>0</v>
      </c>
      <c r="I120" s="337">
        <f t="shared" si="32"/>
        <v>3763.5224792491972</v>
      </c>
      <c r="J120" s="340">
        <f t="shared" si="33"/>
        <v>1.5705306182685677</v>
      </c>
      <c r="K120" s="348">
        <f t="shared" si="34"/>
        <v>1.3931848608772253</v>
      </c>
      <c r="L120" s="349">
        <f t="shared" si="35"/>
        <v>0.7701879255858779</v>
      </c>
      <c r="M120" s="337">
        <f t="shared" si="36"/>
        <v>1.0016314686494618</v>
      </c>
      <c r="N120" s="340">
        <f t="shared" si="37"/>
        <v>5.7083336589495333E-2</v>
      </c>
      <c r="O120" s="341">
        <f t="shared" si="38"/>
        <v>1.0000262025098565</v>
      </c>
      <c r="P120" s="342">
        <f t="shared" si="39"/>
        <v>8.0542975375523726E-2</v>
      </c>
      <c r="Q120" s="343">
        <f t="shared" si="40"/>
        <v>21.805047861106139</v>
      </c>
      <c r="R120" s="344">
        <f t="shared" si="41"/>
        <v>-107.87782319350319</v>
      </c>
      <c r="S120" s="346">
        <f t="shared" si="42"/>
        <v>72.12217680649681</v>
      </c>
      <c r="U120" s="319">
        <f t="shared" si="49"/>
        <v>1000000000</v>
      </c>
      <c r="V120" s="319">
        <f t="shared" si="50"/>
        <v>38910148.840000004</v>
      </c>
      <c r="X120" s="345">
        <f t="shared" si="43"/>
        <v>29.06134983377466</v>
      </c>
      <c r="Y120" s="346">
        <f t="shared" si="44"/>
        <v>-49.126892778092447</v>
      </c>
      <c r="AA120" s="345">
        <f t="shared" si="45"/>
        <v>54.983439361721466</v>
      </c>
      <c r="AB120" s="346">
        <f t="shared" si="46"/>
        <v>-58.750930415410743</v>
      </c>
      <c r="AD120">
        <f t="shared" si="51"/>
        <v>0</v>
      </c>
      <c r="AE120">
        <f t="shared" si="52"/>
        <v>0</v>
      </c>
    </row>
    <row r="121" spans="1:31" x14ac:dyDescent="0.25">
      <c r="A121" s="347">
        <v>6309.6</v>
      </c>
      <c r="B121" s="364">
        <f t="shared" si="48"/>
        <v>6.3096000000000005</v>
      </c>
      <c r="C121" s="337">
        <f t="shared" si="26"/>
        <v>1.7427449903731336</v>
      </c>
      <c r="D121" s="338">
        <f t="shared" si="27"/>
        <v>0.95964908643600766</v>
      </c>
      <c r="E121" s="338">
        <f t="shared" si="28"/>
        <v>1.0000452632829764</v>
      </c>
      <c r="F121" s="339">
        <f t="shared" si="29"/>
        <v>9.5143655320180792E-3</v>
      </c>
      <c r="G121" s="338">
        <f t="shared" si="30"/>
        <v>1</v>
      </c>
      <c r="H121" s="339">
        <f t="shared" si="31"/>
        <v>0</v>
      </c>
      <c r="I121" s="337">
        <f t="shared" si="32"/>
        <v>3806.8423829076619</v>
      </c>
      <c r="J121" s="340">
        <f t="shared" si="33"/>
        <v>1.5705336418946785</v>
      </c>
      <c r="K121" s="348">
        <f t="shared" si="34"/>
        <v>1.4009820126893191</v>
      </c>
      <c r="L121" s="349">
        <f t="shared" si="35"/>
        <v>0.77590851236657998</v>
      </c>
      <c r="M121" s="337">
        <f t="shared" si="36"/>
        <v>1.0016692112664414</v>
      </c>
      <c r="N121" s="340">
        <f t="shared" si="37"/>
        <v>5.7738941458647476E-2</v>
      </c>
      <c r="O121" s="341">
        <f t="shared" si="38"/>
        <v>1.0000269316608446</v>
      </c>
      <c r="P121" s="342">
        <f t="shared" si="39"/>
        <v>8.1472048130876468E-2</v>
      </c>
      <c r="Q121" s="343">
        <f t="shared" si="40"/>
        <v>21.687366491431245</v>
      </c>
      <c r="R121" s="344">
        <f t="shared" si="41"/>
        <v>-107.94357798229829</v>
      </c>
      <c r="S121" s="346">
        <f t="shared" si="42"/>
        <v>72.056422017701706</v>
      </c>
      <c r="U121" s="319">
        <f t="shared" si="49"/>
        <v>1000000000</v>
      </c>
      <c r="V121" s="319">
        <f t="shared" si="50"/>
        <v>39811052.160000004</v>
      </c>
      <c r="X121" s="345">
        <f t="shared" si="43"/>
        <v>29.010091174223277</v>
      </c>
      <c r="Y121" s="346">
        <f t="shared" si="44"/>
        <v>-48.836863931934097</v>
      </c>
      <c r="AA121" s="345">
        <f t="shared" si="45"/>
        <v>54.917016651597947</v>
      </c>
      <c r="AB121" s="346">
        <f t="shared" si="46"/>
        <v>-59.106714050364189</v>
      </c>
      <c r="AD121">
        <f t="shared" si="51"/>
        <v>0</v>
      </c>
      <c r="AE121">
        <f t="shared" si="52"/>
        <v>0</v>
      </c>
    </row>
    <row r="122" spans="1:31" x14ac:dyDescent="0.25">
      <c r="A122" s="347">
        <v>6383.05</v>
      </c>
      <c r="B122" s="364">
        <f t="shared" si="48"/>
        <v>6.3830499999999999</v>
      </c>
      <c r="C122" s="337">
        <f t="shared" si="26"/>
        <v>1.7563784584688102</v>
      </c>
      <c r="D122" s="338">
        <f t="shared" si="27"/>
        <v>0.96507724769307146</v>
      </c>
      <c r="E122" s="338">
        <f t="shared" si="28"/>
        <v>1.0000463232111616</v>
      </c>
      <c r="F122" s="339">
        <f t="shared" si="29"/>
        <v>9.6251153792904498E-3</v>
      </c>
      <c r="G122" s="338">
        <f t="shared" si="30"/>
        <v>1</v>
      </c>
      <c r="H122" s="339">
        <f t="shared" si="31"/>
        <v>0</v>
      </c>
      <c r="I122" s="337">
        <f t="shared" si="32"/>
        <v>3851.1577997076761</v>
      </c>
      <c r="J122" s="340">
        <f t="shared" si="33"/>
        <v>1.5705366646197156</v>
      </c>
      <c r="K122" s="348">
        <f t="shared" si="34"/>
        <v>1.4090052547472429</v>
      </c>
      <c r="L122" s="349">
        <f t="shared" si="35"/>
        <v>0.78169485468210487</v>
      </c>
      <c r="M122" s="337">
        <f t="shared" si="36"/>
        <v>1.0017082666833688</v>
      </c>
      <c r="N122" s="340">
        <f t="shared" si="37"/>
        <v>5.8409561040256186E-2</v>
      </c>
      <c r="O122" s="341">
        <f t="shared" si="38"/>
        <v>1.0000276920385074</v>
      </c>
      <c r="P122" s="342">
        <f t="shared" si="39"/>
        <v>8.2422541787483969E-2</v>
      </c>
      <c r="Q122" s="343">
        <f t="shared" si="40"/>
        <v>21.568417958322847</v>
      </c>
      <c r="R122" s="344">
        <f t="shared" si="41"/>
        <v>-108.00976635664198</v>
      </c>
      <c r="S122" s="346">
        <f t="shared" si="42"/>
        <v>71.990233643358025</v>
      </c>
      <c r="U122" s="319">
        <f t="shared" si="49"/>
        <v>1000000000</v>
      </c>
      <c r="V122" s="319">
        <f t="shared" si="50"/>
        <v>40743327.302500002</v>
      </c>
      <c r="X122" s="345">
        <f t="shared" si="43"/>
        <v>28.958825218498792</v>
      </c>
      <c r="Y122" s="346">
        <f t="shared" si="44"/>
        <v>-48.543927799174099</v>
      </c>
      <c r="AA122" s="345">
        <f t="shared" si="45"/>
        <v>54.849334074214028</v>
      </c>
      <c r="AB122" s="346">
        <f t="shared" si="46"/>
        <v>-59.465838557467876</v>
      </c>
      <c r="AD122">
        <f t="shared" si="51"/>
        <v>0</v>
      </c>
      <c r="AE122">
        <f t="shared" si="52"/>
        <v>0</v>
      </c>
    </row>
    <row r="123" spans="1:31" x14ac:dyDescent="0.25">
      <c r="A123" s="347">
        <v>6456.5</v>
      </c>
      <c r="B123" s="364">
        <f t="shared" si="48"/>
        <v>6.4565000000000001</v>
      </c>
      <c r="C123" s="337">
        <f t="shared" si="26"/>
        <v>1.7700628800522575</v>
      </c>
      <c r="D123" s="338">
        <f t="shared" si="27"/>
        <v>0.97042163377189872</v>
      </c>
      <c r="E123" s="338">
        <f t="shared" si="28"/>
        <v>1.0000473954054174</v>
      </c>
      <c r="F123" s="339">
        <f t="shared" si="29"/>
        <v>9.7358649904417741E-3</v>
      </c>
      <c r="G123" s="338">
        <f t="shared" si="30"/>
        <v>1</v>
      </c>
      <c r="H123" s="339">
        <f t="shared" si="31"/>
        <v>0</v>
      </c>
      <c r="I123" s="337">
        <f t="shared" si="32"/>
        <v>3895.4732165420778</v>
      </c>
      <c r="J123" s="340">
        <f t="shared" si="33"/>
        <v>1.570539618570916</v>
      </c>
      <c r="K123" s="348">
        <f t="shared" si="34"/>
        <v>1.4170751376570658</v>
      </c>
      <c r="L123" s="349">
        <f t="shared" si="35"/>
        <v>0.787415483226236</v>
      </c>
      <c r="M123" s="337">
        <f t="shared" si="36"/>
        <v>1.0017477725639334</v>
      </c>
      <c r="N123" s="340">
        <f t="shared" si="37"/>
        <v>5.9080128029032862E-2</v>
      </c>
      <c r="O123" s="341">
        <f t="shared" si="38"/>
        <v>1.0000284672555144</v>
      </c>
      <c r="P123" s="342">
        <f t="shared" si="39"/>
        <v>8.3373107397094859E-2</v>
      </c>
      <c r="Q123" s="343">
        <f t="shared" si="40"/>
        <v>21.450893274093236</v>
      </c>
      <c r="R123" s="344">
        <f t="shared" si="41"/>
        <v>-108.07491707093456</v>
      </c>
      <c r="S123" s="346">
        <f t="shared" si="42"/>
        <v>71.925082929065439</v>
      </c>
      <c r="U123" s="319">
        <f t="shared" si="49"/>
        <v>1000000000</v>
      </c>
      <c r="V123" s="319">
        <f t="shared" si="50"/>
        <v>41686392.25</v>
      </c>
      <c r="X123" s="345">
        <f t="shared" si="43"/>
        <v>28.908709807834143</v>
      </c>
      <c r="Y123" s="346">
        <f t="shared" si="44"/>
        <v>-48.254749834377257</v>
      </c>
      <c r="AA123" s="345">
        <f t="shared" si="45"/>
        <v>54.781924800649065</v>
      </c>
      <c r="AB123" s="346">
        <f t="shared" si="46"/>
        <v>-59.820167236557324</v>
      </c>
      <c r="AD123">
        <f t="shared" si="51"/>
        <v>0</v>
      </c>
      <c r="AE123">
        <f t="shared" si="52"/>
        <v>0</v>
      </c>
    </row>
    <row r="124" spans="1:31" x14ac:dyDescent="0.25">
      <c r="A124" s="347">
        <v>6531.7</v>
      </c>
      <c r="B124" s="364">
        <f t="shared" si="48"/>
        <v>6.5316999999999998</v>
      </c>
      <c r="C124" s="337">
        <f t="shared" si="26"/>
        <v>1.7841249075864267</v>
      </c>
      <c r="D124" s="338">
        <f t="shared" si="27"/>
        <v>0.97580825877952326</v>
      </c>
      <c r="E124" s="338">
        <f t="shared" si="28"/>
        <v>1.0000485058533692</v>
      </c>
      <c r="F124" s="339">
        <f t="shared" si="29"/>
        <v>9.8492530446613602E-3</v>
      </c>
      <c r="G124" s="338">
        <f t="shared" si="30"/>
        <v>1</v>
      </c>
      <c r="H124" s="339">
        <f t="shared" si="31"/>
        <v>0</v>
      </c>
      <c r="I124" s="337">
        <f t="shared" si="32"/>
        <v>3940.8444806465664</v>
      </c>
      <c r="J124" s="340">
        <f t="shared" si="33"/>
        <v>1.5705425740737113</v>
      </c>
      <c r="K124" s="348">
        <f t="shared" si="34"/>
        <v>1.4253847851408394</v>
      </c>
      <c r="L124" s="349">
        <f t="shared" si="35"/>
        <v>0.79320510697066382</v>
      </c>
      <c r="M124" s="337">
        <f t="shared" si="36"/>
        <v>1.0017886863357905</v>
      </c>
      <c r="N124" s="340">
        <f t="shared" si="37"/>
        <v>5.9766616656474834E-2</v>
      </c>
      <c r="O124" s="341">
        <f t="shared" si="38"/>
        <v>1.0000292765342265</v>
      </c>
      <c r="P124" s="342">
        <f t="shared" si="39"/>
        <v>8.434639632513273E-2</v>
      </c>
      <c r="Q124" s="343">
        <f t="shared" si="40"/>
        <v>21.332013240389145</v>
      </c>
      <c r="R124" s="344">
        <f t="shared" si="41"/>
        <v>-108.14059787398379</v>
      </c>
      <c r="S124" s="346">
        <f t="shared" si="42"/>
        <v>71.859402126016207</v>
      </c>
      <c r="U124" s="319">
        <f t="shared" si="49"/>
        <v>1000000000</v>
      </c>
      <c r="V124" s="319">
        <f t="shared" si="50"/>
        <v>42663104.890000001</v>
      </c>
      <c r="X124" s="345">
        <f t="shared" si="43"/>
        <v>28.858558392645225</v>
      </c>
      <c r="Y124" s="346">
        <f t="shared" si="44"/>
        <v>-47.962531067391566</v>
      </c>
      <c r="AA124" s="345">
        <f t="shared" si="45"/>
        <v>54.713196182133899</v>
      </c>
      <c r="AB124" s="346">
        <f t="shared" si="46"/>
        <v>-60.178066806592184</v>
      </c>
      <c r="AD124">
        <f t="shared" si="51"/>
        <v>0</v>
      </c>
      <c r="AE124">
        <f t="shared" si="52"/>
        <v>0</v>
      </c>
    </row>
    <row r="125" spans="1:31" x14ac:dyDescent="0.25">
      <c r="A125" s="347">
        <v>6606.9</v>
      </c>
      <c r="B125" s="364">
        <f t="shared" si="48"/>
        <v>6.6068999999999996</v>
      </c>
      <c r="C125" s="337">
        <f t="shared" si="26"/>
        <v>1.7982378923017048</v>
      </c>
      <c r="D125" s="338">
        <f t="shared" si="27"/>
        <v>0.98111048468744633</v>
      </c>
      <c r="E125" s="338">
        <f t="shared" si="28"/>
        <v>1.0000496291587668</v>
      </c>
      <c r="F125" s="339">
        <f t="shared" si="29"/>
        <v>9.9626408456125713E-3</v>
      </c>
      <c r="G125" s="338">
        <f t="shared" si="30"/>
        <v>1</v>
      </c>
      <c r="H125" s="339">
        <f t="shared" si="31"/>
        <v>0</v>
      </c>
      <c r="I125" s="337">
        <f t="shared" si="32"/>
        <v>3986.2157447846953</v>
      </c>
      <c r="J125" s="340">
        <f t="shared" si="33"/>
        <v>1.5705454622972093</v>
      </c>
      <c r="K125" s="348">
        <f t="shared" si="34"/>
        <v>1.433741656401067</v>
      </c>
      <c r="L125" s="349">
        <f t="shared" si="35"/>
        <v>0.79892742853993859</v>
      </c>
      <c r="M125" s="337">
        <f t="shared" si="36"/>
        <v>1.0018300721785405</v>
      </c>
      <c r="N125" s="340">
        <f t="shared" si="37"/>
        <v>6.0453048889364557E-2</v>
      </c>
      <c r="O125" s="341">
        <f t="shared" si="38"/>
        <v>1.0000301018126501</v>
      </c>
      <c r="P125" s="342">
        <f t="shared" si="39"/>
        <v>8.5319762406580207E-2</v>
      </c>
      <c r="Q125" s="343">
        <f t="shared" si="40"/>
        <v>21.214564855904889</v>
      </c>
      <c r="R125" s="344">
        <f t="shared" si="41"/>
        <v>-108.20529644449886</v>
      </c>
      <c r="S125" s="346">
        <f t="shared" si="42"/>
        <v>71.794703555501144</v>
      </c>
      <c r="U125" s="319">
        <f t="shared" si="49"/>
        <v>1000000000</v>
      </c>
      <c r="V125" s="319">
        <f t="shared" si="50"/>
        <v>43651127.609999992</v>
      </c>
      <c r="X125" s="345">
        <f t="shared" si="43"/>
        <v>28.809545190470729</v>
      </c>
      <c r="Y125" s="346">
        <f t="shared" si="44"/>
        <v>-47.674161345008983</v>
      </c>
      <c r="AA125" s="345">
        <f t="shared" si="45"/>
        <v>54.644760999824136</v>
      </c>
      <c r="AB125" s="346">
        <f t="shared" si="46"/>
        <v>-60.531135099489902</v>
      </c>
      <c r="AD125">
        <f t="shared" si="51"/>
        <v>0</v>
      </c>
      <c r="AE125">
        <f t="shared" si="52"/>
        <v>0</v>
      </c>
    </row>
    <row r="126" spans="1:31" x14ac:dyDescent="0.25">
      <c r="A126" s="347">
        <v>6683.85</v>
      </c>
      <c r="B126" s="364">
        <f t="shared" si="48"/>
        <v>6.6838500000000005</v>
      </c>
      <c r="C126" s="337">
        <f t="shared" si="26"/>
        <v>1.8127308122956858</v>
      </c>
      <c r="D126" s="338">
        <f t="shared" si="27"/>
        <v>0.98645048127617196</v>
      </c>
      <c r="E126" s="338">
        <f t="shared" si="28"/>
        <v>1.0000507919146111</v>
      </c>
      <c r="F126" s="339">
        <f t="shared" si="29"/>
        <v>1.0078667060223838E-2</v>
      </c>
      <c r="G126" s="338">
        <f t="shared" si="30"/>
        <v>1</v>
      </c>
      <c r="H126" s="339">
        <f t="shared" si="31"/>
        <v>0</v>
      </c>
      <c r="I126" s="337">
        <f t="shared" si="32"/>
        <v>4032.6428561937196</v>
      </c>
      <c r="J126" s="340">
        <f t="shared" si="33"/>
        <v>1.5705483504563242</v>
      </c>
      <c r="K126" s="348">
        <f t="shared" si="34"/>
        <v>1.4423410313908218</v>
      </c>
      <c r="L126" s="349">
        <f t="shared" si="35"/>
        <v>0.80471407909717085</v>
      </c>
      <c r="M126" s="337">
        <f t="shared" si="36"/>
        <v>1.0018729097389081</v>
      </c>
      <c r="N126" s="340">
        <f t="shared" si="37"/>
        <v>6.1155396230733516E-2</v>
      </c>
      <c r="O126" s="341">
        <f t="shared" si="38"/>
        <v>1.0000309630977342</v>
      </c>
      <c r="P126" s="342">
        <f t="shared" si="39"/>
        <v>8.631586073959123E-2</v>
      </c>
      <c r="Q126" s="343">
        <f t="shared" si="40"/>
        <v>21.095834516456762</v>
      </c>
      <c r="R126" s="344">
        <f t="shared" si="41"/>
        <v>-108.27053649306718</v>
      </c>
      <c r="S126" s="346">
        <f t="shared" si="42"/>
        <v>71.729463506932817</v>
      </c>
      <c r="U126" s="319">
        <f t="shared" si="49"/>
        <v>1000000000</v>
      </c>
      <c r="V126" s="319">
        <f t="shared" si="50"/>
        <v>44673850.822500005</v>
      </c>
      <c r="X126" s="345">
        <f t="shared" si="43"/>
        <v>28.760535672564078</v>
      </c>
      <c r="Y126" s="346">
        <f t="shared" si="44"/>
        <v>-47.383017707970396</v>
      </c>
      <c r="AA126" s="345">
        <f t="shared" si="45"/>
        <v>54.575040178282663</v>
      </c>
      <c r="AB126" s="346">
        <f t="shared" si="46"/>
        <v>-60.887518785096809</v>
      </c>
      <c r="AD126">
        <f t="shared" si="51"/>
        <v>0</v>
      </c>
      <c r="AE126">
        <f t="shared" si="52"/>
        <v>0</v>
      </c>
    </row>
    <row r="127" spans="1:31" x14ac:dyDescent="0.25">
      <c r="A127" s="347">
        <v>6760.8</v>
      </c>
      <c r="B127" s="364">
        <f t="shared" si="48"/>
        <v>6.7608000000000006</v>
      </c>
      <c r="C127" s="337">
        <f t="shared" si="26"/>
        <v>1.827274602509706</v>
      </c>
      <c r="D127" s="338">
        <f t="shared" si="27"/>
        <v>0.9917056206835233</v>
      </c>
      <c r="E127" s="338">
        <f t="shared" si="28"/>
        <v>1.0000519681331901</v>
      </c>
      <c r="F127" s="339">
        <f t="shared" si="29"/>
        <v>1.0194693003466856E-2</v>
      </c>
      <c r="G127" s="338">
        <f t="shared" si="30"/>
        <v>1</v>
      </c>
      <c r="H127" s="339">
        <f t="shared" si="31"/>
        <v>0</v>
      </c>
      <c r="I127" s="337">
        <f t="shared" si="32"/>
        <v>4079.0699676356162</v>
      </c>
      <c r="J127" s="340">
        <f t="shared" si="33"/>
        <v>1.5705511728706072</v>
      </c>
      <c r="K127" s="348">
        <f t="shared" si="34"/>
        <v>1.450988130227796</v>
      </c>
      <c r="L127" s="349">
        <f t="shared" si="35"/>
        <v>0.81043194865649482</v>
      </c>
      <c r="M127" s="337">
        <f t="shared" si="36"/>
        <v>1.0019162414725513</v>
      </c>
      <c r="N127" s="340">
        <f t="shared" si="37"/>
        <v>6.1857683167068599E-2</v>
      </c>
      <c r="O127" s="341">
        <f t="shared" si="38"/>
        <v>1.0000318416236997</v>
      </c>
      <c r="P127" s="342">
        <f t="shared" si="39"/>
        <v>8.731204171184935E-2</v>
      </c>
      <c r="Q127" s="343">
        <f t="shared" si="40"/>
        <v>20.978541571376887</v>
      </c>
      <c r="R127" s="344">
        <f t="shared" si="41"/>
        <v>-108.33485296674461</v>
      </c>
      <c r="S127" s="346">
        <f t="shared" si="42"/>
        <v>71.665147033255394</v>
      </c>
      <c r="U127" s="319">
        <f t="shared" si="49"/>
        <v>1000000000</v>
      </c>
      <c r="V127" s="319">
        <f t="shared" si="50"/>
        <v>45708416.640000001</v>
      </c>
      <c r="X127" s="345">
        <f t="shared" si="43"/>
        <v>28.712650164593612</v>
      </c>
      <c r="Y127" s="346">
        <f t="shared" si="44"/>
        <v>-47.095807703972234</v>
      </c>
      <c r="AA127" s="345">
        <f t="shared" si="45"/>
        <v>54.505632741173251</v>
      </c>
      <c r="AB127" s="346">
        <f t="shared" si="46"/>
        <v>-61.239045262772379</v>
      </c>
      <c r="AD127">
        <f t="shared" si="51"/>
        <v>0</v>
      </c>
      <c r="AE127">
        <f t="shared" si="52"/>
        <v>0</v>
      </c>
    </row>
    <row r="128" spans="1:31" x14ac:dyDescent="0.25">
      <c r="A128" s="347">
        <v>6839.55</v>
      </c>
      <c r="B128" s="364">
        <f t="shared" si="48"/>
        <v>6.83955</v>
      </c>
      <c r="C128" s="337">
        <f t="shared" si="26"/>
        <v>1.8422100102211372</v>
      </c>
      <c r="D128" s="338">
        <f t="shared" si="27"/>
        <v>0.99699762740132369</v>
      </c>
      <c r="E128" s="338">
        <f t="shared" si="28"/>
        <v>1.0000531858043991</v>
      </c>
      <c r="F128" s="339">
        <f t="shared" si="29"/>
        <v>1.0313432719639012E-2</v>
      </c>
      <c r="G128" s="338">
        <f t="shared" si="30"/>
        <v>1</v>
      </c>
      <c r="H128" s="339">
        <f t="shared" si="31"/>
        <v>0</v>
      </c>
      <c r="I128" s="337">
        <f t="shared" si="32"/>
        <v>4126.5830934131236</v>
      </c>
      <c r="J128" s="340">
        <f t="shared" si="33"/>
        <v>1.5705539955520378</v>
      </c>
      <c r="K128" s="348">
        <f t="shared" si="34"/>
        <v>1.4598860269217828</v>
      </c>
      <c r="L128" s="349">
        <f t="shared" si="35"/>
        <v>0.81621324513166515</v>
      </c>
      <c r="M128" s="337">
        <f t="shared" si="36"/>
        <v>1.0019610983949845</v>
      </c>
      <c r="N128" s="340">
        <f t="shared" si="37"/>
        <v>6.2576334612353859E-2</v>
      </c>
      <c r="O128" s="341">
        <f t="shared" si="38"/>
        <v>1.0000327588124345</v>
      </c>
      <c r="P128" s="342">
        <f t="shared" si="39"/>
        <v>8.8331611701611329E-2</v>
      </c>
      <c r="Q128" s="343">
        <f t="shared" si="40"/>
        <v>20.859961960973301</v>
      </c>
      <c r="R128" s="344">
        <f t="shared" si="41"/>
        <v>-108.39976992398553</v>
      </c>
      <c r="S128" s="346">
        <f t="shared" si="42"/>
        <v>71.600230076014469</v>
      </c>
      <c r="U128" s="319">
        <f t="shared" si="49"/>
        <v>1000000000</v>
      </c>
      <c r="V128" s="319">
        <f t="shared" si="50"/>
        <v>46779444.202500001</v>
      </c>
      <c r="X128" s="345">
        <f t="shared" si="43"/>
        <v>28.664774342373903</v>
      </c>
      <c r="Y128" s="346">
        <f t="shared" si="44"/>
        <v>-46.80590123798855</v>
      </c>
      <c r="AA128" s="345">
        <f t="shared" si="45"/>
        <v>54.434928952989381</v>
      </c>
      <c r="AB128" s="346">
        <f t="shared" si="46"/>
        <v>-61.593868685996974</v>
      </c>
      <c r="AD128">
        <f t="shared" si="51"/>
        <v>0</v>
      </c>
      <c r="AE128">
        <f t="shared" si="52"/>
        <v>0</v>
      </c>
    </row>
    <row r="129" spans="1:31" x14ac:dyDescent="0.25">
      <c r="A129" s="347">
        <v>6918.3</v>
      </c>
      <c r="B129" s="364">
        <f t="shared" si="48"/>
        <v>6.9183000000000003</v>
      </c>
      <c r="C129" s="337">
        <f t="shared" si="26"/>
        <v>1.8571961790144291</v>
      </c>
      <c r="D129" s="338">
        <f t="shared" si="27"/>
        <v>1.0022043729989936</v>
      </c>
      <c r="E129" s="338">
        <f t="shared" si="28"/>
        <v>1.0000544175754438</v>
      </c>
      <c r="F129" s="339">
        <f t="shared" si="29"/>
        <v>1.0432172144980913E-2</v>
      </c>
      <c r="G129" s="338">
        <f t="shared" si="30"/>
        <v>1</v>
      </c>
      <c r="H129" s="339">
        <f t="shared" si="31"/>
        <v>0</v>
      </c>
      <c r="I129" s="337">
        <f t="shared" si="32"/>
        <v>4174.0962192227616</v>
      </c>
      <c r="J129" s="340">
        <f t="shared" si="33"/>
        <v>1.5705567539731298</v>
      </c>
      <c r="K129" s="348">
        <f t="shared" si="34"/>
        <v>1.4688321258365924</v>
      </c>
      <c r="L129" s="349">
        <f t="shared" si="35"/>
        <v>0.82192430719706733</v>
      </c>
      <c r="M129" s="337">
        <f t="shared" si="36"/>
        <v>1.0020064727436588</v>
      </c>
      <c r="N129" s="340">
        <f t="shared" si="37"/>
        <v>6.3294921342643445E-2</v>
      </c>
      <c r="O129" s="341">
        <f t="shared" si="38"/>
        <v>1.0000336945930974</v>
      </c>
      <c r="P129" s="342">
        <f t="shared" si="39"/>
        <v>8.9351270225969934E-2</v>
      </c>
      <c r="Q129" s="343">
        <f t="shared" si="40"/>
        <v>20.742825311982472</v>
      </c>
      <c r="R129" s="344">
        <f t="shared" si="41"/>
        <v>-108.46382361372149</v>
      </c>
      <c r="S129" s="346">
        <f t="shared" si="42"/>
        <v>71.536176386278512</v>
      </c>
      <c r="U129" s="319">
        <f t="shared" si="49"/>
        <v>1000000000</v>
      </c>
      <c r="V129" s="319">
        <f t="shared" si="50"/>
        <v>47862874.890000001</v>
      </c>
      <c r="X129" s="345">
        <f t="shared" si="43"/>
        <v>28.618007995376836</v>
      </c>
      <c r="Y129" s="346">
        <f t="shared" si="44"/>
        <v>-46.520011517523457</v>
      </c>
      <c r="AA129" s="345">
        <f t="shared" si="45"/>
        <v>54.364558650995612</v>
      </c>
      <c r="AB129" s="346">
        <f t="shared" si="46"/>
        <v>-61.943812096198037</v>
      </c>
      <c r="AD129">
        <f t="shared" si="51"/>
        <v>0</v>
      </c>
      <c r="AE129">
        <f t="shared" si="52"/>
        <v>0</v>
      </c>
    </row>
    <row r="130" spans="1:31" x14ac:dyDescent="0.25">
      <c r="A130" s="347">
        <v>6998.9</v>
      </c>
      <c r="B130" s="364">
        <f t="shared" si="48"/>
        <v>6.9988999999999999</v>
      </c>
      <c r="C130" s="337">
        <f t="shared" si="26"/>
        <v>1.8725856957487574</v>
      </c>
      <c r="D130" s="338">
        <f t="shared" si="27"/>
        <v>1.0074469920488014</v>
      </c>
      <c r="E130" s="338">
        <f t="shared" si="28"/>
        <v>1.0000556928838553</v>
      </c>
      <c r="F130" s="339">
        <f t="shared" si="29"/>
        <v>1.0553700699789989E-2</v>
      </c>
      <c r="G130" s="338">
        <f t="shared" si="30"/>
        <v>1</v>
      </c>
      <c r="H130" s="339">
        <f t="shared" si="31"/>
        <v>0</v>
      </c>
      <c r="I130" s="337">
        <f t="shared" si="32"/>
        <v>4222.7255264327659</v>
      </c>
      <c r="J130" s="340">
        <f t="shared" si="33"/>
        <v>1.5705595129164933</v>
      </c>
      <c r="K130" s="348">
        <f t="shared" si="34"/>
        <v>1.4780373876823603</v>
      </c>
      <c r="L130" s="349">
        <f t="shared" si="35"/>
        <v>0.82769775100214793</v>
      </c>
      <c r="M130" s="337">
        <f t="shared" si="36"/>
        <v>1.0020534487581867</v>
      </c>
      <c r="N130" s="340">
        <f t="shared" si="37"/>
        <v>6.4030321379487887E-2</v>
      </c>
      <c r="O130" s="341">
        <f t="shared" si="38"/>
        <v>1.0000346718966968</v>
      </c>
      <c r="P130" s="342">
        <f t="shared" si="39"/>
        <v>9.0394975358275217E-2</v>
      </c>
      <c r="Q130" s="343">
        <f t="shared" si="40"/>
        <v>20.624399487990303</v>
      </c>
      <c r="R130" s="344">
        <f t="shared" si="41"/>
        <v>-108.5285398156892</v>
      </c>
      <c r="S130" s="346">
        <f t="shared" si="42"/>
        <v>71.4714601843108</v>
      </c>
      <c r="U130" s="319">
        <f t="shared" si="49"/>
        <v>1000000000</v>
      </c>
      <c r="V130" s="319">
        <f t="shared" si="50"/>
        <v>48984601.209999993</v>
      </c>
      <c r="X130" s="345">
        <f t="shared" si="43"/>
        <v>28.571257985390233</v>
      </c>
      <c r="Y130" s="346">
        <f t="shared" si="44"/>
        <v>-46.231510948082331</v>
      </c>
      <c r="AA130" s="345">
        <f t="shared" si="45"/>
        <v>54.292882836990053</v>
      </c>
      <c r="AB130" s="346">
        <f t="shared" si="46"/>
        <v>-62.297028867606862</v>
      </c>
      <c r="AD130">
        <f t="shared" si="51"/>
        <v>0</v>
      </c>
      <c r="AE130">
        <f t="shared" si="52"/>
        <v>0</v>
      </c>
    </row>
    <row r="131" spans="1:31" x14ac:dyDescent="0.25">
      <c r="A131" s="347">
        <v>7079.5</v>
      </c>
      <c r="B131" s="364">
        <f t="shared" si="48"/>
        <v>7.0795000000000003</v>
      </c>
      <c r="C131" s="337">
        <f t="shared" si="26"/>
        <v>1.8880258407405208</v>
      </c>
      <c r="D131" s="338">
        <f t="shared" si="27"/>
        <v>1.012604003363214</v>
      </c>
      <c r="E131" s="338">
        <f t="shared" si="28"/>
        <v>1.0000569829622412</v>
      </c>
      <c r="F131" s="339">
        <f t="shared" si="29"/>
        <v>1.0675228942849082E-2</v>
      </c>
      <c r="G131" s="338">
        <f t="shared" si="30"/>
        <v>1</v>
      </c>
      <c r="H131" s="339">
        <f t="shared" si="31"/>
        <v>0</v>
      </c>
      <c r="I131" s="337">
        <f t="shared" si="32"/>
        <v>4271.3548336741806</v>
      </c>
      <c r="J131" s="340">
        <f t="shared" si="33"/>
        <v>1.5705622090388041</v>
      </c>
      <c r="K131" s="348">
        <f t="shared" si="34"/>
        <v>1.4872913056316817</v>
      </c>
      <c r="L131" s="349">
        <f t="shared" si="35"/>
        <v>0.83339953823328528</v>
      </c>
      <c r="M131" s="337">
        <f t="shared" si="36"/>
        <v>1.0021009666454819</v>
      </c>
      <c r="N131" s="340">
        <f t="shared" si="37"/>
        <v>6.4765652071192767E-2</v>
      </c>
      <c r="O131" s="341">
        <f t="shared" si="38"/>
        <v>1.0000356692629602</v>
      </c>
      <c r="P131" s="342">
        <f t="shared" si="39"/>
        <v>9.1438775358322497E-2</v>
      </c>
      <c r="Q131" s="343">
        <f t="shared" si="40"/>
        <v>20.507421938102741</v>
      </c>
      <c r="R131" s="344">
        <f t="shared" si="41"/>
        <v>-108.59245455580364</v>
      </c>
      <c r="S131" s="346">
        <f t="shared" si="42"/>
        <v>71.407545444196359</v>
      </c>
      <c r="U131" s="319">
        <f t="shared" si="49"/>
        <v>1000000000</v>
      </c>
      <c r="V131" s="319">
        <f t="shared" si="50"/>
        <v>50119320.25</v>
      </c>
      <c r="X131" s="345">
        <f t="shared" si="43"/>
        <v>28.52560254239096</v>
      </c>
      <c r="Y131" s="346">
        <f t="shared" si="44"/>
        <v>-45.947108425342179</v>
      </c>
      <c r="AA131" s="345">
        <f t="shared" si="45"/>
        <v>54.221560730101757</v>
      </c>
      <c r="AB131" s="346">
        <f t="shared" si="46"/>
        <v>-62.645346130461476</v>
      </c>
      <c r="AD131">
        <f t="shared" si="51"/>
        <v>0</v>
      </c>
      <c r="AE131">
        <f t="shared" si="52"/>
        <v>0</v>
      </c>
    </row>
    <row r="132" spans="1:31" x14ac:dyDescent="0.25">
      <c r="A132" s="347">
        <v>7161.95</v>
      </c>
      <c r="B132" s="364">
        <f t="shared" si="48"/>
        <v>7.16195</v>
      </c>
      <c r="C132" s="337">
        <f t="shared" si="26"/>
        <v>1.9038714815345872</v>
      </c>
      <c r="D132" s="338">
        <f t="shared" si="27"/>
        <v>1.0177926942568138</v>
      </c>
      <c r="E132" s="338">
        <f t="shared" si="28"/>
        <v>1.0000583179339324</v>
      </c>
      <c r="F132" s="339">
        <f t="shared" si="29"/>
        <v>1.0799546279572277E-2</v>
      </c>
      <c r="G132" s="338">
        <f t="shared" si="30"/>
        <v>1</v>
      </c>
      <c r="H132" s="339">
        <f t="shared" si="31"/>
        <v>0</v>
      </c>
      <c r="I132" s="337">
        <f t="shared" si="32"/>
        <v>4321.1003223166745</v>
      </c>
      <c r="J132" s="340">
        <f t="shared" si="33"/>
        <v>1.5705649042556509</v>
      </c>
      <c r="K132" s="348">
        <f t="shared" si="34"/>
        <v>1.4968070305995271</v>
      </c>
      <c r="L132" s="349">
        <f t="shared" si="35"/>
        <v>0.83915905807301894</v>
      </c>
      <c r="M132" s="337">
        <f t="shared" si="36"/>
        <v>1.0021501357953131</v>
      </c>
      <c r="N132" s="340">
        <f t="shared" si="37"/>
        <v>6.5517788130961679E-2</v>
      </c>
      <c r="O132" s="341">
        <f t="shared" si="38"/>
        <v>1.0000367105952279</v>
      </c>
      <c r="P132" s="342">
        <f t="shared" si="39"/>
        <v>9.250663282532022E-2</v>
      </c>
      <c r="Q132" s="343">
        <f t="shared" si="40"/>
        <v>20.38922596407798</v>
      </c>
      <c r="R132" s="344">
        <f t="shared" si="41"/>
        <v>-108.65705798010063</v>
      </c>
      <c r="S132" s="346">
        <f t="shared" si="42"/>
        <v>71.342942019899368</v>
      </c>
      <c r="U132" s="319">
        <f t="shared" si="49"/>
        <v>1000000000</v>
      </c>
      <c r="V132" s="319">
        <f t="shared" si="50"/>
        <v>51293527.802499995</v>
      </c>
      <c r="X132" s="345">
        <f t="shared" si="43"/>
        <v>28.479997908071397</v>
      </c>
      <c r="Y132" s="346">
        <f t="shared" si="44"/>
        <v>-45.660360892570473</v>
      </c>
      <c r="AA132" s="345">
        <f t="shared" si="45"/>
        <v>54.148969390396566</v>
      </c>
      <c r="AB132" s="346">
        <f t="shared" si="46"/>
        <v>-62.996697087530137</v>
      </c>
      <c r="AD132">
        <f t="shared" si="51"/>
        <v>0</v>
      </c>
      <c r="AE132">
        <f t="shared" si="52"/>
        <v>0</v>
      </c>
    </row>
    <row r="133" spans="1:31" x14ac:dyDescent="0.25">
      <c r="A133" s="347">
        <v>7244.4</v>
      </c>
      <c r="B133" s="364">
        <f t="shared" si="48"/>
        <v>7.2443999999999997</v>
      </c>
      <c r="C133" s="337">
        <f t="shared" si="26"/>
        <v>1.9197675323923371</v>
      </c>
      <c r="D133" s="338">
        <f t="shared" si="27"/>
        <v>1.0228955938943223</v>
      </c>
      <c r="E133" s="338">
        <f t="shared" si="28"/>
        <v>1.0000596683612839</v>
      </c>
      <c r="F133" s="339">
        <f t="shared" si="29"/>
        <v>1.0923863282473734E-2</v>
      </c>
      <c r="G133" s="338">
        <f t="shared" si="30"/>
        <v>1</v>
      </c>
      <c r="H133" s="339">
        <f t="shared" si="31"/>
        <v>0</v>
      </c>
      <c r="I133" s="337">
        <f t="shared" si="32"/>
        <v>4370.8458109898438</v>
      </c>
      <c r="J133" s="340">
        <f t="shared" si="33"/>
        <v>1.5705675381228712</v>
      </c>
      <c r="K133" s="348">
        <f t="shared" si="34"/>
        <v>1.506371779495429</v>
      </c>
      <c r="L133" s="349">
        <f t="shared" si="35"/>
        <v>0.84484562410318709</v>
      </c>
      <c r="M133" s="337">
        <f t="shared" si="36"/>
        <v>1.0021998718143317</v>
      </c>
      <c r="N133" s="340">
        <f t="shared" si="37"/>
        <v>6.6269849963862176E-2</v>
      </c>
      <c r="O133" s="341">
        <f t="shared" si="38"/>
        <v>1.0000377735648196</v>
      </c>
      <c r="P133" s="342">
        <f t="shared" si="39"/>
        <v>9.3574591837114793E-2</v>
      </c>
      <c r="Q133" s="343">
        <f t="shared" si="40"/>
        <v>20.272481510359146</v>
      </c>
      <c r="R133" s="344">
        <f t="shared" si="41"/>
        <v>-108.72092394214498</v>
      </c>
      <c r="S133" s="346">
        <f t="shared" si="42"/>
        <v>71.279076057855022</v>
      </c>
      <c r="U133" s="319">
        <f t="shared" si="49"/>
        <v>1000000000</v>
      </c>
      <c r="V133" s="319">
        <f t="shared" si="50"/>
        <v>52481331.359999992</v>
      </c>
      <c r="X133" s="345">
        <f t="shared" si="43"/>
        <v>28.435471237234367</v>
      </c>
      <c r="Y133" s="346">
        <f t="shared" si="44"/>
        <v>-45.377785537230075</v>
      </c>
      <c r="AA133" s="345">
        <f t="shared" si="45"/>
        <v>54.076751607514751</v>
      </c>
      <c r="AB133" s="346">
        <f t="shared" si="46"/>
        <v>-63.343138404914896</v>
      </c>
      <c r="AD133">
        <f t="shared" si="51"/>
        <v>0</v>
      </c>
      <c r="AE133">
        <f t="shared" si="52"/>
        <v>0</v>
      </c>
    </row>
    <row r="134" spans="1:31" x14ac:dyDescent="0.25">
      <c r="A134" s="347">
        <v>7328.75</v>
      </c>
      <c r="B134" s="364">
        <f t="shared" si="48"/>
        <v>7.3287500000000003</v>
      </c>
      <c r="C134" s="337">
        <f t="shared" si="26"/>
        <v>1.9360807672619922</v>
      </c>
      <c r="D134" s="338">
        <f t="shared" si="27"/>
        <v>1.0280292365434518</v>
      </c>
      <c r="E134" s="338">
        <f t="shared" si="28"/>
        <v>1.0000610659021918</v>
      </c>
      <c r="F134" s="339">
        <f t="shared" si="29"/>
        <v>1.1051044730407982E-2</v>
      </c>
      <c r="G134" s="338">
        <f t="shared" si="30"/>
        <v>1</v>
      </c>
      <c r="H134" s="339">
        <f t="shared" si="31"/>
        <v>0</v>
      </c>
      <c r="I134" s="337">
        <f t="shared" si="32"/>
        <v>4421.7376481288375</v>
      </c>
      <c r="J134" s="340">
        <f t="shared" si="33"/>
        <v>1.5705701713582556</v>
      </c>
      <c r="K134" s="348">
        <f t="shared" si="34"/>
        <v>1.5162067050675363</v>
      </c>
      <c r="L134" s="349">
        <f t="shared" si="35"/>
        <v>0.85058879793721143</v>
      </c>
      <c r="M134" s="337">
        <f t="shared" si="36"/>
        <v>1.0022513404898883</v>
      </c>
      <c r="N134" s="340">
        <f t="shared" si="37"/>
        <v>6.7039164824272884E-2</v>
      </c>
      <c r="O134" s="341">
        <f t="shared" si="38"/>
        <v>1.0000388837657634</v>
      </c>
      <c r="P134" s="342">
        <f t="shared" si="39"/>
        <v>9.4667267462700544E-2</v>
      </c>
      <c r="Q134" s="343">
        <f t="shared" si="40"/>
        <v>20.154516519395678</v>
      </c>
      <c r="R134" s="344">
        <f t="shared" si="41"/>
        <v>-108.78554848725884</v>
      </c>
      <c r="S134" s="346">
        <f t="shared" si="42"/>
        <v>71.214451512741164</v>
      </c>
      <c r="U134" s="319">
        <f t="shared" si="49"/>
        <v>1000000000</v>
      </c>
      <c r="V134" s="319">
        <f t="shared" si="50"/>
        <v>53710576.5625</v>
      </c>
      <c r="X134" s="345">
        <f t="shared" si="43"/>
        <v>28.391000316119069</v>
      </c>
      <c r="Y134" s="346">
        <f t="shared" si="44"/>
        <v>-45.092955283097275</v>
      </c>
      <c r="AA134" s="345">
        <f t="shared" si="45"/>
        <v>54.003257537666585</v>
      </c>
      <c r="AB134" s="346">
        <f t="shared" si="46"/>
        <v>-63.692593204161575</v>
      </c>
      <c r="AD134">
        <f t="shared" si="51"/>
        <v>0</v>
      </c>
      <c r="AE134">
        <f t="shared" si="52"/>
        <v>0</v>
      </c>
    </row>
    <row r="135" spans="1:31" x14ac:dyDescent="0.25">
      <c r="A135" s="347">
        <v>7413.1</v>
      </c>
      <c r="B135" s="364">
        <f t="shared" si="48"/>
        <v>7.4131</v>
      </c>
      <c r="C135" s="337">
        <f t="shared" si="26"/>
        <v>1.9524441727418635</v>
      </c>
      <c r="D135" s="338">
        <f t="shared" si="27"/>
        <v>1.0330769604074286</v>
      </c>
      <c r="E135" s="338">
        <f t="shared" si="28"/>
        <v>1.0000624796191628</v>
      </c>
      <c r="F135" s="339">
        <f t="shared" si="29"/>
        <v>1.1178225820824721E-2</v>
      </c>
      <c r="G135" s="338">
        <f t="shared" si="30"/>
        <v>1</v>
      </c>
      <c r="H135" s="339">
        <f t="shared" si="31"/>
        <v>0</v>
      </c>
      <c r="I135" s="337">
        <f t="shared" si="32"/>
        <v>4472.6294852977935</v>
      </c>
      <c r="J135" s="340">
        <f t="shared" si="33"/>
        <v>1.5705727446690758</v>
      </c>
      <c r="K135" s="348">
        <f t="shared" si="34"/>
        <v>1.5260909957267579</v>
      </c>
      <c r="L135" s="349">
        <f t="shared" si="35"/>
        <v>0.85625776118474539</v>
      </c>
      <c r="M135" s="337">
        <f t="shared" si="36"/>
        <v>1.0023034022821202</v>
      </c>
      <c r="N135" s="340">
        <f t="shared" si="37"/>
        <v>6.7808400220179199E-2</v>
      </c>
      <c r="O135" s="341">
        <f t="shared" si="38"/>
        <v>1.0000400173173443</v>
      </c>
      <c r="P135" s="342">
        <f t="shared" si="39"/>
        <v>9.5760051796716816E-2</v>
      </c>
      <c r="Q135" s="343">
        <f t="shared" si="40"/>
        <v>20.038006015195194</v>
      </c>
      <c r="R135" s="344">
        <f t="shared" si="41"/>
        <v>-108.84950046461609</v>
      </c>
      <c r="S135" s="346">
        <f t="shared" si="42"/>
        <v>71.150499535383915</v>
      </c>
      <c r="U135" s="319">
        <f t="shared" si="49"/>
        <v>1000000000</v>
      </c>
      <c r="V135" s="319">
        <f t="shared" si="50"/>
        <v>54954051.610000007</v>
      </c>
      <c r="X135" s="345">
        <f t="shared" si="43"/>
        <v>28.347590457872272</v>
      </c>
      <c r="Y135" s="346">
        <f t="shared" si="44"/>
        <v>-44.812368995965066</v>
      </c>
      <c r="AA135" s="345">
        <f t="shared" si="45"/>
        <v>53.930156891712898</v>
      </c>
      <c r="AB135" s="346">
        <f t="shared" si="46"/>
        <v>-64.037131468651012</v>
      </c>
      <c r="AD135">
        <f t="shared" si="51"/>
        <v>0</v>
      </c>
      <c r="AE135">
        <f t="shared" si="52"/>
        <v>0</v>
      </c>
    </row>
    <row r="136" spans="1:31" x14ac:dyDescent="0.25">
      <c r="A136" s="347">
        <v>7499.45</v>
      </c>
      <c r="B136" s="364">
        <f t="shared" si="48"/>
        <v>7.4994499999999995</v>
      </c>
      <c r="C136" s="337">
        <f t="shared" si="26"/>
        <v>1.9692462298119155</v>
      </c>
      <c r="D136" s="338">
        <f t="shared" si="27"/>
        <v>1.0381573417893151</v>
      </c>
      <c r="E136" s="338">
        <f t="shared" si="28"/>
        <v>1.000063943612252</v>
      </c>
      <c r="F136" s="339">
        <f t="shared" si="29"/>
        <v>1.1308422092996191E-2</v>
      </c>
      <c r="G136" s="338">
        <f t="shared" si="30"/>
        <v>1</v>
      </c>
      <c r="H136" s="339">
        <f t="shared" si="31"/>
        <v>0</v>
      </c>
      <c r="I136" s="337">
        <f t="shared" si="32"/>
        <v>4524.7280050614945</v>
      </c>
      <c r="J136" s="340">
        <f t="shared" si="33"/>
        <v>1.5705753190333203</v>
      </c>
      <c r="K136" s="348">
        <f t="shared" si="34"/>
        <v>1.5362597899799015</v>
      </c>
      <c r="L136" s="349">
        <f t="shared" si="35"/>
        <v>0.86198538774289057</v>
      </c>
      <c r="M136" s="337">
        <f t="shared" si="36"/>
        <v>1.0023573127791532</v>
      </c>
      <c r="N136" s="340">
        <f t="shared" si="37"/>
        <v>6.8595791497662414E-2</v>
      </c>
      <c r="O136" s="341">
        <f t="shared" si="38"/>
        <v>1.0000412023124106</v>
      </c>
      <c r="P136" s="342">
        <f t="shared" si="39"/>
        <v>9.6878860730880381E-2</v>
      </c>
      <c r="Q136" s="343">
        <f t="shared" si="40"/>
        <v>19.920206876882261</v>
      </c>
      <c r="R136" s="344">
        <f t="shared" si="41"/>
        <v>-108.91432107811701</v>
      </c>
      <c r="S136" s="346">
        <f t="shared" si="42"/>
        <v>71.085678921882987</v>
      </c>
      <c r="U136" s="319">
        <f t="shared" si="49"/>
        <v>1000000000</v>
      </c>
      <c r="V136" s="319">
        <f t="shared" si="50"/>
        <v>56241750.302499995</v>
      </c>
      <c r="X136" s="345">
        <f t="shared" si="43"/>
        <v>28.304216855665643</v>
      </c>
      <c r="Y136" s="346">
        <f t="shared" si="44"/>
        <v>-44.529461864464373</v>
      </c>
      <c r="AA136" s="345">
        <f t="shared" si="45"/>
        <v>53.855731355606594</v>
      </c>
      <c r="AB136" s="346">
        <f t="shared" si="46"/>
        <v>-64.384859213652618</v>
      </c>
      <c r="AD136">
        <f t="shared" si="51"/>
        <v>0</v>
      </c>
      <c r="AE136">
        <f t="shared" si="52"/>
        <v>0</v>
      </c>
    </row>
    <row r="137" spans="1:31" x14ac:dyDescent="0.25">
      <c r="A137" s="347">
        <v>7585.8</v>
      </c>
      <c r="B137" s="364">
        <f t="shared" si="48"/>
        <v>7.5857999999999999</v>
      </c>
      <c r="C137" s="337">
        <f t="shared" si="26"/>
        <v>1.9860982529389015</v>
      </c>
      <c r="D137" s="338">
        <f t="shared" si="27"/>
        <v>1.0431516362940709</v>
      </c>
      <c r="E137" s="338">
        <f t="shared" si="28"/>
        <v>1.0000654245574447</v>
      </c>
      <c r="F137" s="339">
        <f t="shared" si="29"/>
        <v>1.1438617981772758E-2</v>
      </c>
      <c r="G137" s="338">
        <f t="shared" si="30"/>
        <v>1</v>
      </c>
      <c r="H137" s="339">
        <f t="shared" si="31"/>
        <v>0</v>
      </c>
      <c r="I137" s="337">
        <f t="shared" si="32"/>
        <v>4576.8265248545013</v>
      </c>
      <c r="J137" s="340">
        <f t="shared" si="33"/>
        <v>1.5705778347890218</v>
      </c>
      <c r="K137" s="348">
        <f t="shared" si="34"/>
        <v>1.5464783185825852</v>
      </c>
      <c r="L137" s="349">
        <f t="shared" si="35"/>
        <v>0.86763750582333532</v>
      </c>
      <c r="M137" s="337">
        <f t="shared" si="36"/>
        <v>1.0024118446556403</v>
      </c>
      <c r="N137" s="340">
        <f t="shared" si="37"/>
        <v>6.9383097593992665E-2</v>
      </c>
      <c r="O137" s="341">
        <f t="shared" si="38"/>
        <v>1.0000424125518175</v>
      </c>
      <c r="P137" s="342">
        <f t="shared" si="39"/>
        <v>9.7997786192035932E-2</v>
      </c>
      <c r="Q137" s="343">
        <f t="shared" si="40"/>
        <v>19.803866522909189</v>
      </c>
      <c r="R137" s="344">
        <f t="shared" si="41"/>
        <v>-108.97853405390489</v>
      </c>
      <c r="S137" s="346">
        <f t="shared" si="42"/>
        <v>71.021465946095105</v>
      </c>
      <c r="U137" s="319">
        <f t="shared" si="49"/>
        <v>1000000000</v>
      </c>
      <c r="V137" s="319">
        <f t="shared" si="50"/>
        <v>57544361.640000001</v>
      </c>
      <c r="X137" s="345">
        <f t="shared" si="43"/>
        <v>28.261888285004773</v>
      </c>
      <c r="Y137" s="346">
        <f t="shared" si="44"/>
        <v>-44.250872811515592</v>
      </c>
      <c r="AA137" s="345">
        <f t="shared" si="45"/>
        <v>53.781719572294399</v>
      </c>
      <c r="AB137" s="346">
        <f t="shared" si="46"/>
        <v>-64.727661242389317</v>
      </c>
      <c r="AD137">
        <f t="shared" si="51"/>
        <v>0</v>
      </c>
      <c r="AE137">
        <f t="shared" si="52"/>
        <v>0</v>
      </c>
    </row>
    <row r="138" spans="1:31" x14ac:dyDescent="0.25">
      <c r="A138" s="347">
        <v>7674.15</v>
      </c>
      <c r="B138" s="364">
        <f t="shared" si="48"/>
        <v>7.67415</v>
      </c>
      <c r="C138" s="337">
        <f t="shared" si="26"/>
        <v>2.0033909953205855</v>
      </c>
      <c r="D138" s="338">
        <f t="shared" si="27"/>
        <v>1.0481745149476229</v>
      </c>
      <c r="E138" s="338">
        <f t="shared" si="28"/>
        <v>1.0000669573491534</v>
      </c>
      <c r="F138" s="339">
        <f t="shared" si="29"/>
        <v>1.1571829007954807E-2</v>
      </c>
      <c r="G138" s="338">
        <f t="shared" si="30"/>
        <v>1</v>
      </c>
      <c r="H138" s="339">
        <f t="shared" si="31"/>
        <v>0</v>
      </c>
      <c r="I138" s="337">
        <f t="shared" si="32"/>
        <v>4630.1317272429433</v>
      </c>
      <c r="J138" s="340">
        <f t="shared" si="33"/>
        <v>1.5705803502165434</v>
      </c>
      <c r="K138" s="348">
        <f t="shared" si="34"/>
        <v>1.556983978381741</v>
      </c>
      <c r="L138" s="349">
        <f t="shared" si="35"/>
        <v>0.87334356146665248</v>
      </c>
      <c r="M138" s="337">
        <f t="shared" si="36"/>
        <v>1.0024682826035329</v>
      </c>
      <c r="N138" s="340">
        <f t="shared" si="37"/>
        <v>7.0188549754473126E-2</v>
      </c>
      <c r="O138" s="341">
        <f t="shared" si="38"/>
        <v>1.0000436773654695</v>
      </c>
      <c r="P138" s="342">
        <f t="shared" si="39"/>
        <v>9.9142749681518233E-2</v>
      </c>
      <c r="Q138" s="343">
        <f t="shared" si="40"/>
        <v>19.686308325665646</v>
      </c>
      <c r="R138" s="344">
        <f t="shared" si="41"/>
        <v>-109.04365317464026</v>
      </c>
      <c r="S138" s="346">
        <f t="shared" si="42"/>
        <v>70.956346825359745</v>
      </c>
      <c r="U138" s="319">
        <f t="shared" si="49"/>
        <v>1000000000</v>
      </c>
      <c r="V138" s="319">
        <f t="shared" si="50"/>
        <v>58892578.222499996</v>
      </c>
      <c r="X138" s="345">
        <f t="shared" si="43"/>
        <v>28.219627521101593</v>
      </c>
      <c r="Y138" s="346">
        <f t="shared" si="44"/>
        <v>-43.970233037941924</v>
      </c>
      <c r="AA138" s="345">
        <f t="shared" si="45"/>
        <v>53.706422138954025</v>
      </c>
      <c r="AB138" s="346">
        <f t="shared" si="46"/>
        <v>-65.073420136698346</v>
      </c>
      <c r="AD138">
        <f t="shared" si="51"/>
        <v>0</v>
      </c>
      <c r="AE138">
        <f t="shared" si="52"/>
        <v>0</v>
      </c>
    </row>
    <row r="139" spans="1:31" x14ac:dyDescent="0.25">
      <c r="A139" s="347">
        <v>7762.5</v>
      </c>
      <c r="B139" s="364">
        <f t="shared" si="48"/>
        <v>7.7625000000000002</v>
      </c>
      <c r="C139" s="337">
        <f t="shared" si="26"/>
        <v>2.0207334160589663</v>
      </c>
      <c r="D139" s="338">
        <f t="shared" si="27"/>
        <v>1.053111301271646</v>
      </c>
      <c r="E139" s="338">
        <f t="shared" si="28"/>
        <v>1.0000685078871734</v>
      </c>
      <c r="F139" s="339">
        <f t="shared" si="29"/>
        <v>1.1705039623431475E-2</v>
      </c>
      <c r="G139" s="338">
        <f t="shared" si="30"/>
        <v>1</v>
      </c>
      <c r="H139" s="339">
        <f t="shared" si="31"/>
        <v>0</v>
      </c>
      <c r="I139" s="337">
        <f t="shared" si="32"/>
        <v>4683.4369296600153</v>
      </c>
      <c r="J139" s="340">
        <f t="shared" si="33"/>
        <v>1.570582808384674</v>
      </c>
      <c r="K139" s="348">
        <f t="shared" si="34"/>
        <v>1.5675396516752189</v>
      </c>
      <c r="L139" s="349">
        <f t="shared" si="35"/>
        <v>0.8789729502029775</v>
      </c>
      <c r="M139" s="337">
        <f t="shared" si="36"/>
        <v>1.002525370832444</v>
      </c>
      <c r="N139" s="340">
        <f t="shared" si="37"/>
        <v>7.0993910705367466E-2</v>
      </c>
      <c r="O139" s="341">
        <f t="shared" si="38"/>
        <v>1.0000449694541438</v>
      </c>
      <c r="P139" s="342">
        <f t="shared" si="39"/>
        <v>0.10028783794264491</v>
      </c>
      <c r="Q139" s="343">
        <f t="shared" si="40"/>
        <v>19.570211075142552</v>
      </c>
      <c r="R139" s="344">
        <f t="shared" si="41"/>
        <v>-109.10823092421806</v>
      </c>
      <c r="S139" s="346">
        <f t="shared" si="42"/>
        <v>70.891769075781937</v>
      </c>
      <c r="U139" s="319">
        <f t="shared" si="49"/>
        <v>1000000000</v>
      </c>
      <c r="V139" s="319">
        <f t="shared" si="50"/>
        <v>60256406.25</v>
      </c>
      <c r="X139" s="345">
        <f t="shared" si="43"/>
        <v>28.178394143460768</v>
      </c>
      <c r="Y139" s="346">
        <f t="shared" si="44"/>
        <v>-43.69397744792645</v>
      </c>
      <c r="AA139" s="345">
        <f t="shared" si="45"/>
        <v>53.631558266071764</v>
      </c>
      <c r="AB139" s="346">
        <f t="shared" si="46"/>
        <v>-65.414253476291606</v>
      </c>
      <c r="AD139">
        <f t="shared" si="51"/>
        <v>0</v>
      </c>
      <c r="AE139">
        <f t="shared" si="52"/>
        <v>0</v>
      </c>
    </row>
    <row r="140" spans="1:31" x14ac:dyDescent="0.25">
      <c r="A140" s="347">
        <v>7852.9</v>
      </c>
      <c r="B140" s="364">
        <f t="shared" si="48"/>
        <v>7.8529</v>
      </c>
      <c r="C140" s="337">
        <f t="shared" si="26"/>
        <v>2.0385283341617249</v>
      </c>
      <c r="D140" s="338">
        <f t="shared" si="27"/>
        <v>1.0580755689587915</v>
      </c>
      <c r="E140" s="338">
        <f t="shared" si="28"/>
        <v>1.0000701127712472</v>
      </c>
      <c r="F140" s="339">
        <f t="shared" si="29"/>
        <v>1.1841340717320297E-2</v>
      </c>
      <c r="G140" s="338">
        <f t="shared" si="30"/>
        <v>1</v>
      </c>
      <c r="H140" s="339">
        <f t="shared" si="31"/>
        <v>0</v>
      </c>
      <c r="I140" s="337">
        <f t="shared" si="32"/>
        <v>4737.9789817373485</v>
      </c>
      <c r="J140" s="340">
        <f t="shared" si="33"/>
        <v>1.5705852663382591</v>
      </c>
      <c r="K140" s="348">
        <f t="shared" si="34"/>
        <v>1.5783909710390138</v>
      </c>
      <c r="L140" s="349">
        <f t="shared" si="35"/>
        <v>0.88465483880959439</v>
      </c>
      <c r="M140" s="337">
        <f t="shared" si="36"/>
        <v>1.002584456662255</v>
      </c>
      <c r="N140" s="340">
        <f t="shared" si="37"/>
        <v>7.1817863100636481E-2</v>
      </c>
      <c r="O140" s="341">
        <f t="shared" si="38"/>
        <v>1.0000463202099956</v>
      </c>
      <c r="P140" s="342">
        <f t="shared" si="39"/>
        <v>0.10145962649546865</v>
      </c>
      <c r="Q140" s="343">
        <f t="shared" si="40"/>
        <v>19.452898775779467</v>
      </c>
      <c r="R140" s="344">
        <f t="shared" si="41"/>
        <v>-109.17379316058795</v>
      </c>
      <c r="S140" s="346">
        <f t="shared" si="42"/>
        <v>70.826206839412052</v>
      </c>
      <c r="U140" s="319">
        <f t="shared" si="49"/>
        <v>1000000000</v>
      </c>
      <c r="V140" s="319">
        <f t="shared" si="50"/>
        <v>61668038.409999996</v>
      </c>
      <c r="X140" s="345">
        <f t="shared" si="43"/>
        <v>28.137234216232532</v>
      </c>
      <c r="Y140" s="346">
        <f t="shared" si="44"/>
        <v>-43.415779035921226</v>
      </c>
      <c r="AA140" s="345">
        <f t="shared" si="45"/>
        <v>53.555405893936914</v>
      </c>
      <c r="AB140" s="346">
        <f t="shared" si="46"/>
        <v>-65.758014124666715</v>
      </c>
      <c r="AD140">
        <f t="shared" si="51"/>
        <v>0</v>
      </c>
      <c r="AE140">
        <f t="shared" si="52"/>
        <v>0</v>
      </c>
    </row>
    <row r="141" spans="1:31" x14ac:dyDescent="0.25">
      <c r="A141" s="347">
        <v>7943.3</v>
      </c>
      <c r="B141" s="364">
        <f t="shared" si="48"/>
        <v>7.9432999999999998</v>
      </c>
      <c r="C141" s="337">
        <f t="shared" ref="C141:C204" si="53">SQRT(1+(A141/pole1)^2)</f>
        <v>2.0563726194840393</v>
      </c>
      <c r="D141" s="338">
        <f t="shared" ref="D141:D204" si="54">ATAN(A141/pole1)</f>
        <v>1.0629537997282654</v>
      </c>
      <c r="E141" s="338">
        <f t="shared" ref="E141:E204" si="55">SQRT(1+(A141/Zero1)^2)</f>
        <v>1.0000717362345524</v>
      </c>
      <c r="F141" s="339">
        <f t="shared" ref="F141:F204" si="56">ATAN(A141/Zero1)</f>
        <v>1.1977641371213401E-2</v>
      </c>
      <c r="G141" s="338">
        <f t="shared" ref="G141:G204" si="57">IF(VIN_nom&gt;Vout, 1, SQRT(1+(A141/z_RHP)^2))</f>
        <v>1</v>
      </c>
      <c r="H141" s="339">
        <f t="shared" ref="H141:H204" si="58">IF(VIN_nom&gt;Vout, 0, -ATAN(A141/z_RHP))</f>
        <v>0</v>
      </c>
      <c r="I141" s="337">
        <f t="shared" ref="I141:I204" si="59">SQRT(1+(A141/Pole2)^2)</f>
        <v>4792.521033842655</v>
      </c>
      <c r="J141" s="340">
        <f t="shared" ref="J141:J204" si="60">ATAN(A141/Pole2)</f>
        <v>1.5705876683455764</v>
      </c>
      <c r="K141" s="348">
        <f t="shared" ref="K141:K147" si="61">SQRT(1+(A141/Zero2)^2)</f>
        <v>1.5892925501621367</v>
      </c>
      <c r="L141" s="349">
        <f t="shared" ref="L141:L147" si="62">ATAN(A141/Zero2)</f>
        <v>0.89025895768843943</v>
      </c>
      <c r="M141" s="337">
        <f t="shared" ref="M141:M204" si="63">SQRT(1+(A141/pole4)^2)</f>
        <v>1.0026442230637058</v>
      </c>
      <c r="N141" s="340">
        <f t="shared" ref="N141:N204" si="64">ATAN(A141/pole4)</f>
        <v>7.2641717825564875E-2</v>
      </c>
      <c r="O141" s="341">
        <f t="shared" ref="O141:O204" si="65">SQRT((1-(V141/pterm2))^2+(A141/pterm1)^2)</f>
        <v>1.000047700450543</v>
      </c>
      <c r="P141" s="342">
        <f t="shared" ref="P141:P204" si="66">IF((ATAN((A141/pterm1)/(1-A141^2/pterm2))&gt;0),ATAN((A141/pterm1)/(1-A141^2/pterm2)),PI()+ATAN((A141/pterm1)/(1-A141^2/pterm2)))</f>
        <v>0.10263154865549619</v>
      </c>
      <c r="Q141" s="343">
        <f t="shared" ref="Q141:Q204" si="67">20*LOG10(((E141*K141*G141)/(C141*I141*O141*M141))*Adc)</f>
        <v>19.337049147061002</v>
      </c>
      <c r="R141" s="344">
        <f t="shared" ref="R141:R204" si="68">((F141+L141+H141)-(D141+J141+P141+N141))*radconv</f>
        <v>-109.23888060062306</v>
      </c>
      <c r="S141" s="346">
        <f t="shared" ref="S141:S204" si="69">IF(R141&gt;0,R141,R141+180)</f>
        <v>70.761119399376938</v>
      </c>
      <c r="U141" s="319">
        <f t="shared" si="49"/>
        <v>1000000000</v>
      </c>
      <c r="V141" s="319">
        <f t="shared" si="50"/>
        <v>63096014.890000001</v>
      </c>
      <c r="X141" s="345">
        <f t="shared" ref="X141:X204" si="70">20*LOG10((K141/(I141*M141))*AEA)</f>
        <v>28.097083683175391</v>
      </c>
      <c r="Y141" s="346">
        <f t="shared" ref="Y141:Y204" si="71">(L141-(J141+N141))*radconv</f>
        <v>-43.142027699512958</v>
      </c>
      <c r="AA141" s="345">
        <f t="shared" ref="AA141:AA204" si="72">20*LOG10((E141*G141/(C141*O141))*Acs*Am)</f>
        <v>53.479706798275586</v>
      </c>
      <c r="AB141" s="346">
        <f t="shared" ref="AB141:AB204" si="73">(F141+H141-(D141+P141))*radconv</f>
        <v>-66.096852901110097</v>
      </c>
      <c r="AD141">
        <f t="shared" si="51"/>
        <v>0</v>
      </c>
      <c r="AE141">
        <f t="shared" si="52"/>
        <v>0</v>
      </c>
    </row>
    <row r="142" spans="1:31" x14ac:dyDescent="0.25">
      <c r="A142" s="347">
        <v>8035.8</v>
      </c>
      <c r="B142" s="364">
        <f t="shared" ref="B142:B205" si="74">A142/1000</f>
        <v>8.0358000000000001</v>
      </c>
      <c r="C142" s="337">
        <f t="shared" si="53"/>
        <v>2.0746812011006153</v>
      </c>
      <c r="D142" s="338">
        <f t="shared" si="54"/>
        <v>1.0678583709164995</v>
      </c>
      <c r="E142" s="338">
        <f t="shared" si="55"/>
        <v>1.0000734166425989</v>
      </c>
      <c r="F142" s="339">
        <f t="shared" si="56"/>
        <v>1.2117107840631771E-2</v>
      </c>
      <c r="G142" s="338">
        <f t="shared" si="57"/>
        <v>1</v>
      </c>
      <c r="H142" s="339">
        <f t="shared" si="58"/>
        <v>0</v>
      </c>
      <c r="I142" s="337">
        <f t="shared" si="59"/>
        <v>4848.3301026730687</v>
      </c>
      <c r="J142" s="340">
        <f t="shared" si="60"/>
        <v>1.5705900702104822</v>
      </c>
      <c r="K142" s="348">
        <f t="shared" si="61"/>
        <v>1.6004983272249678</v>
      </c>
      <c r="L142" s="349">
        <f t="shared" si="62"/>
        <v>0.89591405452997008</v>
      </c>
      <c r="M142" s="337">
        <f t="shared" si="63"/>
        <v>1.0027060821868774</v>
      </c>
      <c r="N142" s="340">
        <f t="shared" si="64"/>
        <v>7.3484608520363467E-2</v>
      </c>
      <c r="O142" s="341">
        <f t="shared" si="65"/>
        <v>1.0000491437729888</v>
      </c>
      <c r="P142" s="342">
        <f t="shared" si="66"/>
        <v>0.10383083453917497</v>
      </c>
      <c r="Q142" s="343">
        <f t="shared" si="67"/>
        <v>19.219988616638325</v>
      </c>
      <c r="R142" s="344">
        <f t="shared" si="68"/>
        <v>-109.30503352395647</v>
      </c>
      <c r="S142" s="346">
        <f t="shared" si="69"/>
        <v>70.694966476043533</v>
      </c>
      <c r="U142" s="319">
        <f t="shared" ref="U142:U205" si="75">IF(Q142&lt;0,A142,1000000000)</f>
        <v>1000000000</v>
      </c>
      <c r="V142" s="319">
        <f t="shared" ref="V142:V205" si="76">A142^2</f>
        <v>64574081.640000001</v>
      </c>
      <c r="X142" s="345">
        <f t="shared" si="70"/>
        <v>28.057012277014355</v>
      </c>
      <c r="Y142" s="346">
        <f t="shared" si="71"/>
        <v>-42.866446213565467</v>
      </c>
      <c r="AA142" s="345">
        <f t="shared" si="72"/>
        <v>53.402717674013942</v>
      </c>
      <c r="AB142" s="346">
        <f t="shared" si="73"/>
        <v>-66.438587310391014</v>
      </c>
      <c r="AD142">
        <f t="shared" ref="AD142:AD205" si="77">SUM((Q143&lt;0)*(Q142&gt;0))*A142</f>
        <v>0</v>
      </c>
      <c r="AE142">
        <f t="shared" si="52"/>
        <v>0</v>
      </c>
    </row>
    <row r="143" spans="1:31" x14ac:dyDescent="0.25">
      <c r="A143" s="347">
        <v>8128.3</v>
      </c>
      <c r="B143" s="364">
        <f t="shared" si="74"/>
        <v>8.1282999999999994</v>
      </c>
      <c r="C143" s="337">
        <f t="shared" si="53"/>
        <v>2.0930388150101988</v>
      </c>
      <c r="D143" s="338">
        <f t="shared" si="54"/>
        <v>1.072677022355345</v>
      </c>
      <c r="E143" s="338">
        <f t="shared" si="55"/>
        <v>1.000075116502904</v>
      </c>
      <c r="F143" s="339">
        <f t="shared" si="56"/>
        <v>1.2256573838651454E-2</v>
      </c>
      <c r="G143" s="338">
        <f t="shared" si="57"/>
        <v>1</v>
      </c>
      <c r="H143" s="339">
        <f t="shared" si="58"/>
        <v>0</v>
      </c>
      <c r="I143" s="337">
        <f t="shared" si="59"/>
        <v>4904.1391715308164</v>
      </c>
      <c r="J143" s="340">
        <f t="shared" si="60"/>
        <v>1.5705924174089774</v>
      </c>
      <c r="K143" s="348">
        <f t="shared" si="61"/>
        <v>1.6117545757510499</v>
      </c>
      <c r="L143" s="349">
        <f t="shared" si="62"/>
        <v>0.90149033896556396</v>
      </c>
      <c r="M143" s="337">
        <f t="shared" si="63"/>
        <v>1.0027686536091611</v>
      </c>
      <c r="N143" s="340">
        <f t="shared" si="64"/>
        <v>7.4327394623366766E-2</v>
      </c>
      <c r="O143" s="341">
        <f t="shared" si="65"/>
        <v>1.0000506189845939</v>
      </c>
      <c r="P143" s="342">
        <f t="shared" si="66"/>
        <v>0.10503026349525288</v>
      </c>
      <c r="Q143" s="343">
        <f t="shared" si="67"/>
        <v>19.104392001355169</v>
      </c>
      <c r="R143" s="344">
        <f t="shared" si="68"/>
        <v>-109.37077832613681</v>
      </c>
      <c r="S143" s="346">
        <f t="shared" si="69"/>
        <v>70.629221673863185</v>
      </c>
      <c r="U143" s="319">
        <f t="shared" si="75"/>
        <v>1000000000</v>
      </c>
      <c r="V143" s="319">
        <f t="shared" si="76"/>
        <v>66069260.890000001</v>
      </c>
      <c r="X143" s="345">
        <f t="shared" si="70"/>
        <v>28.017931921848596</v>
      </c>
      <c r="Y143" s="346">
        <f t="shared" si="71"/>
        <v>-42.59537122103351</v>
      </c>
      <c r="AA143" s="345">
        <f t="shared" si="72"/>
        <v>53.326201413896555</v>
      </c>
      <c r="AB143" s="346">
        <f t="shared" si="73"/>
        <v>-66.775407105103312</v>
      </c>
      <c r="AD143">
        <f t="shared" si="77"/>
        <v>0</v>
      </c>
      <c r="AE143">
        <f t="shared" si="52"/>
        <v>0</v>
      </c>
    </row>
    <row r="144" spans="1:31" x14ac:dyDescent="0.25">
      <c r="A144" s="347">
        <v>8222.9500000000007</v>
      </c>
      <c r="B144" s="364">
        <f t="shared" si="74"/>
        <v>8.2229500000000009</v>
      </c>
      <c r="C144" s="337">
        <f t="shared" si="53"/>
        <v>2.1118725405960395</v>
      </c>
      <c r="D144" s="338">
        <f t="shared" si="54"/>
        <v>1.0775208433358072</v>
      </c>
      <c r="E144" s="338">
        <f t="shared" si="55"/>
        <v>1.0000768760090855</v>
      </c>
      <c r="F144" s="339">
        <f t="shared" si="56"/>
        <v>1.2399280985168945E-2</v>
      </c>
      <c r="G144" s="338">
        <f t="shared" si="57"/>
        <v>1</v>
      </c>
      <c r="H144" s="339">
        <f t="shared" si="58"/>
        <v>0</v>
      </c>
      <c r="I144" s="337">
        <f t="shared" si="59"/>
        <v>4961.2454241785335</v>
      </c>
      <c r="J144" s="340">
        <f t="shared" si="60"/>
        <v>1.5705947645013045</v>
      </c>
      <c r="K144" s="348">
        <f t="shared" si="61"/>
        <v>1.6233236055210063</v>
      </c>
      <c r="L144" s="349">
        <f t="shared" si="62"/>
        <v>0.90711600522686975</v>
      </c>
      <c r="M144" s="337">
        <f t="shared" si="63"/>
        <v>1.0028334165808725</v>
      </c>
      <c r="N144" s="340">
        <f t="shared" si="64"/>
        <v>7.5189660313774193E-2</v>
      </c>
      <c r="O144" s="341">
        <f t="shared" si="65"/>
        <v>1.0000521620412439</v>
      </c>
      <c r="P144" s="342">
        <f t="shared" si="66"/>
        <v>0.10625772084821028</v>
      </c>
      <c r="Q144" s="343">
        <f t="shared" si="67"/>
        <v>18.987589848257976</v>
      </c>
      <c r="R144" s="344">
        <f t="shared" si="68"/>
        <v>-109.43767216340743</v>
      </c>
      <c r="S144" s="346">
        <f t="shared" si="69"/>
        <v>70.562327836592573</v>
      </c>
      <c r="U144" s="319">
        <f t="shared" si="75"/>
        <v>1000000000</v>
      </c>
      <c r="V144" s="319">
        <f t="shared" si="76"/>
        <v>67616906.702500015</v>
      </c>
      <c r="X144" s="345">
        <f t="shared" si="70"/>
        <v>27.978936309853051</v>
      </c>
      <c r="Y144" s="346">
        <f t="shared" si="71"/>
        <v>-42.322582950363604</v>
      </c>
      <c r="AA144" s="345">
        <f t="shared" si="72"/>
        <v>53.248394872794904</v>
      </c>
      <c r="AB144" s="346">
        <f t="shared" si="73"/>
        <v>-67.115089213043802</v>
      </c>
      <c r="AD144">
        <f t="shared" si="77"/>
        <v>0</v>
      </c>
      <c r="AE144">
        <f t="shared" si="52"/>
        <v>0</v>
      </c>
    </row>
    <row r="145" spans="1:31" x14ac:dyDescent="0.25">
      <c r="A145" s="347">
        <v>8270.2750000000015</v>
      </c>
      <c r="B145" s="364">
        <f t="shared" si="74"/>
        <v>8.2702750000000016</v>
      </c>
      <c r="C145" s="337">
        <f t="shared" si="53"/>
        <v>2.121307737074285</v>
      </c>
      <c r="D145" s="338">
        <f t="shared" si="54"/>
        <v>1.0799104719482813</v>
      </c>
      <c r="E145" s="338">
        <f t="shared" si="55"/>
        <v>1.0000777633997417</v>
      </c>
      <c r="F145" s="339">
        <f t="shared" si="56"/>
        <v>1.2470634369395188E-2</v>
      </c>
      <c r="G145" s="338">
        <f t="shared" si="57"/>
        <v>1</v>
      </c>
      <c r="H145" s="339">
        <f t="shared" si="58"/>
        <v>0</v>
      </c>
      <c r="I145" s="337">
        <f t="shared" si="59"/>
        <v>4989.798550512467</v>
      </c>
      <c r="J145" s="340">
        <f t="shared" si="60"/>
        <v>1.5705959179013169</v>
      </c>
      <c r="K145" s="348">
        <f t="shared" si="61"/>
        <v>1.6291271807009791</v>
      </c>
      <c r="L145" s="349">
        <f t="shared" si="62"/>
        <v>0.90989883192144938</v>
      </c>
      <c r="M145" s="337">
        <f t="shared" si="63"/>
        <v>1.0028660776428773</v>
      </c>
      <c r="N145" s="340">
        <f t="shared" si="64"/>
        <v>7.5620751236248812E-2</v>
      </c>
      <c r="O145" s="341">
        <f t="shared" si="65"/>
        <v>1.0000529464734049</v>
      </c>
      <c r="P145" s="342">
        <f t="shared" si="66"/>
        <v>0.10687150687013749</v>
      </c>
      <c r="Q145" s="343">
        <f t="shared" si="67"/>
        <v>18.929740094834596</v>
      </c>
      <c r="R145" s="344">
        <f t="shared" si="68"/>
        <v>-109.47098844903559</v>
      </c>
      <c r="S145" s="346">
        <f t="shared" si="69"/>
        <v>70.529011550964412</v>
      </c>
      <c r="U145" s="319">
        <f t="shared" si="75"/>
        <v>1000000000</v>
      </c>
      <c r="V145" s="319">
        <f t="shared" si="76"/>
        <v>68397448.575625017</v>
      </c>
      <c r="X145" s="345">
        <f t="shared" si="70"/>
        <v>27.959805114735637</v>
      </c>
      <c r="Y145" s="346">
        <f t="shared" si="71"/>
        <v>-42.187904500890951</v>
      </c>
      <c r="AA145" s="345">
        <f t="shared" si="72"/>
        <v>53.209676314488945</v>
      </c>
      <c r="AB145" s="346">
        <f t="shared" si="73"/>
        <v>-67.28308394814465</v>
      </c>
      <c r="AD145">
        <f t="shared" si="77"/>
        <v>0</v>
      </c>
      <c r="AE145">
        <f t="shared" si="52"/>
        <v>0</v>
      </c>
    </row>
    <row r="146" spans="1:31" x14ac:dyDescent="0.25">
      <c r="A146" s="347">
        <v>8317.6</v>
      </c>
      <c r="B146" s="364">
        <f t="shared" si="74"/>
        <v>8.3176000000000005</v>
      </c>
      <c r="C146" s="337">
        <f t="shared" si="53"/>
        <v>2.1307549395904779</v>
      </c>
      <c r="D146" s="338">
        <f t="shared" si="54"/>
        <v>1.0822789240261756</v>
      </c>
      <c r="E146" s="338">
        <f t="shared" si="55"/>
        <v>1.0000786558820904</v>
      </c>
      <c r="F146" s="339">
        <f t="shared" si="56"/>
        <v>1.2541987626631453E-2</v>
      </c>
      <c r="G146" s="338">
        <f t="shared" si="57"/>
        <v>1</v>
      </c>
      <c r="H146" s="339">
        <f t="shared" si="58"/>
        <v>0</v>
      </c>
      <c r="I146" s="337">
        <f t="shared" si="59"/>
        <v>5018.3516768529607</v>
      </c>
      <c r="J146" s="340">
        <f t="shared" si="60"/>
        <v>1.5705970581762323</v>
      </c>
      <c r="K146" s="348">
        <f t="shared" si="61"/>
        <v>1.6349432824203092</v>
      </c>
      <c r="L146" s="349">
        <f t="shared" si="62"/>
        <v>0.91266188078643173</v>
      </c>
      <c r="M146" s="337">
        <f t="shared" si="63"/>
        <v>1.0028989250647362</v>
      </c>
      <c r="N146" s="340">
        <f t="shared" si="64"/>
        <v>7.6051814000238249E-2</v>
      </c>
      <c r="O146" s="341">
        <f t="shared" si="65"/>
        <v>1.0000537396034745</v>
      </c>
      <c r="P146" s="342">
        <f t="shared" si="66"/>
        <v>0.10748533140931946</v>
      </c>
      <c r="Q146" s="343">
        <f t="shared" si="67"/>
        <v>18.872252340380186</v>
      </c>
      <c r="R146" s="344">
        <f t="shared" si="68"/>
        <v>-109.50422444354855</v>
      </c>
      <c r="S146" s="346">
        <f t="shared" si="69"/>
        <v>70.495775556451449</v>
      </c>
      <c r="U146" s="319">
        <f t="shared" si="75"/>
        <v>1000000000</v>
      </c>
      <c r="V146" s="319">
        <f t="shared" si="76"/>
        <v>69182469.760000005</v>
      </c>
      <c r="X146" s="345">
        <f t="shared" si="70"/>
        <v>27.940913056312642</v>
      </c>
      <c r="Y146" s="346">
        <f t="shared" si="71"/>
        <v>-42.054356872208416</v>
      </c>
      <c r="AA146" s="345">
        <f t="shared" si="72"/>
        <v>53.171080618457516</v>
      </c>
      <c r="AB146" s="346">
        <f t="shared" si="73"/>
        <v>-67.449867571340093</v>
      </c>
      <c r="AD146">
        <f t="shared" si="77"/>
        <v>0</v>
      </c>
      <c r="AE146">
        <f t="shared" si="52"/>
        <v>0</v>
      </c>
    </row>
    <row r="147" spans="1:31" x14ac:dyDescent="0.25">
      <c r="A147" s="347">
        <v>8366.0499999999993</v>
      </c>
      <c r="B147" s="364">
        <f t="shared" si="74"/>
        <v>8.3660499999999995</v>
      </c>
      <c r="C147" s="337">
        <f t="shared" si="53"/>
        <v>2.1404389905744221</v>
      </c>
      <c r="D147" s="338">
        <f t="shared" si="54"/>
        <v>1.0846820060514282</v>
      </c>
      <c r="E147" s="338">
        <f t="shared" si="55"/>
        <v>1.0000795748550173</v>
      </c>
      <c r="F147" s="339">
        <f t="shared" si="56"/>
        <v>1.2615036946259921E-2</v>
      </c>
      <c r="G147" s="338">
        <f t="shared" si="57"/>
        <v>1</v>
      </c>
      <c r="H147" s="339">
        <f t="shared" si="58"/>
        <v>0</v>
      </c>
      <c r="I147" s="337">
        <f t="shared" si="59"/>
        <v>5047.5835621464239</v>
      </c>
      <c r="J147" s="340">
        <f t="shared" si="60"/>
        <v>1.57059821219328</v>
      </c>
      <c r="K147" s="348">
        <f t="shared" si="61"/>
        <v>1.6409104809582693</v>
      </c>
      <c r="L147" s="349">
        <f t="shared" si="62"/>
        <v>0.91547029940285285</v>
      </c>
      <c r="M147" s="337">
        <f t="shared" si="63"/>
        <v>1.002932746367188</v>
      </c>
      <c r="N147" s="340">
        <f t="shared" si="64"/>
        <v>7.6493094563199776E-2</v>
      </c>
      <c r="O147" s="341">
        <f t="shared" si="65"/>
        <v>1.000054560673389</v>
      </c>
      <c r="P147" s="342">
        <f t="shared" si="66"/>
        <v>0.10811378778321265</v>
      </c>
      <c r="Q147" s="343">
        <f t="shared" si="67"/>
        <v>18.81376874386731</v>
      </c>
      <c r="R147" s="344">
        <f t="shared" si="68"/>
        <v>-109.53817248189746</v>
      </c>
      <c r="S147" s="346">
        <f t="shared" si="69"/>
        <v>70.461827518102538</v>
      </c>
      <c r="U147" s="319">
        <f t="shared" si="75"/>
        <v>1000000000</v>
      </c>
      <c r="V147" s="319">
        <f t="shared" si="76"/>
        <v>69990792.602499992</v>
      </c>
      <c r="X147" s="345">
        <f t="shared" si="70"/>
        <v>27.921815602443477</v>
      </c>
      <c r="Y147" s="346">
        <f t="shared" si="71"/>
        <v>-41.918795972371797</v>
      </c>
      <c r="AA147" s="345">
        <f t="shared" si="72"/>
        <v>53.131694475813809</v>
      </c>
      <c r="AB147" s="346">
        <f t="shared" si="73"/>
        <v>-67.619376509525679</v>
      </c>
      <c r="AD147">
        <f t="shared" si="77"/>
        <v>0</v>
      </c>
      <c r="AE147">
        <f t="shared" si="52"/>
        <v>0</v>
      </c>
    </row>
    <row r="148" spans="1:31" x14ac:dyDescent="0.25">
      <c r="A148" s="350">
        <v>8414.5</v>
      </c>
      <c r="B148" s="364">
        <f t="shared" si="74"/>
        <v>8.4145000000000003</v>
      </c>
      <c r="C148" s="337">
        <f t="shared" si="53"/>
        <v>2.1501352907883309</v>
      </c>
      <c r="D148" s="338">
        <f t="shared" si="54"/>
        <v>1.0870634277364004</v>
      </c>
      <c r="E148" s="338">
        <f t="shared" si="55"/>
        <v>1.0000804991645624</v>
      </c>
      <c r="F148" s="339">
        <f t="shared" si="56"/>
        <v>1.2688086131248701E-2</v>
      </c>
      <c r="G148" s="338">
        <f t="shared" si="57"/>
        <v>1</v>
      </c>
      <c r="H148" s="339">
        <f t="shared" si="58"/>
        <v>0</v>
      </c>
      <c r="I148" s="337">
        <f t="shared" si="59"/>
        <v>5076.8154474465337</v>
      </c>
      <c r="J148" s="340">
        <f t="shared" si="60"/>
        <v>1.5705993529208573</v>
      </c>
      <c r="K148" s="348">
        <f t="shared" ref="K148:K157" si="78">SQRT(1+(A148/Zero2)^2)</f>
        <v>1.6468905278635344</v>
      </c>
      <c r="L148" s="349">
        <f t="shared" ref="L148:L157" si="79">ATAN(A148/Zero2)</f>
        <v>0.91825834450129851</v>
      </c>
      <c r="M148" s="337">
        <f t="shared" si="63"/>
        <v>1.0029667629560706</v>
      </c>
      <c r="N148" s="340">
        <f t="shared" si="64"/>
        <v>7.6934345279165484E-2</v>
      </c>
      <c r="O148" s="341">
        <f t="shared" si="65"/>
        <v>1.0000553910128831</v>
      </c>
      <c r="P148" s="342">
        <f t="shared" si="66"/>
        <v>0.10874228498353668</v>
      </c>
      <c r="Q148" s="343">
        <f t="shared" si="67"/>
        <v>18.755655964126781</v>
      </c>
      <c r="R148" s="344">
        <f t="shared" si="68"/>
        <v>-109.57204666611828</v>
      </c>
      <c r="S148" s="346">
        <f t="shared" si="69"/>
        <v>70.427953333881717</v>
      </c>
      <c r="U148" s="319">
        <f t="shared" si="75"/>
        <v>1000000000</v>
      </c>
      <c r="V148" s="319">
        <f t="shared" si="76"/>
        <v>70803810.25</v>
      </c>
      <c r="X148" s="345">
        <f t="shared" si="70"/>
        <v>27.902960684670116</v>
      </c>
      <c r="Y148" s="346">
        <f t="shared" si="71"/>
        <v>-41.784399917592872</v>
      </c>
      <c r="AA148" s="345">
        <f t="shared" si="72"/>
        <v>53.092436613846637</v>
      </c>
      <c r="AB148" s="346">
        <f t="shared" si="73"/>
        <v>-67.787646748525432</v>
      </c>
      <c r="AD148">
        <f t="shared" si="77"/>
        <v>0</v>
      </c>
      <c r="AE148">
        <f t="shared" si="52"/>
        <v>0</v>
      </c>
    </row>
    <row r="149" spans="1:31" x14ac:dyDescent="0.25">
      <c r="A149" s="350">
        <v>8462.9500000000007</v>
      </c>
      <c r="B149" s="364">
        <f t="shared" si="74"/>
        <v>8.4629500000000011</v>
      </c>
      <c r="C149" s="337">
        <f t="shared" si="53"/>
        <v>2.1598436752588666</v>
      </c>
      <c r="D149" s="338">
        <f t="shared" si="54"/>
        <v>1.0894234539733549</v>
      </c>
      <c r="E149" s="338">
        <f t="shared" si="55"/>
        <v>1.0000814288107103</v>
      </c>
      <c r="F149" s="339">
        <f t="shared" si="56"/>
        <v>1.2761135180818553E-2</v>
      </c>
      <c r="G149" s="338">
        <f t="shared" si="57"/>
        <v>1</v>
      </c>
      <c r="H149" s="339">
        <f t="shared" si="58"/>
        <v>0</v>
      </c>
      <c r="I149" s="337">
        <f t="shared" si="59"/>
        <v>5106.0473327531736</v>
      </c>
      <c r="J149" s="340">
        <f t="shared" si="60"/>
        <v>1.5706004805872091</v>
      </c>
      <c r="K149" s="348">
        <f t="shared" si="78"/>
        <v>1.6528832836819098</v>
      </c>
      <c r="L149" s="349">
        <f t="shared" si="79"/>
        <v>0.92102619410268027</v>
      </c>
      <c r="M149" s="337">
        <f t="shared" si="63"/>
        <v>1.003000974811515</v>
      </c>
      <c r="N149" s="340">
        <f t="shared" si="64"/>
        <v>7.7375565979355895E-2</v>
      </c>
      <c r="O149" s="341">
        <f t="shared" si="65"/>
        <v>1.0000562307001406</v>
      </c>
      <c r="P149" s="342">
        <f t="shared" si="66"/>
        <v>0.10937082324090106</v>
      </c>
      <c r="Q149" s="343">
        <f t="shared" si="67"/>
        <v>18.697909750096038</v>
      </c>
      <c r="R149" s="344">
        <f t="shared" si="68"/>
        <v>-109.60585199023745</v>
      </c>
      <c r="S149" s="346">
        <f t="shared" si="69"/>
        <v>70.394148009762546</v>
      </c>
      <c r="U149" s="319">
        <f t="shared" si="75"/>
        <v>1000000000</v>
      </c>
      <c r="V149" s="319">
        <f t="shared" si="76"/>
        <v>71621522.702500015</v>
      </c>
      <c r="X149" s="345">
        <f t="shared" si="70"/>
        <v>27.884344320711392</v>
      </c>
      <c r="Y149" s="346">
        <f t="shared" si="71"/>
        <v>-41.651158511431845</v>
      </c>
      <c r="AA149" s="345">
        <f t="shared" si="72"/>
        <v>53.053306763774621</v>
      </c>
      <c r="AB149" s="346">
        <f t="shared" si="73"/>
        <v>-67.954693478805623</v>
      </c>
      <c r="AD149">
        <f t="shared" si="77"/>
        <v>0</v>
      </c>
      <c r="AE149">
        <f t="shared" si="52"/>
        <v>0</v>
      </c>
    </row>
    <row r="150" spans="1:31" x14ac:dyDescent="0.25">
      <c r="A150" s="350">
        <v>8511.4</v>
      </c>
      <c r="B150" s="364">
        <f t="shared" si="74"/>
        <v>8.5114000000000001</v>
      </c>
      <c r="C150" s="337">
        <f t="shared" si="53"/>
        <v>2.1695639817618138</v>
      </c>
      <c r="D150" s="338">
        <f t="shared" si="54"/>
        <v>1.0917623458695751</v>
      </c>
      <c r="E150" s="338">
        <f t="shared" si="55"/>
        <v>1.0000823637934466</v>
      </c>
      <c r="F150" s="339">
        <f t="shared" si="56"/>
        <v>1.2834184094190253E-2</v>
      </c>
      <c r="G150" s="338">
        <f t="shared" si="57"/>
        <v>1</v>
      </c>
      <c r="H150" s="339">
        <f t="shared" si="58"/>
        <v>0</v>
      </c>
      <c r="I150" s="337">
        <f t="shared" si="59"/>
        <v>5135.2792180662309</v>
      </c>
      <c r="J150" s="340">
        <f t="shared" si="60"/>
        <v>1.5706015954153834</v>
      </c>
      <c r="K150" s="348">
        <f t="shared" si="78"/>
        <v>1.6588886106800789</v>
      </c>
      <c r="L150" s="349">
        <f t="shared" si="79"/>
        <v>0.92377402489603933</v>
      </c>
      <c r="M150" s="337">
        <f t="shared" si="63"/>
        <v>1.0030353819135402</v>
      </c>
      <c r="N150" s="340">
        <f t="shared" si="64"/>
        <v>7.7816756495061312E-2</v>
      </c>
      <c r="O150" s="341">
        <f t="shared" si="65"/>
        <v>1.000057079813796</v>
      </c>
      <c r="P150" s="342">
        <f t="shared" si="66"/>
        <v>0.10999940278581324</v>
      </c>
      <c r="Q150" s="343">
        <f t="shared" si="67"/>
        <v>18.640525915149528</v>
      </c>
      <c r="R150" s="344">
        <f t="shared" si="68"/>
        <v>-109.63959330742912</v>
      </c>
      <c r="S150" s="346">
        <f t="shared" si="69"/>
        <v>70.360406692570876</v>
      </c>
      <c r="U150" s="319">
        <f t="shared" si="75"/>
        <v>1000000000</v>
      </c>
      <c r="V150" s="319">
        <f t="shared" si="76"/>
        <v>72443929.959999993</v>
      </c>
      <c r="X150" s="345">
        <f t="shared" si="70"/>
        <v>27.865962605259771</v>
      </c>
      <c r="Y150" s="346">
        <f t="shared" si="71"/>
        <v>-41.519061633465739</v>
      </c>
      <c r="AA150" s="345">
        <f t="shared" si="72"/>
        <v>53.014304644279733</v>
      </c>
      <c r="AB150" s="346">
        <f t="shared" si="73"/>
        <v>-68.120531673963399</v>
      </c>
      <c r="AD150">
        <f t="shared" si="77"/>
        <v>0</v>
      </c>
      <c r="AE150">
        <f t="shared" si="52"/>
        <v>0</v>
      </c>
    </row>
    <row r="151" spans="1:31" x14ac:dyDescent="0.25">
      <c r="A151" s="350">
        <v>8560.9500000000007</v>
      </c>
      <c r="B151" s="364">
        <f t="shared" si="74"/>
        <v>8.5609500000000001</v>
      </c>
      <c r="C151" s="337">
        <f t="shared" si="53"/>
        <v>2.1795171412223424</v>
      </c>
      <c r="D151" s="338">
        <f t="shared" si="54"/>
        <v>1.0941327482105281</v>
      </c>
      <c r="E151" s="338">
        <f t="shared" si="55"/>
        <v>1.0000833255235504</v>
      </c>
      <c r="F151" s="339">
        <f t="shared" si="56"/>
        <v>1.2908891355139602E-2</v>
      </c>
      <c r="G151" s="338">
        <f t="shared" si="57"/>
        <v>1</v>
      </c>
      <c r="H151" s="339">
        <f t="shared" si="58"/>
        <v>0</v>
      </c>
      <c r="I151" s="337">
        <f t="shared" si="59"/>
        <v>5165.1747788005596</v>
      </c>
      <c r="J151" s="340">
        <f t="shared" si="60"/>
        <v>1.5706027225028694</v>
      </c>
      <c r="K151" s="348">
        <f t="shared" si="78"/>
        <v>1.6650431423165575</v>
      </c>
      <c r="L151" s="349">
        <f t="shared" si="79"/>
        <v>0.92656371895137934</v>
      </c>
      <c r="M151" s="337">
        <f t="shared" si="63"/>
        <v>1.0030707721133878</v>
      </c>
      <c r="N151" s="340">
        <f t="shared" si="64"/>
        <v>7.8267932324136702E-2</v>
      </c>
      <c r="O151" s="341">
        <f t="shared" si="65"/>
        <v>1.0000579580378448</v>
      </c>
      <c r="P151" s="342">
        <f t="shared" si="66"/>
        <v>0.11064229643092403</v>
      </c>
      <c r="Q151" s="343">
        <f t="shared" si="67"/>
        <v>18.582209764835085</v>
      </c>
      <c r="R151" s="344">
        <f t="shared" si="68"/>
        <v>-109.67403939181901</v>
      </c>
      <c r="S151" s="346">
        <f t="shared" si="69"/>
        <v>70.325960608180992</v>
      </c>
      <c r="U151" s="319">
        <f t="shared" si="75"/>
        <v>1000000000</v>
      </c>
      <c r="V151" s="319">
        <f t="shared" si="76"/>
        <v>73289864.902500018</v>
      </c>
      <c r="X151" s="345">
        <f t="shared" si="70"/>
        <v>27.847402263777255</v>
      </c>
      <c r="Y151" s="346">
        <f t="shared" si="71"/>
        <v>-41.385138985989407</v>
      </c>
      <c r="AA151" s="345">
        <f t="shared" si="72"/>
        <v>52.974548835447806</v>
      </c>
      <c r="AB151" s="346">
        <f t="shared" si="73"/>
        <v>-68.28890040582958</v>
      </c>
      <c r="AD151">
        <f t="shared" si="77"/>
        <v>0</v>
      </c>
      <c r="AE151">
        <f t="shared" si="52"/>
        <v>0</v>
      </c>
    </row>
    <row r="152" spans="1:31" x14ac:dyDescent="0.25">
      <c r="A152" s="350">
        <v>8610.5</v>
      </c>
      <c r="B152" s="364">
        <f t="shared" si="74"/>
        <v>8.6105</v>
      </c>
      <c r="C152" s="337">
        <f t="shared" si="53"/>
        <v>2.1894824355889835</v>
      </c>
      <c r="D152" s="338">
        <f t="shared" si="54"/>
        <v>1.0964815861689401</v>
      </c>
      <c r="E152" s="338">
        <f t="shared" si="55"/>
        <v>1.0000842928352836</v>
      </c>
      <c r="F152" s="339">
        <f t="shared" si="56"/>
        <v>1.2983598471987661E-2</v>
      </c>
      <c r="G152" s="338">
        <f t="shared" si="57"/>
        <v>1</v>
      </c>
      <c r="H152" s="339">
        <f t="shared" si="58"/>
        <v>0</v>
      </c>
      <c r="I152" s="337">
        <f t="shared" si="59"/>
        <v>5195.0703395413748</v>
      </c>
      <c r="J152" s="340">
        <f t="shared" si="60"/>
        <v>1.570603836618476</v>
      </c>
      <c r="K152" s="348">
        <f t="shared" si="78"/>
        <v>1.6712105364739755</v>
      </c>
      <c r="L152" s="349">
        <f t="shared" si="79"/>
        <v>0.92933284438859742</v>
      </c>
      <c r="M152" s="337">
        <f t="shared" si="63"/>
        <v>1.0031063664835178</v>
      </c>
      <c r="N152" s="340">
        <f t="shared" si="64"/>
        <v>7.8719076225865742E-2</v>
      </c>
      <c r="O152" s="341">
        <f t="shared" si="65"/>
        <v>1.0000588462889841</v>
      </c>
      <c r="P152" s="342">
        <f t="shared" si="66"/>
        <v>0.11128523374696542</v>
      </c>
      <c r="Q152" s="343">
        <f t="shared" si="67"/>
        <v>18.524263979213973</v>
      </c>
      <c r="R152" s="344">
        <f t="shared" si="68"/>
        <v>-109.70842836099044</v>
      </c>
      <c r="S152" s="346">
        <f t="shared" si="69"/>
        <v>70.291571639009561</v>
      </c>
      <c r="U152" s="319">
        <f t="shared" si="75"/>
        <v>1000000000</v>
      </c>
      <c r="V152" s="319">
        <f t="shared" si="76"/>
        <v>74140710.25</v>
      </c>
      <c r="X152" s="345">
        <f t="shared" si="70"/>
        <v>27.82907932365989</v>
      </c>
      <c r="Y152" s="346">
        <f t="shared" si="71"/>
        <v>-41.252392260987108</v>
      </c>
      <c r="AA152" s="345">
        <f t="shared" si="72"/>
        <v>52.934925989944055</v>
      </c>
      <c r="AB152" s="346">
        <f t="shared" si="73"/>
        <v>-68.456036100003345</v>
      </c>
      <c r="AD152">
        <f t="shared" si="77"/>
        <v>0</v>
      </c>
      <c r="AE152">
        <f t="shared" si="52"/>
        <v>0</v>
      </c>
    </row>
    <row r="153" spans="1:31" x14ac:dyDescent="0.25">
      <c r="A153" s="350">
        <v>8660.0499999999993</v>
      </c>
      <c r="B153" s="364">
        <f t="shared" si="74"/>
        <v>8.66005</v>
      </c>
      <c r="C153" s="337">
        <f t="shared" si="53"/>
        <v>2.1994596999195384</v>
      </c>
      <c r="D153" s="338">
        <f t="shared" si="54"/>
        <v>1.0988091271134388</v>
      </c>
      <c r="E153" s="338">
        <f t="shared" si="55"/>
        <v>1.0000852657286294</v>
      </c>
      <c r="F153" s="339">
        <f t="shared" si="56"/>
        <v>1.3058305443900952E-2</v>
      </c>
      <c r="G153" s="338">
        <f t="shared" si="57"/>
        <v>1</v>
      </c>
      <c r="H153" s="339">
        <f t="shared" si="58"/>
        <v>0</v>
      </c>
      <c r="I153" s="337">
        <f t="shared" si="59"/>
        <v>5224.9659002885628</v>
      </c>
      <c r="J153" s="340">
        <f t="shared" si="60"/>
        <v>1.5706049379848663</v>
      </c>
      <c r="K153" s="348">
        <f t="shared" si="78"/>
        <v>1.6773906512744121</v>
      </c>
      <c r="L153" s="349">
        <f t="shared" si="79"/>
        <v>0.93208158585172574</v>
      </c>
      <c r="M153" s="337">
        <f t="shared" si="63"/>
        <v>1.0031421650021961</v>
      </c>
      <c r="N153" s="340">
        <f t="shared" si="64"/>
        <v>7.9170188020013493E-2</v>
      </c>
      <c r="O153" s="341">
        <f t="shared" si="65"/>
        <v>1.0000597446527906</v>
      </c>
      <c r="P153" s="342">
        <f t="shared" si="66"/>
        <v>0.11192821498016904</v>
      </c>
      <c r="Q153" s="343">
        <f t="shared" si="67"/>
        <v>18.466684281472222</v>
      </c>
      <c r="R153" s="344">
        <f t="shared" si="68"/>
        <v>-109.74276497130043</v>
      </c>
      <c r="S153" s="346">
        <f t="shared" si="69"/>
        <v>70.257235028699569</v>
      </c>
      <c r="U153" s="319">
        <f t="shared" si="75"/>
        <v>1000000000</v>
      </c>
      <c r="V153" s="319">
        <f t="shared" si="76"/>
        <v>74996466.002499983</v>
      </c>
      <c r="X153" s="345">
        <f t="shared" si="70"/>
        <v>27.810989846306601</v>
      </c>
      <c r="Y153" s="346">
        <f t="shared" si="71"/>
        <v>-41.120810881565987</v>
      </c>
      <c r="AA153" s="345">
        <f t="shared" si="72"/>
        <v>52.89543576955559</v>
      </c>
      <c r="AB153" s="346">
        <f t="shared" si="73"/>
        <v>-68.621954089734459</v>
      </c>
      <c r="AD153">
        <f t="shared" si="77"/>
        <v>0</v>
      </c>
      <c r="AE153">
        <f t="shared" si="52"/>
        <v>0</v>
      </c>
    </row>
    <row r="154" spans="1:31" x14ac:dyDescent="0.25">
      <c r="A154" s="350">
        <v>8709.6</v>
      </c>
      <c r="B154" s="364">
        <f t="shared" si="74"/>
        <v>8.7096</v>
      </c>
      <c r="C154" s="337">
        <f t="shared" si="53"/>
        <v>2.2094487720547953</v>
      </c>
      <c r="D154" s="338">
        <f t="shared" si="54"/>
        <v>1.1011156345092037</v>
      </c>
      <c r="E154" s="338">
        <f t="shared" si="55"/>
        <v>1.0000862442035721</v>
      </c>
      <c r="F154" s="339">
        <f t="shared" si="56"/>
        <v>1.3133012270045997E-2</v>
      </c>
      <c r="G154" s="338">
        <f t="shared" si="57"/>
        <v>1</v>
      </c>
      <c r="H154" s="339">
        <f t="shared" si="58"/>
        <v>0</v>
      </c>
      <c r="I154" s="337">
        <f t="shared" si="59"/>
        <v>5254.8614610420191</v>
      </c>
      <c r="J154" s="340">
        <f t="shared" si="60"/>
        <v>1.5706060268196358</v>
      </c>
      <c r="K154" s="348">
        <f t="shared" si="78"/>
        <v>1.6835833466326771</v>
      </c>
      <c r="L154" s="349">
        <f t="shared" si="79"/>
        <v>0.93481012650859219</v>
      </c>
      <c r="M154" s="337">
        <f t="shared" si="63"/>
        <v>1.003178167647568</v>
      </c>
      <c r="N154" s="340">
        <f t="shared" si="64"/>
        <v>7.962126752642297E-2</v>
      </c>
      <c r="O154" s="341">
        <f t="shared" si="65"/>
        <v>1.0000606532153347</v>
      </c>
      <c r="P154" s="342">
        <f t="shared" si="66"/>
        <v>0.11257124037665213</v>
      </c>
      <c r="Q154" s="343">
        <f t="shared" si="67"/>
        <v>18.409466460225985</v>
      </c>
      <c r="R154" s="344">
        <f t="shared" si="68"/>
        <v>-109.77705383974263</v>
      </c>
      <c r="S154" s="346">
        <f t="shared" si="69"/>
        <v>70.222946160257365</v>
      </c>
      <c r="U154" s="319">
        <f t="shared" si="75"/>
        <v>1000000000</v>
      </c>
      <c r="V154" s="319">
        <f t="shared" si="76"/>
        <v>75857132.160000011</v>
      </c>
      <c r="X154" s="345">
        <f t="shared" si="70"/>
        <v>27.793129970032851</v>
      </c>
      <c r="Y154" s="346">
        <f t="shared" si="71"/>
        <v>-40.990384355127631</v>
      </c>
      <c r="AA154" s="345">
        <f t="shared" si="72"/>
        <v>52.85607782458311</v>
      </c>
      <c r="AB154" s="346">
        <f t="shared" si="73"/>
        <v>-68.78666948461499</v>
      </c>
      <c r="AD154">
        <f t="shared" si="77"/>
        <v>0</v>
      </c>
      <c r="AE154">
        <f t="shared" ref="AE154:AE217" si="80">IF(AD154&gt;0,S154,0)</f>
        <v>0</v>
      </c>
    </row>
    <row r="155" spans="1:31" x14ac:dyDescent="0.25">
      <c r="A155" s="350">
        <v>8760.3250000000007</v>
      </c>
      <c r="B155" s="364">
        <f t="shared" si="74"/>
        <v>8.7603249999999999</v>
      </c>
      <c r="C155" s="337">
        <f t="shared" si="53"/>
        <v>2.2196867839560279</v>
      </c>
      <c r="D155" s="338">
        <f t="shared" si="54"/>
        <v>1.1034553204868118</v>
      </c>
      <c r="E155" s="338">
        <f t="shared" si="55"/>
        <v>1.0000872516631898</v>
      </c>
      <c r="F155" s="339">
        <f t="shared" si="56"/>
        <v>1.3209490498730696E-2</v>
      </c>
      <c r="G155" s="338">
        <f t="shared" si="57"/>
        <v>1</v>
      </c>
      <c r="H155" s="339">
        <f t="shared" si="58"/>
        <v>0</v>
      </c>
      <c r="I155" s="337">
        <f t="shared" si="59"/>
        <v>5285.4659478136664</v>
      </c>
      <c r="J155" s="340">
        <f t="shared" si="60"/>
        <v>1.5706071287155146</v>
      </c>
      <c r="K155" s="348">
        <f t="shared" si="78"/>
        <v>1.6899357791737191</v>
      </c>
      <c r="L155" s="349">
        <f t="shared" si="79"/>
        <v>0.93758263484782989</v>
      </c>
      <c r="M155" s="337">
        <f t="shared" si="63"/>
        <v>1.0032152354607733</v>
      </c>
      <c r="N155" s="340">
        <f t="shared" si="64"/>
        <v>8.0083010037672167E-2</v>
      </c>
      <c r="O155" s="341">
        <f t="shared" si="65"/>
        <v>1.0000615939777593</v>
      </c>
      <c r="P155" s="342">
        <f t="shared" si="66"/>
        <v>0.11322956010836413</v>
      </c>
      <c r="Q155" s="343">
        <f t="shared" si="67"/>
        <v>18.351262329535412</v>
      </c>
      <c r="R155" s="344">
        <f t="shared" si="68"/>
        <v>-109.8121110387511</v>
      </c>
      <c r="S155" s="346">
        <f t="shared" si="69"/>
        <v>70.187888961248902</v>
      </c>
      <c r="U155" s="319">
        <f t="shared" si="75"/>
        <v>1000000000</v>
      </c>
      <c r="V155" s="319">
        <f t="shared" si="76"/>
        <v>76743294.105625018</v>
      </c>
      <c r="X155" s="345">
        <f t="shared" si="70"/>
        <v>27.775080454781573</v>
      </c>
      <c r="Y155" s="346">
        <f t="shared" si="71"/>
        <v>-40.858050359572943</v>
      </c>
      <c r="AA155" s="345">
        <f t="shared" si="72"/>
        <v>52.815923209143818</v>
      </c>
      <c r="AB155" s="346">
        <f t="shared" si="73"/>
        <v>-68.954060679178156</v>
      </c>
      <c r="AD155">
        <f t="shared" si="77"/>
        <v>0</v>
      </c>
      <c r="AE155">
        <f t="shared" si="80"/>
        <v>0</v>
      </c>
    </row>
    <row r="156" spans="1:31" x14ac:dyDescent="0.25">
      <c r="A156" s="350">
        <v>8811.0499999999993</v>
      </c>
      <c r="B156" s="364">
        <f t="shared" si="74"/>
        <v>8.8110499999999998</v>
      </c>
      <c r="C156" s="337">
        <f t="shared" si="53"/>
        <v>2.2299368351005282</v>
      </c>
      <c r="D156" s="338">
        <f t="shared" si="54"/>
        <v>1.105773510016929</v>
      </c>
      <c r="E156" s="338">
        <f t="shared" si="55"/>
        <v>1.0000882649722254</v>
      </c>
      <c r="F156" s="339">
        <f t="shared" si="56"/>
        <v>1.3285968572884221E-2</v>
      </c>
      <c r="G156" s="338">
        <f t="shared" si="57"/>
        <v>1</v>
      </c>
      <c r="H156" s="339">
        <f t="shared" si="58"/>
        <v>0</v>
      </c>
      <c r="I156" s="337">
        <f t="shared" si="59"/>
        <v>5316.0704345916565</v>
      </c>
      <c r="J156" s="340">
        <f t="shared" si="60"/>
        <v>1.5706082179242182</v>
      </c>
      <c r="K156" s="348">
        <f t="shared" si="78"/>
        <v>1.6963011045660001</v>
      </c>
      <c r="L156" s="349">
        <f t="shared" si="79"/>
        <v>0.94033435667742948</v>
      </c>
      <c r="M156" s="337">
        <f t="shared" si="63"/>
        <v>1.003252517149801</v>
      </c>
      <c r="N156" s="340">
        <f t="shared" si="64"/>
        <v>8.0544718329891046E-2</v>
      </c>
      <c r="O156" s="341">
        <f t="shared" si="65"/>
        <v>1.0000625456124752</v>
      </c>
      <c r="P156" s="342">
        <f t="shared" si="66"/>
        <v>0.11388792664431714</v>
      </c>
      <c r="Q156" s="343">
        <f t="shared" si="67"/>
        <v>18.293428714747012</v>
      </c>
      <c r="R156" s="344">
        <f t="shared" si="68"/>
        <v>-109.84712756432872</v>
      </c>
      <c r="S156" s="346">
        <f t="shared" si="69"/>
        <v>70.152872435671284</v>
      </c>
      <c r="U156" s="319">
        <f t="shared" si="75"/>
        <v>1000000000</v>
      </c>
      <c r="V156" s="319">
        <f t="shared" si="76"/>
        <v>77634602.102499992</v>
      </c>
      <c r="X156" s="345">
        <f t="shared" si="70"/>
        <v>27.757263608547689</v>
      </c>
      <c r="Y156" s="346">
        <f t="shared" si="71"/>
        <v>-40.726904655765075</v>
      </c>
      <c r="AA156" s="345">
        <f t="shared" si="72"/>
        <v>52.77590644058931</v>
      </c>
      <c r="AB156" s="346">
        <f t="shared" si="73"/>
        <v>-69.120222908563619</v>
      </c>
      <c r="AD156">
        <f t="shared" si="77"/>
        <v>0</v>
      </c>
      <c r="AE156">
        <f t="shared" si="80"/>
        <v>0</v>
      </c>
    </row>
    <row r="157" spans="1:31" x14ac:dyDescent="0.25">
      <c r="A157" s="350">
        <v>8861.7749999999996</v>
      </c>
      <c r="B157" s="364">
        <f t="shared" si="74"/>
        <v>8.8617749999999997</v>
      </c>
      <c r="C157" s="337">
        <f t="shared" si="53"/>
        <v>2.2401987602312805</v>
      </c>
      <c r="D157" s="338">
        <f t="shared" si="54"/>
        <v>1.1080704734248379</v>
      </c>
      <c r="E157" s="338">
        <f t="shared" si="55"/>
        <v>1.0000892841306612</v>
      </c>
      <c r="F157" s="339">
        <f t="shared" si="56"/>
        <v>1.336244649161243E-2</v>
      </c>
      <c r="G157" s="338">
        <f t="shared" si="57"/>
        <v>1</v>
      </c>
      <c r="H157" s="339">
        <f t="shared" si="58"/>
        <v>0</v>
      </c>
      <c r="I157" s="337">
        <f t="shared" si="59"/>
        <v>5346.6749213758821</v>
      </c>
      <c r="J157" s="340">
        <f t="shared" si="60"/>
        <v>1.5706092946636121</v>
      </c>
      <c r="K157" s="348">
        <f t="shared" si="78"/>
        <v>1.7026791782129505</v>
      </c>
      <c r="L157" s="349">
        <f t="shared" si="79"/>
        <v>0.94306548368371523</v>
      </c>
      <c r="M157" s="337">
        <f t="shared" si="63"/>
        <v>1.0032900126908086</v>
      </c>
      <c r="N157" s="340">
        <f t="shared" si="64"/>
        <v>8.1006392210056372E-2</v>
      </c>
      <c r="O157" s="341">
        <f t="shared" si="65"/>
        <v>1.0000635082134293</v>
      </c>
      <c r="P157" s="342">
        <f t="shared" si="66"/>
        <v>0.11454634024817867</v>
      </c>
      <c r="Q157" s="343">
        <f t="shared" si="67"/>
        <v>18.23596130296724</v>
      </c>
      <c r="R157" s="344">
        <f t="shared" si="68"/>
        <v>-109.88210793873748</v>
      </c>
      <c r="S157" s="346">
        <f t="shared" si="69"/>
        <v>70.117892061262523</v>
      </c>
      <c r="U157" s="319">
        <f t="shared" si="75"/>
        <v>1000000000</v>
      </c>
      <c r="V157" s="319">
        <f t="shared" si="76"/>
        <v>78531056.15062499</v>
      </c>
      <c r="X157" s="345">
        <f t="shared" si="70"/>
        <v>27.739675527690665</v>
      </c>
      <c r="Y157" s="346">
        <f t="shared" si="71"/>
        <v>-40.596936262309995</v>
      </c>
      <c r="AA157" s="345">
        <f t="shared" si="72"/>
        <v>52.736027109666558</v>
      </c>
      <c r="AB157" s="346">
        <f t="shared" si="73"/>
        <v>-69.285171676427467</v>
      </c>
      <c r="AD157">
        <f t="shared" si="77"/>
        <v>0</v>
      </c>
      <c r="AE157">
        <f t="shared" si="80"/>
        <v>0</v>
      </c>
    </row>
    <row r="158" spans="1:31" x14ac:dyDescent="0.25">
      <c r="A158" s="347">
        <v>8912.5</v>
      </c>
      <c r="B158" s="364">
        <f t="shared" si="74"/>
        <v>8.9124999999999996</v>
      </c>
      <c r="C158" s="337">
        <f t="shared" si="53"/>
        <v>2.2504723969157827</v>
      </c>
      <c r="D158" s="338">
        <f t="shared" si="54"/>
        <v>1.1103464770040725</v>
      </c>
      <c r="E158" s="338">
        <f t="shared" si="55"/>
        <v>1.0000903091384794</v>
      </c>
      <c r="F158" s="339">
        <f t="shared" si="56"/>
        <v>1.3438924254021174E-2</v>
      </c>
      <c r="G158" s="338">
        <f t="shared" si="57"/>
        <v>1</v>
      </c>
      <c r="H158" s="339">
        <f t="shared" si="58"/>
        <v>0</v>
      </c>
      <c r="I158" s="337">
        <f t="shared" si="59"/>
        <v>5377.279408166235</v>
      </c>
      <c r="J158" s="340">
        <f t="shared" si="60"/>
        <v>1.5706103591466012</v>
      </c>
      <c r="K158" s="348">
        <f t="shared" ref="K158:K214" si="81">SQRT(1+(A158/Zero2)^2)</f>
        <v>1.7090698573890337</v>
      </c>
      <c r="L158" s="349">
        <f t="shared" ref="L158:L214" si="82">ATAN(A158/Zero2)</f>
        <v>0.94577620592347933</v>
      </c>
      <c r="M158" s="337">
        <f t="shared" si="63"/>
        <v>1.0033277220598207</v>
      </c>
      <c r="N158" s="340">
        <f t="shared" si="64"/>
        <v>8.146803148523242E-2</v>
      </c>
      <c r="O158" s="341">
        <f t="shared" si="65"/>
        <v>1.0000644818751097</v>
      </c>
      <c r="P158" s="342">
        <f t="shared" si="66"/>
        <v>0.1152048011834875</v>
      </c>
      <c r="Q158" s="343">
        <f t="shared" si="67"/>
        <v>18.178855847965696</v>
      </c>
      <c r="R158" s="344">
        <f t="shared" si="68"/>
        <v>-109.91705654631599</v>
      </c>
      <c r="S158" s="346">
        <f t="shared" si="69"/>
        <v>70.08294345368401</v>
      </c>
      <c r="U158" s="319">
        <f t="shared" si="75"/>
        <v>1000000000</v>
      </c>
      <c r="V158" s="319">
        <f t="shared" si="76"/>
        <v>79432656.25</v>
      </c>
      <c r="X158" s="345">
        <f t="shared" si="70"/>
        <v>27.722312385663834</v>
      </c>
      <c r="Y158" s="346">
        <f t="shared" si="71"/>
        <v>-40.468134290899798</v>
      </c>
      <c r="AA158" s="345">
        <f t="shared" si="72"/>
        <v>52.696284796691842</v>
      </c>
      <c r="AB158" s="346">
        <f t="shared" si="73"/>
        <v>-69.448922255416193</v>
      </c>
      <c r="AD158">
        <f t="shared" si="77"/>
        <v>0</v>
      </c>
      <c r="AE158">
        <f t="shared" si="80"/>
        <v>0</v>
      </c>
    </row>
    <row r="159" spans="1:31" x14ac:dyDescent="0.25">
      <c r="A159" s="347">
        <v>8964.4</v>
      </c>
      <c r="B159" s="364">
        <f t="shared" si="74"/>
        <v>8.9643999999999995</v>
      </c>
      <c r="C159" s="337">
        <f t="shared" si="53"/>
        <v>2.2609959684698118</v>
      </c>
      <c r="D159" s="338">
        <f t="shared" si="54"/>
        <v>1.1126537820603868</v>
      </c>
      <c r="E159" s="338">
        <f t="shared" si="55"/>
        <v>1.0000913639438784</v>
      </c>
      <c r="F159" s="339">
        <f t="shared" si="56"/>
        <v>1.3517173393789793E-2</v>
      </c>
      <c r="G159" s="338">
        <f t="shared" si="57"/>
        <v>1</v>
      </c>
      <c r="H159" s="339">
        <f t="shared" si="58"/>
        <v>0</v>
      </c>
      <c r="I159" s="337">
        <f t="shared" si="59"/>
        <v>5408.5928209752165</v>
      </c>
      <c r="J159" s="340">
        <f t="shared" si="60"/>
        <v>1.5706114358188521</v>
      </c>
      <c r="K159" s="348">
        <f t="shared" si="81"/>
        <v>1.715621471004751</v>
      </c>
      <c r="L159" s="349">
        <f t="shared" si="82"/>
        <v>0.94852879695135117</v>
      </c>
      <c r="M159" s="337">
        <f t="shared" si="63"/>
        <v>1.0033665262231228</v>
      </c>
      <c r="N159" s="340">
        <f t="shared" si="64"/>
        <v>8.1940328210288099E-2</v>
      </c>
      <c r="O159" s="341">
        <f t="shared" si="65"/>
        <v>1.0000654896379391</v>
      </c>
      <c r="P159" s="342">
        <f t="shared" si="66"/>
        <v>0.11587856405055538</v>
      </c>
      <c r="Q159" s="343">
        <f t="shared" si="67"/>
        <v>18.120797865618165</v>
      </c>
      <c r="R159" s="344">
        <f t="shared" si="68"/>
        <v>-109.95278626052598</v>
      </c>
      <c r="S159" s="346">
        <f t="shared" si="69"/>
        <v>70.047213739474017</v>
      </c>
      <c r="U159" s="319">
        <f t="shared" si="75"/>
        <v>1000000000</v>
      </c>
      <c r="V159" s="319">
        <f t="shared" si="76"/>
        <v>80360467.359999999</v>
      </c>
      <c r="X159" s="345">
        <f t="shared" si="70"/>
        <v>27.704775944591088</v>
      </c>
      <c r="Y159" s="346">
        <f t="shared" si="71"/>
        <v>-40.337544739927381</v>
      </c>
      <c r="AA159" s="345">
        <f t="shared" si="72"/>
        <v>52.655763255417057</v>
      </c>
      <c r="AB159" s="346">
        <f t="shared" si="73"/>
        <v>-69.615241520598602</v>
      </c>
      <c r="AD159">
        <f t="shared" si="77"/>
        <v>0</v>
      </c>
      <c r="AE159">
        <f t="shared" si="80"/>
        <v>0</v>
      </c>
    </row>
    <row r="160" spans="1:31" x14ac:dyDescent="0.25">
      <c r="A160" s="347">
        <v>9016.2999999999993</v>
      </c>
      <c r="B160" s="364">
        <f t="shared" si="74"/>
        <v>9.0162999999999993</v>
      </c>
      <c r="C160" s="337">
        <f t="shared" si="53"/>
        <v>2.2715314652247458</v>
      </c>
      <c r="D160" s="338">
        <f t="shared" si="54"/>
        <v>1.1149396963587195</v>
      </c>
      <c r="E160" s="338">
        <f t="shared" si="55"/>
        <v>1.0000924248727519</v>
      </c>
      <c r="F160" s="339">
        <f t="shared" si="56"/>
        <v>1.3595422368019326E-2</v>
      </c>
      <c r="G160" s="338">
        <f t="shared" si="57"/>
        <v>1</v>
      </c>
      <c r="H160" s="339">
        <f t="shared" si="58"/>
        <v>0</v>
      </c>
      <c r="I160" s="337">
        <f t="shared" si="59"/>
        <v>5439.9062337903952</v>
      </c>
      <c r="J160" s="340">
        <f t="shared" si="60"/>
        <v>1.5706125000959326</v>
      </c>
      <c r="K160" s="348">
        <f t="shared" si="81"/>
        <v>1.7221859845093439</v>
      </c>
      <c r="L160" s="349">
        <f t="shared" si="82"/>
        <v>0.95126042425968294</v>
      </c>
      <c r="M160" s="337">
        <f t="shared" si="63"/>
        <v>1.0034055541842331</v>
      </c>
      <c r="N160" s="340">
        <f t="shared" si="64"/>
        <v>8.2412588300246378E-2</v>
      </c>
      <c r="O160" s="341">
        <f t="shared" si="65"/>
        <v>1.0000665091817156</v>
      </c>
      <c r="P160" s="342">
        <f t="shared" si="66"/>
        <v>0.1165523770250039</v>
      </c>
      <c r="Q160" s="343">
        <f t="shared" si="67"/>
        <v>18.06311001803298</v>
      </c>
      <c r="R160" s="344">
        <f t="shared" si="68"/>
        <v>-109.98849157843428</v>
      </c>
      <c r="S160" s="346">
        <f t="shared" si="69"/>
        <v>70.011508421565722</v>
      </c>
      <c r="U160" s="319">
        <f t="shared" si="75"/>
        <v>1000000000</v>
      </c>
      <c r="V160" s="319">
        <f t="shared" si="76"/>
        <v>81293665.689999983</v>
      </c>
      <c r="X160" s="345">
        <f t="shared" si="70"/>
        <v>27.687467119170112</v>
      </c>
      <c r="Y160" s="346">
        <f t="shared" si="71"/>
        <v>-40.208153512381458</v>
      </c>
      <c r="AA160" s="345">
        <f t="shared" si="72"/>
        <v>52.615384233252847</v>
      </c>
      <c r="AB160" s="346">
        <f t="shared" si="73"/>
        <v>-69.780338066052806</v>
      </c>
      <c r="AD160">
        <f t="shared" si="77"/>
        <v>0</v>
      </c>
      <c r="AE160">
        <f t="shared" si="80"/>
        <v>0</v>
      </c>
    </row>
    <row r="161" spans="1:31" x14ac:dyDescent="0.25">
      <c r="A161" s="347">
        <v>9068.2000000000007</v>
      </c>
      <c r="B161" s="364">
        <f t="shared" si="74"/>
        <v>9.0682000000000009</v>
      </c>
      <c r="C161" s="337">
        <f t="shared" si="53"/>
        <v>2.2820787220181256</v>
      </c>
      <c r="D161" s="338">
        <f t="shared" si="54"/>
        <v>1.1172044924326441</v>
      </c>
      <c r="E161" s="338">
        <f t="shared" si="55"/>
        <v>1.0000934919250803</v>
      </c>
      <c r="F161" s="339">
        <f t="shared" si="56"/>
        <v>1.367367117575208E-2</v>
      </c>
      <c r="G161" s="338">
        <f t="shared" si="57"/>
        <v>1</v>
      </c>
      <c r="H161" s="339">
        <f t="shared" si="58"/>
        <v>0</v>
      </c>
      <c r="I161" s="337">
        <f t="shared" si="59"/>
        <v>5471.2196466116666</v>
      </c>
      <c r="J161" s="340">
        <f t="shared" si="60"/>
        <v>1.5706135521906661</v>
      </c>
      <c r="K161" s="348">
        <f t="shared" si="81"/>
        <v>1.7287632509512425</v>
      </c>
      <c r="L161" s="349">
        <f t="shared" si="82"/>
        <v>0.95397128612587834</v>
      </c>
      <c r="M161" s="337">
        <f t="shared" si="63"/>
        <v>1.003444805917038</v>
      </c>
      <c r="N161" s="340">
        <f t="shared" si="64"/>
        <v>8.2884811548738335E-2</v>
      </c>
      <c r="O161" s="341">
        <f t="shared" si="65"/>
        <v>1.0000675406094086</v>
      </c>
      <c r="P161" s="342">
        <f t="shared" si="66"/>
        <v>0.11722624038868978</v>
      </c>
      <c r="Q161" s="343">
        <f t="shared" si="67"/>
        <v>18.005787965668375</v>
      </c>
      <c r="R161" s="344">
        <f t="shared" si="68"/>
        <v>-110.02417677117988</v>
      </c>
      <c r="S161" s="346">
        <f t="shared" si="69"/>
        <v>69.975823228820119</v>
      </c>
      <c r="U161" s="319">
        <f t="shared" si="75"/>
        <v>1000000000</v>
      </c>
      <c r="V161" s="319">
        <f t="shared" si="76"/>
        <v>82232251.24000001</v>
      </c>
      <c r="X161" s="345">
        <f t="shared" si="70"/>
        <v>27.670382050050179</v>
      </c>
      <c r="Y161" s="346">
        <f t="shared" si="71"/>
        <v>-40.079949248173435</v>
      </c>
      <c r="AA161" s="345">
        <f t="shared" si="72"/>
        <v>52.575147250008179</v>
      </c>
      <c r="AB161" s="346">
        <f t="shared" si="73"/>
        <v>-69.944227523006433</v>
      </c>
      <c r="AD161">
        <f t="shared" si="77"/>
        <v>0</v>
      </c>
      <c r="AE161">
        <f t="shared" si="80"/>
        <v>0</v>
      </c>
    </row>
    <row r="162" spans="1:31" x14ac:dyDescent="0.25">
      <c r="A162" s="347">
        <v>9120.1</v>
      </c>
      <c r="B162" s="364">
        <f t="shared" si="74"/>
        <v>9.1201000000000008</v>
      </c>
      <c r="C162" s="337">
        <f t="shared" si="53"/>
        <v>2.2926375765441298</v>
      </c>
      <c r="D162" s="338">
        <f t="shared" si="54"/>
        <v>1.1194484386700552</v>
      </c>
      <c r="E162" s="338">
        <f t="shared" si="55"/>
        <v>1.0000945651008439</v>
      </c>
      <c r="F162" s="339">
        <f t="shared" si="56"/>
        <v>1.375191981603037E-2</v>
      </c>
      <c r="G162" s="338">
        <f t="shared" si="57"/>
        <v>1</v>
      </c>
      <c r="H162" s="339">
        <f t="shared" si="58"/>
        <v>0</v>
      </c>
      <c r="I162" s="337">
        <f t="shared" si="59"/>
        <v>5502.5330594389243</v>
      </c>
      <c r="J162" s="340">
        <f t="shared" si="60"/>
        <v>1.5706145923110322</v>
      </c>
      <c r="K162" s="348">
        <f t="shared" si="81"/>
        <v>1.7353531253234242</v>
      </c>
      <c r="L162" s="349">
        <f t="shared" si="82"/>
        <v>0.95666157904512961</v>
      </c>
      <c r="M162" s="337">
        <f t="shared" si="63"/>
        <v>1.0034842813952787</v>
      </c>
      <c r="N162" s="340">
        <f t="shared" si="64"/>
        <v>8.3356997749492914E-2</v>
      </c>
      <c r="O162" s="341">
        <f t="shared" si="65"/>
        <v>1.0000685840245815</v>
      </c>
      <c r="P162" s="342">
        <f t="shared" si="66"/>
        <v>0.11790015442332515</v>
      </c>
      <c r="Q162" s="343">
        <f t="shared" si="67"/>
        <v>17.948827436711817</v>
      </c>
      <c r="R162" s="344">
        <f t="shared" si="68"/>
        <v>-110.05984597420489</v>
      </c>
      <c r="S162" s="346">
        <f t="shared" si="69"/>
        <v>69.94015402579511</v>
      </c>
      <c r="U162" s="319">
        <f t="shared" si="75"/>
        <v>1000000000</v>
      </c>
      <c r="V162" s="319">
        <f t="shared" si="76"/>
        <v>83176224.010000005</v>
      </c>
      <c r="X162" s="345">
        <f t="shared" si="70"/>
        <v>27.653516954913183</v>
      </c>
      <c r="Y162" s="346">
        <f t="shared" si="71"/>
        <v>-39.952920689055979</v>
      </c>
      <c r="AA162" s="345">
        <f t="shared" si="72"/>
        <v>52.535051816188613</v>
      </c>
      <c r="AB162" s="346">
        <f t="shared" si="73"/>
        <v>-70.106925285148904</v>
      </c>
      <c r="AD162">
        <f t="shared" si="77"/>
        <v>0</v>
      </c>
      <c r="AE162">
        <f t="shared" si="80"/>
        <v>0</v>
      </c>
    </row>
    <row r="163" spans="1:31" x14ac:dyDescent="0.25">
      <c r="A163" s="347">
        <v>9173.2000000000007</v>
      </c>
      <c r="B163" s="364">
        <f t="shared" si="74"/>
        <v>9.1732000000000014</v>
      </c>
      <c r="C163" s="337">
        <f t="shared" si="53"/>
        <v>2.3034524031643855</v>
      </c>
      <c r="D163" s="338">
        <f t="shared" si="54"/>
        <v>1.1217229651624845</v>
      </c>
      <c r="E163" s="338">
        <f t="shared" si="55"/>
        <v>1.0000956694273448</v>
      </c>
      <c r="F163" s="339">
        <f t="shared" si="56"/>
        <v>1.3831977499119252E-2</v>
      </c>
      <c r="G163" s="338">
        <f t="shared" si="57"/>
        <v>1</v>
      </c>
      <c r="H163" s="339">
        <f t="shared" si="58"/>
        <v>0</v>
      </c>
      <c r="I163" s="337">
        <f t="shared" si="59"/>
        <v>5534.5704818174099</v>
      </c>
      <c r="J163" s="340">
        <f t="shared" si="60"/>
        <v>1.5706156442995294</v>
      </c>
      <c r="K163" s="348">
        <f t="shared" si="81"/>
        <v>1.7421082660833518</v>
      </c>
      <c r="L163" s="349">
        <f t="shared" si="82"/>
        <v>0.95939299051330873</v>
      </c>
      <c r="M163" s="337">
        <f t="shared" si="63"/>
        <v>1.0035249011390017</v>
      </c>
      <c r="N163" s="340">
        <f t="shared" si="64"/>
        <v>8.3840062992710004E-2</v>
      </c>
      <c r="O163" s="341">
        <f t="shared" si="65"/>
        <v>1.0000696640800266</v>
      </c>
      <c r="P163" s="342">
        <f t="shared" si="66"/>
        <v>0.11858970302087105</v>
      </c>
      <c r="Q163" s="343">
        <f t="shared" si="67"/>
        <v>17.890919674251371</v>
      </c>
      <c r="R163" s="344">
        <f t="shared" si="68"/>
        <v>-110.09632752462988</v>
      </c>
      <c r="S163" s="346">
        <f t="shared" si="69"/>
        <v>69.903672475370115</v>
      </c>
      <c r="U163" s="319">
        <f t="shared" si="75"/>
        <v>1000000000</v>
      </c>
      <c r="V163" s="319">
        <f t="shared" si="76"/>
        <v>84147598.24000001</v>
      </c>
      <c r="X163" s="345">
        <f t="shared" si="70"/>
        <v>27.636485711583703</v>
      </c>
      <c r="Y163" s="346">
        <f t="shared" si="71"/>
        <v>-39.824160213835334</v>
      </c>
      <c r="AA163" s="345">
        <f t="shared" si="72"/>
        <v>52.494175297057652</v>
      </c>
      <c r="AB163" s="346">
        <f t="shared" si="73"/>
        <v>-70.272167310794572</v>
      </c>
      <c r="AD163">
        <f t="shared" si="77"/>
        <v>0</v>
      </c>
      <c r="AE163">
        <f t="shared" si="80"/>
        <v>0</v>
      </c>
    </row>
    <row r="164" spans="1:31" x14ac:dyDescent="0.25">
      <c r="A164" s="347">
        <v>9226.2999999999993</v>
      </c>
      <c r="B164" s="364">
        <f t="shared" si="74"/>
        <v>9.2262999999999984</v>
      </c>
      <c r="C164" s="337">
        <f t="shared" si="53"/>
        <v>2.3142790352156504</v>
      </c>
      <c r="D164" s="338">
        <f t="shared" si="54"/>
        <v>1.1239762218970175</v>
      </c>
      <c r="E164" s="338">
        <f t="shared" si="55"/>
        <v>1.0000967801636775</v>
      </c>
      <c r="F164" s="339">
        <f t="shared" si="56"/>
        <v>1.3912035004892496E-2</v>
      </c>
      <c r="G164" s="338">
        <f t="shared" si="57"/>
        <v>1</v>
      </c>
      <c r="H164" s="339">
        <f t="shared" si="58"/>
        <v>0</v>
      </c>
      <c r="I164" s="337">
        <f t="shared" si="59"/>
        <v>5566.607904201951</v>
      </c>
      <c r="J164" s="340">
        <f t="shared" si="60"/>
        <v>1.5706166841790365</v>
      </c>
      <c r="K164" s="348">
        <f t="shared" si="81"/>
        <v>1.7488763035700421</v>
      </c>
      <c r="L164" s="349">
        <f t="shared" si="82"/>
        <v>0.96210328130252953</v>
      </c>
      <c r="M164" s="337">
        <f t="shared" si="63"/>
        <v>1.0035657550383081</v>
      </c>
      <c r="N164" s="340">
        <f t="shared" si="64"/>
        <v>8.4323089018677938E-2</v>
      </c>
      <c r="O164" s="341">
        <f t="shared" si="65"/>
        <v>1.0000707569049192</v>
      </c>
      <c r="P164" s="342">
        <f t="shared" si="66"/>
        <v>0.11927930525575137</v>
      </c>
      <c r="Q164" s="343">
        <f t="shared" si="67"/>
        <v>17.833381511283722</v>
      </c>
      <c r="R164" s="344">
        <f t="shared" si="68"/>
        <v>-110.13280067603644</v>
      </c>
      <c r="S164" s="346">
        <f t="shared" si="69"/>
        <v>69.867199323963561</v>
      </c>
      <c r="U164" s="319">
        <f t="shared" si="75"/>
        <v>1000000000</v>
      </c>
      <c r="V164" s="319">
        <f t="shared" si="76"/>
        <v>85124611.689999983</v>
      </c>
      <c r="X164" s="345">
        <f t="shared" si="70"/>
        <v>27.619676961365784</v>
      </c>
      <c r="Y164" s="346">
        <f t="shared" si="71"/>
        <v>-39.696606923603944</v>
      </c>
      <c r="AA164" s="345">
        <f t="shared" si="72"/>
        <v>52.453445884307925</v>
      </c>
      <c r="AB164" s="346">
        <f t="shared" si="73"/>
        <v>-70.436193752432459</v>
      </c>
      <c r="AD164">
        <f t="shared" si="77"/>
        <v>0</v>
      </c>
      <c r="AE164">
        <f t="shared" si="80"/>
        <v>0</v>
      </c>
    </row>
    <row r="165" spans="1:31" x14ac:dyDescent="0.25">
      <c r="A165" s="347">
        <v>9279.4</v>
      </c>
      <c r="B165" s="364">
        <f t="shared" si="74"/>
        <v>9.279399999999999</v>
      </c>
      <c r="C165" s="337">
        <f t="shared" si="53"/>
        <v>2.3251173077861771</v>
      </c>
      <c r="D165" s="338">
        <f t="shared" si="54"/>
        <v>1.1262084832720718</v>
      </c>
      <c r="E165" s="338">
        <f t="shared" si="55"/>
        <v>1.0000978973098205</v>
      </c>
      <c r="F165" s="339">
        <f t="shared" si="56"/>
        <v>1.3992092332324487E-2</v>
      </c>
      <c r="G165" s="338">
        <f t="shared" si="57"/>
        <v>1</v>
      </c>
      <c r="H165" s="339">
        <f t="shared" si="58"/>
        <v>0</v>
      </c>
      <c r="I165" s="337">
        <f t="shared" si="59"/>
        <v>5598.6453265924429</v>
      </c>
      <c r="J165" s="340">
        <f t="shared" si="60"/>
        <v>1.5706177121574294</v>
      </c>
      <c r="K165" s="348">
        <f t="shared" si="81"/>
        <v>1.7556570886333107</v>
      </c>
      <c r="L165" s="349">
        <f t="shared" si="82"/>
        <v>0.96479265608367815</v>
      </c>
      <c r="M165" s="337">
        <f t="shared" si="63"/>
        <v>1.003606843064603</v>
      </c>
      <c r="N165" s="340">
        <f t="shared" si="64"/>
        <v>8.4806075606806211E-2</v>
      </c>
      <c r="O165" s="341">
        <f t="shared" si="65"/>
        <v>1.0000718626121026</v>
      </c>
      <c r="P165" s="342">
        <f t="shared" si="66"/>
        <v>0.11996896142919879</v>
      </c>
      <c r="Q165" s="343">
        <f t="shared" si="67"/>
        <v>17.776208584672972</v>
      </c>
      <c r="R165" s="344">
        <f t="shared" si="68"/>
        <v>-110.16926944010727</v>
      </c>
      <c r="S165" s="346">
        <f t="shared" si="69"/>
        <v>69.830730559892729</v>
      </c>
      <c r="U165" s="319">
        <f t="shared" si="75"/>
        <v>1000000000</v>
      </c>
      <c r="V165" s="319">
        <f t="shared" si="76"/>
        <v>86107264.359999999</v>
      </c>
      <c r="X165" s="345">
        <f t="shared" si="70"/>
        <v>27.603086892452854</v>
      </c>
      <c r="Y165" s="346">
        <f t="shared" si="71"/>
        <v>-39.570249090855349</v>
      </c>
      <c r="AA165" s="345">
        <f t="shared" si="72"/>
        <v>52.412863026610097</v>
      </c>
      <c r="AB165" s="346">
        <f t="shared" si="73"/>
        <v>-70.599020349251916</v>
      </c>
      <c r="AD165">
        <f t="shared" si="77"/>
        <v>0</v>
      </c>
      <c r="AE165">
        <f t="shared" si="80"/>
        <v>0</v>
      </c>
    </row>
    <row r="166" spans="1:31" x14ac:dyDescent="0.25">
      <c r="A166" s="347">
        <v>9332.5</v>
      </c>
      <c r="B166" s="364">
        <f t="shared" si="74"/>
        <v>9.3324999999999996</v>
      </c>
      <c r="C166" s="337">
        <f t="shared" si="53"/>
        <v>2.335967058849131</v>
      </c>
      <c r="D166" s="338">
        <f t="shared" si="54"/>
        <v>1.1284200194333123</v>
      </c>
      <c r="E166" s="338">
        <f t="shared" si="55"/>
        <v>1.0000990208657521</v>
      </c>
      <c r="F166" s="339">
        <f t="shared" si="56"/>
        <v>1.4072149480389616E-2</v>
      </c>
      <c r="G166" s="338">
        <f t="shared" si="57"/>
        <v>1</v>
      </c>
      <c r="H166" s="339">
        <f t="shared" si="58"/>
        <v>0</v>
      </c>
      <c r="I166" s="337">
        <f t="shared" si="59"/>
        <v>5630.6827489887837</v>
      </c>
      <c r="J166" s="340">
        <f t="shared" si="60"/>
        <v>1.5706187284378526</v>
      </c>
      <c r="K166" s="348">
        <f t="shared" si="81"/>
        <v>1.7624504741395368</v>
      </c>
      <c r="L166" s="349">
        <f t="shared" si="82"/>
        <v>0.96746131759115517</v>
      </c>
      <c r="M166" s="337">
        <f t="shared" si="63"/>
        <v>1.0036481651891314</v>
      </c>
      <c r="N166" s="340">
        <f t="shared" si="64"/>
        <v>8.528902253661394E-2</v>
      </c>
      <c r="O166" s="341">
        <f t="shared" si="65"/>
        <v>1.0000729813150713</v>
      </c>
      <c r="P166" s="342">
        <f t="shared" si="66"/>
        <v>0.12065867184228357</v>
      </c>
      <c r="Q166" s="343">
        <f t="shared" si="67"/>
        <v>17.719396600036539</v>
      </c>
      <c r="R166" s="344">
        <f t="shared" si="68"/>
        <v>-110.20573769553896</v>
      </c>
      <c r="S166" s="346">
        <f t="shared" si="69"/>
        <v>69.794262304461043</v>
      </c>
      <c r="U166" s="319">
        <f t="shared" si="75"/>
        <v>1000000000</v>
      </c>
      <c r="V166" s="319">
        <f t="shared" si="76"/>
        <v>87095556.25</v>
      </c>
      <c r="X166" s="345">
        <f t="shared" si="70"/>
        <v>27.586711769924012</v>
      </c>
      <c r="Y166" s="346">
        <f t="shared" si="71"/>
        <v>-39.445075098770687</v>
      </c>
      <c r="AA166" s="345">
        <f t="shared" si="72"/>
        <v>52.372426164502514</v>
      </c>
      <c r="AB166" s="346">
        <f t="shared" si="73"/>
        <v>-70.760662596768256</v>
      </c>
      <c r="AD166">
        <f t="shared" si="77"/>
        <v>0</v>
      </c>
      <c r="AE166">
        <f t="shared" si="80"/>
        <v>0</v>
      </c>
    </row>
    <row r="167" spans="1:31" x14ac:dyDescent="0.25">
      <c r="A167" s="347">
        <v>9386.85</v>
      </c>
      <c r="B167" s="364">
        <f t="shared" si="74"/>
        <v>9.3868500000000008</v>
      </c>
      <c r="C167" s="337">
        <f t="shared" si="53"/>
        <v>2.3470839392087002</v>
      </c>
      <c r="D167" s="338">
        <f t="shared" si="54"/>
        <v>1.1306624310244133</v>
      </c>
      <c r="E167" s="338">
        <f t="shared" si="55"/>
        <v>1.0001001775086171</v>
      </c>
      <c r="F167" s="339">
        <f t="shared" si="56"/>
        <v>1.4154091026099004E-2</v>
      </c>
      <c r="G167" s="338">
        <f t="shared" si="57"/>
        <v>1</v>
      </c>
      <c r="H167" s="339">
        <f t="shared" si="58"/>
        <v>0</v>
      </c>
      <c r="I167" s="337">
        <f t="shared" si="59"/>
        <v>5663.4743480011612</v>
      </c>
      <c r="J167" s="340">
        <f t="shared" si="60"/>
        <v>1.5706197567349387</v>
      </c>
      <c r="K167" s="348">
        <f t="shared" si="81"/>
        <v>1.7694166766541144</v>
      </c>
      <c r="L167" s="349">
        <f t="shared" si="82"/>
        <v>0.97017155985328418</v>
      </c>
      <c r="M167" s="337">
        <f t="shared" si="63"/>
        <v>1.0036907024558031</v>
      </c>
      <c r="N167" s="340">
        <f t="shared" si="64"/>
        <v>8.5783296973943809E-2</v>
      </c>
      <c r="O167" s="341">
        <f t="shared" si="65"/>
        <v>1.0000741399302715</v>
      </c>
      <c r="P167" s="342">
        <f t="shared" si="66"/>
        <v>0.12136467486017097</v>
      </c>
      <c r="Q167" s="343">
        <f t="shared" si="67"/>
        <v>17.661616609271427</v>
      </c>
      <c r="R167" s="344">
        <f t="shared" si="68"/>
        <v>-110.24306781738079</v>
      </c>
      <c r="S167" s="346">
        <f t="shared" si="69"/>
        <v>69.756932182619209</v>
      </c>
      <c r="U167" s="319">
        <f t="shared" si="75"/>
        <v>1000000000</v>
      </c>
      <c r="V167" s="319">
        <f t="shared" si="76"/>
        <v>88112952.922499999</v>
      </c>
      <c r="X167" s="345">
        <f t="shared" si="70"/>
        <v>27.570169945501526</v>
      </c>
      <c r="Y167" s="346">
        <f t="shared" si="71"/>
        <v>-39.318168411811023</v>
      </c>
      <c r="AA167" s="345">
        <f t="shared" si="72"/>
        <v>52.331187998159876</v>
      </c>
      <c r="AB167" s="346">
        <f t="shared" si="73"/>
        <v>-70.924899405569747</v>
      </c>
      <c r="AD167">
        <f t="shared" si="77"/>
        <v>0</v>
      </c>
      <c r="AE167">
        <f t="shared" si="80"/>
        <v>0</v>
      </c>
    </row>
    <row r="168" spans="1:31" x14ac:dyDescent="0.25">
      <c r="A168" s="347">
        <v>9441.2000000000007</v>
      </c>
      <c r="B168" s="364">
        <f t="shared" si="74"/>
        <v>9.4412000000000003</v>
      </c>
      <c r="C168" s="337">
        <f t="shared" si="53"/>
        <v>2.3582125103607261</v>
      </c>
      <c r="D168" s="338">
        <f t="shared" si="54"/>
        <v>1.1328836895003764</v>
      </c>
      <c r="E168" s="338">
        <f t="shared" si="55"/>
        <v>1.000101340866556</v>
      </c>
      <c r="F168" s="339">
        <f t="shared" si="56"/>
        <v>1.4236032381723199E-2</v>
      </c>
      <c r="G168" s="338">
        <f t="shared" si="57"/>
        <v>1</v>
      </c>
      <c r="H168" s="339">
        <f t="shared" si="58"/>
        <v>0</v>
      </c>
      <c r="I168" s="337">
        <f t="shared" si="59"/>
        <v>5696.2659470194576</v>
      </c>
      <c r="J168" s="340">
        <f t="shared" si="60"/>
        <v>1.5706207731928636</v>
      </c>
      <c r="K168" s="348">
        <f t="shared" si="81"/>
        <v>1.7763957742725245</v>
      </c>
      <c r="L168" s="349">
        <f t="shared" si="82"/>
        <v>0.97286052575696913</v>
      </c>
      <c r="M168" s="337">
        <f t="shared" si="63"/>
        <v>1.003733484910541</v>
      </c>
      <c r="N168" s="340">
        <f t="shared" si="64"/>
        <v>8.6277529396773481E-2</v>
      </c>
      <c r="O168" s="341">
        <f t="shared" si="65"/>
        <v>1.0000753124030011</v>
      </c>
      <c r="P168" s="342">
        <f t="shared" si="66"/>
        <v>0.12207073533913174</v>
      </c>
      <c r="Q168" s="343">
        <f t="shared" si="67"/>
        <v>17.604205865236409</v>
      </c>
      <c r="R168" s="344">
        <f t="shared" si="68"/>
        <v>-110.28040521812446</v>
      </c>
      <c r="S168" s="346">
        <f t="shared" si="69"/>
        <v>69.719594781875543</v>
      </c>
      <c r="U168" s="319">
        <f t="shared" si="75"/>
        <v>1000000000</v>
      </c>
      <c r="V168" s="319">
        <f t="shared" si="76"/>
        <v>89136257.440000013</v>
      </c>
      <c r="X168" s="345">
        <f t="shared" si="70"/>
        <v>27.553845627790921</v>
      </c>
      <c r="Y168" s="346">
        <f t="shared" si="71"/>
        <v>-39.192477684807486</v>
      </c>
      <c r="AA168" s="345">
        <f t="shared" si="72"/>
        <v>52.290101571835464</v>
      </c>
      <c r="AB168" s="346">
        <f t="shared" si="73"/>
        <v>-71.087927533316986</v>
      </c>
      <c r="AD168">
        <f t="shared" si="77"/>
        <v>0</v>
      </c>
      <c r="AE168">
        <f t="shared" si="80"/>
        <v>0</v>
      </c>
    </row>
    <row r="169" spans="1:31" x14ac:dyDescent="0.25">
      <c r="A169" s="347">
        <v>9495.5499999999993</v>
      </c>
      <c r="B169" s="364">
        <f t="shared" si="74"/>
        <v>9.4955499999999997</v>
      </c>
      <c r="C169" s="337">
        <f t="shared" si="53"/>
        <v>2.3693526075743718</v>
      </c>
      <c r="D169" s="338">
        <f t="shared" si="54"/>
        <v>1.135084071156061</v>
      </c>
      <c r="E169" s="338">
        <f t="shared" si="55"/>
        <v>1.0001025109395456</v>
      </c>
      <c r="F169" s="339">
        <f t="shared" si="56"/>
        <v>1.4317973546162498E-2</v>
      </c>
      <c r="G169" s="338">
        <f t="shared" si="57"/>
        <v>1</v>
      </c>
      <c r="H169" s="339">
        <f t="shared" si="58"/>
        <v>0</v>
      </c>
      <c r="I169" s="337">
        <f t="shared" si="59"/>
        <v>5729.057546043573</v>
      </c>
      <c r="J169" s="340">
        <f t="shared" si="60"/>
        <v>1.5706217780149199</v>
      </c>
      <c r="K169" s="348">
        <f t="shared" si="81"/>
        <v>1.7833876156039243</v>
      </c>
      <c r="L169" s="349">
        <f t="shared" si="82"/>
        <v>0.97552842643196602</v>
      </c>
      <c r="M169" s="337">
        <f t="shared" si="63"/>
        <v>1.0037765125219946</v>
      </c>
      <c r="N169" s="340">
        <f t="shared" si="64"/>
        <v>8.6771719569042546E-2</v>
      </c>
      <c r="O169" s="341">
        <f t="shared" si="65"/>
        <v>1.0000764988570774</v>
      </c>
      <c r="P169" s="342">
        <f t="shared" si="66"/>
        <v>0.12277685360146792</v>
      </c>
      <c r="Q169" s="343">
        <f t="shared" si="67"/>
        <v>17.547159978402696</v>
      </c>
      <c r="R169" s="344">
        <f t="shared" si="68"/>
        <v>-110.31775364810751</v>
      </c>
      <c r="S169" s="346">
        <f t="shared" si="69"/>
        <v>69.682246351892488</v>
      </c>
      <c r="U169" s="319">
        <f t="shared" si="75"/>
        <v>1000000000</v>
      </c>
      <c r="V169" s="319">
        <f t="shared" si="76"/>
        <v>90165469.80249998</v>
      </c>
      <c r="X169" s="345">
        <f t="shared" si="70"/>
        <v>27.537735050600133</v>
      </c>
      <c r="Y169" s="346">
        <f t="shared" si="71"/>
        <v>-39.067990819038656</v>
      </c>
      <c r="AA169" s="345">
        <f t="shared" si="72"/>
        <v>52.249166262192539</v>
      </c>
      <c r="AB169" s="346">
        <f t="shared" si="73"/>
        <v>-71.249762829068857</v>
      </c>
      <c r="AD169">
        <f t="shared" si="77"/>
        <v>0</v>
      </c>
      <c r="AE169">
        <f t="shared" si="80"/>
        <v>0</v>
      </c>
    </row>
    <row r="170" spans="1:31" x14ac:dyDescent="0.25">
      <c r="A170" s="347">
        <v>9549.9</v>
      </c>
      <c r="B170" s="364">
        <f t="shared" si="74"/>
        <v>9.5498999999999992</v>
      </c>
      <c r="C170" s="337">
        <f t="shared" si="53"/>
        <v>2.3805040690333525</v>
      </c>
      <c r="D170" s="338">
        <f t="shared" si="54"/>
        <v>1.137263847925801</v>
      </c>
      <c r="E170" s="338">
        <f t="shared" si="55"/>
        <v>1.0001036877275622</v>
      </c>
      <c r="F170" s="339">
        <f t="shared" si="56"/>
        <v>1.4399914518317212E-2</v>
      </c>
      <c r="G170" s="338">
        <f t="shared" si="57"/>
        <v>1</v>
      </c>
      <c r="H170" s="339">
        <f t="shared" si="58"/>
        <v>0</v>
      </c>
      <c r="I170" s="337">
        <f t="shared" si="59"/>
        <v>5761.8491450734073</v>
      </c>
      <c r="J170" s="340">
        <f t="shared" si="60"/>
        <v>1.5706227713997722</v>
      </c>
      <c r="K170" s="348">
        <f t="shared" si="81"/>
        <v>1.7903920513480278</v>
      </c>
      <c r="L170" s="349">
        <f t="shared" si="82"/>
        <v>0.97817547091259704</v>
      </c>
      <c r="M170" s="337">
        <f t="shared" si="63"/>
        <v>1.0038197852586384</v>
      </c>
      <c r="N170" s="340">
        <f t="shared" si="64"/>
        <v>8.7265867254813542E-2</v>
      </c>
      <c r="O170" s="341">
        <f t="shared" si="65"/>
        <v>1.0000776994170308</v>
      </c>
      <c r="P170" s="342">
        <f t="shared" si="66"/>
        <v>0.12348302996929907</v>
      </c>
      <c r="Q170" s="343">
        <f t="shared" si="67"/>
        <v>17.490474629096209</v>
      </c>
      <c r="R170" s="344">
        <f t="shared" si="68"/>
        <v>-110.35511672761868</v>
      </c>
      <c r="S170" s="346">
        <f t="shared" si="69"/>
        <v>69.644883272381321</v>
      </c>
      <c r="U170" s="319">
        <f t="shared" si="75"/>
        <v>1000000000</v>
      </c>
      <c r="V170" s="319">
        <f t="shared" si="76"/>
        <v>91200590.00999999</v>
      </c>
      <c r="X170" s="345">
        <f t="shared" si="70"/>
        <v>27.521834524526291</v>
      </c>
      <c r="Y170" s="346">
        <f t="shared" si="71"/>
        <v>-38.944695835584518</v>
      </c>
      <c r="AA170" s="345">
        <f t="shared" si="72"/>
        <v>52.20838143895989</v>
      </c>
      <c r="AB170" s="346">
        <f t="shared" si="73"/>
        <v>-71.410420892034139</v>
      </c>
      <c r="AD170">
        <f t="shared" si="77"/>
        <v>0</v>
      </c>
      <c r="AE170">
        <f t="shared" si="80"/>
        <v>0</v>
      </c>
    </row>
    <row r="171" spans="1:31" x14ac:dyDescent="0.25">
      <c r="A171" s="347">
        <v>9605.5249999999996</v>
      </c>
      <c r="B171" s="364">
        <f t="shared" si="74"/>
        <v>9.6055250000000001</v>
      </c>
      <c r="C171" s="337">
        <f t="shared" si="53"/>
        <v>2.3919287347090181</v>
      </c>
      <c r="D171" s="338">
        <f t="shared" si="54"/>
        <v>1.1394737038821643</v>
      </c>
      <c r="E171" s="338">
        <f t="shared" si="55"/>
        <v>1.0001048990750636</v>
      </c>
      <c r="F171" s="339">
        <f t="shared" si="56"/>
        <v>1.4483777548537047E-2</v>
      </c>
      <c r="G171" s="338">
        <f t="shared" si="57"/>
        <v>1</v>
      </c>
      <c r="H171" s="339">
        <f t="shared" si="58"/>
        <v>0</v>
      </c>
      <c r="I171" s="337">
        <f t="shared" si="59"/>
        <v>5795.4100042518949</v>
      </c>
      <c r="J171" s="340">
        <f t="shared" si="60"/>
        <v>1.5706237764482898</v>
      </c>
      <c r="K171" s="348">
        <f t="shared" si="81"/>
        <v>1.7975736919985896</v>
      </c>
      <c r="L171" s="349">
        <f t="shared" si="82"/>
        <v>0.98086323268962061</v>
      </c>
      <c r="M171" s="337">
        <f t="shared" si="63"/>
        <v>1.0038643269182475</v>
      </c>
      <c r="N171" s="340">
        <f t="shared" si="64"/>
        <v>8.7771562942288842E-2</v>
      </c>
      <c r="O171" s="341">
        <f t="shared" si="65"/>
        <v>1.0000789428778243</v>
      </c>
      <c r="P171" s="342">
        <f t="shared" si="66"/>
        <v>0.12420583307416271</v>
      </c>
      <c r="Q171" s="343">
        <f t="shared" si="67"/>
        <v>17.432828382298766</v>
      </c>
      <c r="R171" s="344">
        <f t="shared" si="68"/>
        <v>-110.39337512442123</v>
      </c>
      <c r="S171" s="346">
        <f t="shared" si="69"/>
        <v>69.606624875578774</v>
      </c>
      <c r="U171" s="319">
        <f t="shared" si="75"/>
        <v>1000000000</v>
      </c>
      <c r="V171" s="319">
        <f t="shared" si="76"/>
        <v>92266110.52562499</v>
      </c>
      <c r="X171" s="345">
        <f t="shared" si="70"/>
        <v>27.50577471594351</v>
      </c>
      <c r="Y171" s="346">
        <f t="shared" si="71"/>
        <v>-38.819730242930262</v>
      </c>
      <c r="AA171" s="345">
        <f t="shared" si="72"/>
        <v>52.166795000745232</v>
      </c>
      <c r="AB171" s="346">
        <f t="shared" si="73"/>
        <v>-71.573644881490964</v>
      </c>
      <c r="AD171">
        <f t="shared" si="77"/>
        <v>0</v>
      </c>
      <c r="AE171">
        <f t="shared" si="80"/>
        <v>0</v>
      </c>
    </row>
    <row r="172" spans="1:31" x14ac:dyDescent="0.25">
      <c r="A172" s="347">
        <v>9661.15</v>
      </c>
      <c r="B172" s="364">
        <f t="shared" si="74"/>
        <v>9.6611499999999992</v>
      </c>
      <c r="C172" s="337">
        <f t="shared" si="53"/>
        <v>2.4033649701949895</v>
      </c>
      <c r="D172" s="338">
        <f t="shared" si="54"/>
        <v>1.1416625395689082</v>
      </c>
      <c r="E172" s="338">
        <f t="shared" si="55"/>
        <v>1.0001061174562935</v>
      </c>
      <c r="F172" s="339">
        <f t="shared" si="56"/>
        <v>1.4567640375014086E-2</v>
      </c>
      <c r="G172" s="338">
        <f t="shared" si="57"/>
        <v>1</v>
      </c>
      <c r="H172" s="339">
        <f t="shared" si="58"/>
        <v>0</v>
      </c>
      <c r="I172" s="337">
        <f t="shared" si="59"/>
        <v>5828.9708634361696</v>
      </c>
      <c r="J172" s="340">
        <f t="shared" si="60"/>
        <v>1.5706247699234808</v>
      </c>
      <c r="K172" s="348">
        <f t="shared" si="81"/>
        <v>1.8047682150333235</v>
      </c>
      <c r="L172" s="349">
        <f t="shared" si="82"/>
        <v>0.98352958462860052</v>
      </c>
      <c r="M172" s="337">
        <f t="shared" si="63"/>
        <v>1.0039091252713834</v>
      </c>
      <c r="N172" s="340">
        <f t="shared" si="64"/>
        <v>8.8277213626823239E-2</v>
      </c>
      <c r="O172" s="341">
        <f t="shared" si="65"/>
        <v>1.0000802013803138</v>
      </c>
      <c r="P172" s="342">
        <f t="shared" si="66"/>
        <v>0.12492869772484405</v>
      </c>
      <c r="Q172" s="343">
        <f t="shared" si="67"/>
        <v>17.375550849968551</v>
      </c>
      <c r="R172" s="344">
        <f t="shared" si="68"/>
        <v>-110.43165613825821</v>
      </c>
      <c r="S172" s="346">
        <f t="shared" si="69"/>
        <v>69.568343861741795</v>
      </c>
      <c r="U172" s="319">
        <f t="shared" si="75"/>
        <v>1000000000</v>
      </c>
      <c r="V172" s="319">
        <f t="shared" si="76"/>
        <v>93337819.32249999</v>
      </c>
      <c r="X172" s="345">
        <f t="shared" si="70"/>
        <v>27.489927348225098</v>
      </c>
      <c r="Y172" s="346">
        <f t="shared" si="71"/>
        <v>-38.695988102056013</v>
      </c>
      <c r="AA172" s="345">
        <f t="shared" si="72"/>
        <v>52.125364836133429</v>
      </c>
      <c r="AB172" s="346">
        <f t="shared" si="73"/>
        <v>-71.735668036202227</v>
      </c>
      <c r="AD172">
        <f t="shared" si="77"/>
        <v>0</v>
      </c>
      <c r="AE172">
        <f t="shared" si="80"/>
        <v>0</v>
      </c>
    </row>
    <row r="173" spans="1:31" x14ac:dyDescent="0.25">
      <c r="A173" s="347">
        <v>9716.7749999999996</v>
      </c>
      <c r="B173" s="364">
        <f t="shared" si="74"/>
        <v>9.7167750000000002</v>
      </c>
      <c r="C173" s="337">
        <f t="shared" si="53"/>
        <v>2.4148126111119659</v>
      </c>
      <c r="D173" s="338">
        <f t="shared" si="54"/>
        <v>1.1438306328079981</v>
      </c>
      <c r="E173" s="338">
        <f t="shared" si="55"/>
        <v>1.0001073428712264</v>
      </c>
      <c r="F173" s="339">
        <f t="shared" si="56"/>
        <v>1.4651502996569468E-2</v>
      </c>
      <c r="G173" s="338">
        <f t="shared" si="57"/>
        <v>1</v>
      </c>
      <c r="H173" s="339">
        <f t="shared" si="58"/>
        <v>0</v>
      </c>
      <c r="I173" s="337">
        <f t="shared" si="59"/>
        <v>5862.5317226261313</v>
      </c>
      <c r="J173" s="340">
        <f t="shared" si="60"/>
        <v>1.5706257520241043</v>
      </c>
      <c r="K173" s="348">
        <f t="shared" si="81"/>
        <v>1.8119754670021291</v>
      </c>
      <c r="L173" s="349">
        <f t="shared" si="82"/>
        <v>0.98617474406728223</v>
      </c>
      <c r="M173" s="337">
        <f t="shared" si="63"/>
        <v>1.0039541802836842</v>
      </c>
      <c r="N173" s="340">
        <f t="shared" si="64"/>
        <v>8.8782819055886336E-2</v>
      </c>
      <c r="O173" s="341">
        <f t="shared" si="65"/>
        <v>1.0000814750603257</v>
      </c>
      <c r="P173" s="342">
        <f t="shared" si="66"/>
        <v>0.1256516242660671</v>
      </c>
      <c r="Q173" s="343">
        <f t="shared" si="67"/>
        <v>17.318637619863534</v>
      </c>
      <c r="R173" s="344">
        <f t="shared" si="68"/>
        <v>-110.46996325135811</v>
      </c>
      <c r="S173" s="346">
        <f t="shared" si="69"/>
        <v>69.530036748641891</v>
      </c>
      <c r="U173" s="319">
        <f t="shared" si="75"/>
        <v>1000000000</v>
      </c>
      <c r="V173" s="319">
        <f t="shared" si="76"/>
        <v>94415716.40062499</v>
      </c>
      <c r="X173" s="345">
        <f t="shared" si="70"/>
        <v>27.474288704445392</v>
      </c>
      <c r="Y173" s="346">
        <f t="shared" si="71"/>
        <v>-38.573456957345343</v>
      </c>
      <c r="AA173" s="345">
        <f t="shared" si="72"/>
        <v>52.084090249808114</v>
      </c>
      <c r="AB173" s="346">
        <f t="shared" si="73"/>
        <v>-71.896506294012752</v>
      </c>
      <c r="AD173">
        <f t="shared" si="77"/>
        <v>0</v>
      </c>
      <c r="AE173">
        <f t="shared" si="80"/>
        <v>0</v>
      </c>
    </row>
    <row r="174" spans="1:31" x14ac:dyDescent="0.25">
      <c r="A174" s="347">
        <v>9772.4</v>
      </c>
      <c r="B174" s="364">
        <f t="shared" si="74"/>
        <v>9.7723999999999993</v>
      </c>
      <c r="C174" s="337">
        <f t="shared" si="53"/>
        <v>2.4262714960205423</v>
      </c>
      <c r="D174" s="338">
        <f t="shared" si="54"/>
        <v>1.1459782569608488</v>
      </c>
      <c r="E174" s="338">
        <f t="shared" si="55"/>
        <v>1.0001085753198362</v>
      </c>
      <c r="F174" s="339">
        <f t="shared" si="56"/>
        <v>1.4735365412024345E-2</v>
      </c>
      <c r="G174" s="338">
        <f t="shared" si="57"/>
        <v>1</v>
      </c>
      <c r="H174" s="339">
        <f t="shared" si="58"/>
        <v>0</v>
      </c>
      <c r="I174" s="337">
        <f t="shared" si="59"/>
        <v>5896.0925818216829</v>
      </c>
      <c r="J174" s="340">
        <f t="shared" si="60"/>
        <v>1.5706267229443944</v>
      </c>
      <c r="K174" s="348">
        <f t="shared" si="81"/>
        <v>1.8191952966172948</v>
      </c>
      <c r="L174" s="349">
        <f t="shared" si="82"/>
        <v>0.98879892608861653</v>
      </c>
      <c r="M174" s="337">
        <f t="shared" si="63"/>
        <v>1.0039994919205963</v>
      </c>
      <c r="N174" s="340">
        <f t="shared" si="64"/>
        <v>8.9288378977085414E-2</v>
      </c>
      <c r="O174" s="341">
        <f t="shared" si="65"/>
        <v>1.0000827640544676</v>
      </c>
      <c r="P174" s="342">
        <f t="shared" si="66"/>
        <v>0.12637461304235068</v>
      </c>
      <c r="Q174" s="343">
        <f t="shared" si="67"/>
        <v>17.262084350635792</v>
      </c>
      <c r="R174" s="344">
        <f t="shared" si="68"/>
        <v>-110.50829981930565</v>
      </c>
      <c r="S174" s="346">
        <f t="shared" si="69"/>
        <v>69.491700180694352</v>
      </c>
      <c r="U174" s="319">
        <f t="shared" si="75"/>
        <v>1000000000</v>
      </c>
      <c r="V174" s="319">
        <f t="shared" si="76"/>
        <v>95499801.75999999</v>
      </c>
      <c r="X174" s="345">
        <f t="shared" si="70"/>
        <v>27.458855144269148</v>
      </c>
      <c r="Y174" s="346">
        <f t="shared" si="71"/>
        <v>-38.452124482120688</v>
      </c>
      <c r="AA174" s="345">
        <f t="shared" si="72"/>
        <v>52.042970540756627</v>
      </c>
      <c r="AB174" s="346">
        <f t="shared" si="73"/>
        <v>-72.056175337184939</v>
      </c>
      <c r="AD174">
        <f t="shared" si="77"/>
        <v>0</v>
      </c>
      <c r="AE174">
        <f t="shared" si="80"/>
        <v>0</v>
      </c>
    </row>
    <row r="175" spans="1:31" x14ac:dyDescent="0.25">
      <c r="A175" s="347">
        <v>9829.2999999999993</v>
      </c>
      <c r="B175" s="364">
        <f t="shared" si="74"/>
        <v>9.8292999999999999</v>
      </c>
      <c r="C175" s="337">
        <f t="shared" si="53"/>
        <v>2.4380045022670309</v>
      </c>
      <c r="D175" s="338">
        <f t="shared" si="54"/>
        <v>1.1481542097216983</v>
      </c>
      <c r="E175" s="338">
        <f t="shared" si="55"/>
        <v>1.0001098432951594</v>
      </c>
      <c r="F175" s="339">
        <f t="shared" si="56"/>
        <v>1.4821149852644586E-2</v>
      </c>
      <c r="G175" s="338">
        <f t="shared" si="57"/>
        <v>1</v>
      </c>
      <c r="H175" s="339">
        <f t="shared" si="58"/>
        <v>0</v>
      </c>
      <c r="I175" s="337">
        <f t="shared" si="59"/>
        <v>5930.4227011662788</v>
      </c>
      <c r="J175" s="340">
        <f t="shared" si="60"/>
        <v>1.5706277047497021</v>
      </c>
      <c r="K175" s="348">
        <f t="shared" si="81"/>
        <v>1.8265934723656294</v>
      </c>
      <c r="L175" s="349">
        <f t="shared" si="82"/>
        <v>0.99146177560988136</v>
      </c>
      <c r="M175" s="337">
        <f t="shared" si="63"/>
        <v>1.0040461076403959</v>
      </c>
      <c r="N175" s="340">
        <f t="shared" si="64"/>
        <v>8.9805479665874391E-2</v>
      </c>
      <c r="O175" s="341">
        <f t="shared" si="65"/>
        <v>1.0000840985820196</v>
      </c>
      <c r="P175" s="342">
        <f t="shared" si="66"/>
        <v>0.12711423844634093</v>
      </c>
      <c r="Q175" s="343">
        <f t="shared" si="67"/>
        <v>17.204602782661055</v>
      </c>
      <c r="R175" s="344">
        <f t="shared" si="68"/>
        <v>-110.54754895794532</v>
      </c>
      <c r="S175" s="346">
        <f t="shared" si="69"/>
        <v>69.452451042054676</v>
      </c>
      <c r="U175" s="319">
        <f t="shared" si="75"/>
        <v>1000000000</v>
      </c>
      <c r="V175" s="319">
        <f t="shared" si="76"/>
        <v>96615138.48999998</v>
      </c>
      <c r="X175" s="345">
        <f t="shared" si="70"/>
        <v>27.443276297919745</v>
      </c>
      <c r="Y175" s="346">
        <f t="shared" si="71"/>
        <v>-38.329238383284711</v>
      </c>
      <c r="AA175" s="345">
        <f t="shared" si="72"/>
        <v>52.001067819131286</v>
      </c>
      <c r="AB175" s="346">
        <f t="shared" si="73"/>
        <v>-72.218310574660606</v>
      </c>
      <c r="AD175">
        <f t="shared" si="77"/>
        <v>0</v>
      </c>
      <c r="AE175">
        <f t="shared" si="80"/>
        <v>0</v>
      </c>
    </row>
    <row r="176" spans="1:31" x14ac:dyDescent="0.25">
      <c r="A176" s="347">
        <v>9886.2000000000007</v>
      </c>
      <c r="B176" s="364">
        <f t="shared" si="74"/>
        <v>9.8862000000000005</v>
      </c>
      <c r="C176" s="337">
        <f t="shared" si="53"/>
        <v>2.4497489412998856</v>
      </c>
      <c r="D176" s="338">
        <f t="shared" si="54"/>
        <v>1.150309308961404</v>
      </c>
      <c r="E176" s="338">
        <f t="shared" si="55"/>
        <v>1.0001111186302427</v>
      </c>
      <c r="F176" s="339">
        <f t="shared" si="56"/>
        <v>1.4906934075112609E-2</v>
      </c>
      <c r="G176" s="338">
        <f t="shared" si="57"/>
        <v>1</v>
      </c>
      <c r="H176" s="339">
        <f t="shared" si="58"/>
        <v>0</v>
      </c>
      <c r="I176" s="337">
        <f t="shared" si="59"/>
        <v>5964.7528205165263</v>
      </c>
      <c r="J176" s="340">
        <f t="shared" si="60"/>
        <v>1.570628675253454</v>
      </c>
      <c r="K176" s="348">
        <f t="shared" si="81"/>
        <v>1.8340044955168762</v>
      </c>
      <c r="L176" s="349">
        <f t="shared" si="82"/>
        <v>0.9941031231335351</v>
      </c>
      <c r="M176" s="337">
        <f t="shared" si="63"/>
        <v>1.0040929918102492</v>
      </c>
      <c r="N176" s="340">
        <f t="shared" si="64"/>
        <v>9.0322532202886552E-2</v>
      </c>
      <c r="O176" s="341">
        <f t="shared" si="65"/>
        <v>1.0000854494254594</v>
      </c>
      <c r="P176" s="342">
        <f t="shared" si="66"/>
        <v>0.12785392969969922</v>
      </c>
      <c r="Q176" s="343">
        <f t="shared" si="67"/>
        <v>17.147488898064843</v>
      </c>
      <c r="R176" s="344">
        <f t="shared" si="68"/>
        <v>-110.58683563051477</v>
      </c>
      <c r="S176" s="346">
        <f t="shared" si="69"/>
        <v>69.41316436948523</v>
      </c>
      <c r="U176" s="319">
        <f t="shared" si="75"/>
        <v>1000000000</v>
      </c>
      <c r="V176" s="319">
        <f t="shared" si="76"/>
        <v>97736950.440000013</v>
      </c>
      <c r="X176" s="345">
        <f t="shared" si="70"/>
        <v>27.427904576546823</v>
      </c>
      <c r="Y176" s="346">
        <f t="shared" si="71"/>
        <v>-38.207580851739301</v>
      </c>
      <c r="AA176" s="345">
        <f t="shared" si="72"/>
        <v>51.959325655907989</v>
      </c>
      <c r="AB176" s="346">
        <f t="shared" si="73"/>
        <v>-72.379254778775433</v>
      </c>
      <c r="AD176">
        <f t="shared" si="77"/>
        <v>0</v>
      </c>
      <c r="AE176">
        <f t="shared" si="80"/>
        <v>0</v>
      </c>
    </row>
    <row r="177" spans="1:31" x14ac:dyDescent="0.25">
      <c r="A177" s="347">
        <v>9943.1</v>
      </c>
      <c r="B177" s="364">
        <f t="shared" si="74"/>
        <v>9.9431000000000012</v>
      </c>
      <c r="C177" s="337">
        <f t="shared" si="53"/>
        <v>2.4615046494732762</v>
      </c>
      <c r="D177" s="338">
        <f t="shared" si="54"/>
        <v>1.1524438332951572</v>
      </c>
      <c r="E177" s="338">
        <f t="shared" si="55"/>
        <v>1.0001124013250575</v>
      </c>
      <c r="F177" s="339">
        <f t="shared" si="56"/>
        <v>1.4992718078166685E-2</v>
      </c>
      <c r="G177" s="338">
        <f t="shared" si="57"/>
        <v>1</v>
      </c>
      <c r="H177" s="339">
        <f t="shared" si="58"/>
        <v>0</v>
      </c>
      <c r="I177" s="337">
        <f t="shared" si="59"/>
        <v>5999.0829398723263</v>
      </c>
      <c r="J177" s="340">
        <f t="shared" si="60"/>
        <v>1.5706296346496715</v>
      </c>
      <c r="K177" s="348">
        <f t="shared" si="81"/>
        <v>1.8414282109538331</v>
      </c>
      <c r="L177" s="349">
        <f t="shared" si="82"/>
        <v>0.99672319163592271</v>
      </c>
      <c r="M177" s="337">
        <f t="shared" si="63"/>
        <v>1.0041401443925533</v>
      </c>
      <c r="N177" s="340">
        <f t="shared" si="64"/>
        <v>9.0839536318425007E-2</v>
      </c>
      <c r="O177" s="341">
        <f t="shared" si="65"/>
        <v>1.0000868167335499</v>
      </c>
      <c r="P177" s="342">
        <f t="shared" si="66"/>
        <v>0.1285936871705069</v>
      </c>
      <c r="Q177" s="343">
        <f t="shared" si="67"/>
        <v>17.090738271456722</v>
      </c>
      <c r="R177" s="344">
        <f t="shared" si="68"/>
        <v>-110.62616304171097</v>
      </c>
      <c r="S177" s="346">
        <f t="shared" si="69"/>
        <v>69.373836958289033</v>
      </c>
      <c r="U177" s="319">
        <f t="shared" si="75"/>
        <v>1000000000</v>
      </c>
      <c r="V177" s="319">
        <f t="shared" si="76"/>
        <v>98865237.610000014</v>
      </c>
      <c r="X177" s="345">
        <f t="shared" si="70"/>
        <v>27.412736320802502</v>
      </c>
      <c r="Y177" s="346">
        <f t="shared" si="71"/>
        <v>-38.087139107545106</v>
      </c>
      <c r="AA177" s="345">
        <f t="shared" si="72"/>
        <v>51.917743285044196</v>
      </c>
      <c r="AB177" s="346">
        <f t="shared" si="73"/>
        <v>-72.539023934165854</v>
      </c>
      <c r="AD177">
        <f t="shared" si="77"/>
        <v>0</v>
      </c>
      <c r="AE177">
        <f t="shared" si="80"/>
        <v>0</v>
      </c>
    </row>
    <row r="178" spans="1:31" x14ac:dyDescent="0.25">
      <c r="A178" s="347">
        <v>10000</v>
      </c>
      <c r="B178" s="364">
        <f t="shared" si="74"/>
        <v>10</v>
      </c>
      <c r="C178" s="337">
        <f t="shared" si="53"/>
        <v>2.4732714660971307</v>
      </c>
      <c r="D178" s="338">
        <f t="shared" si="54"/>
        <v>1.1545580567935878</v>
      </c>
      <c r="E178" s="338">
        <f t="shared" si="55"/>
        <v>1.0001136913795758</v>
      </c>
      <c r="F178" s="339">
        <f t="shared" si="56"/>
        <v>1.507850186054511E-2</v>
      </c>
      <c r="G178" s="338">
        <f t="shared" si="57"/>
        <v>1</v>
      </c>
      <c r="H178" s="339">
        <f t="shared" si="58"/>
        <v>0</v>
      </c>
      <c r="I178" s="337">
        <f t="shared" si="59"/>
        <v>6033.413059233585</v>
      </c>
      <c r="J178" s="340">
        <f t="shared" si="60"/>
        <v>1.5706305831279603</v>
      </c>
      <c r="K178" s="348">
        <f t="shared" si="81"/>
        <v>1.848864465787122</v>
      </c>
      <c r="L178" s="349">
        <f t="shared" si="82"/>
        <v>0.99932220168389563</v>
      </c>
      <c r="M178" s="337">
        <f t="shared" si="63"/>
        <v>1.004187565349498</v>
      </c>
      <c r="N178" s="340">
        <f t="shared" si="64"/>
        <v>9.1356491742946896E-2</v>
      </c>
      <c r="O178" s="341">
        <f t="shared" si="65"/>
        <v>1.0000882006559118</v>
      </c>
      <c r="P178" s="342">
        <f t="shared" si="66"/>
        <v>0.12933351122661521</v>
      </c>
      <c r="Q178" s="343">
        <f t="shared" si="67"/>
        <v>17.03434654918572</v>
      </c>
      <c r="R178" s="344">
        <f t="shared" si="68"/>
        <v>-110.66553427364316</v>
      </c>
      <c r="S178" s="346">
        <f t="shared" si="69"/>
        <v>69.334465726356839</v>
      </c>
      <c r="U178" s="319">
        <f t="shared" si="75"/>
        <v>1000000000</v>
      </c>
      <c r="V178" s="319">
        <f t="shared" si="76"/>
        <v>100000000</v>
      </c>
      <c r="X178" s="345">
        <f t="shared" si="70"/>
        <v>27.397767947494231</v>
      </c>
      <c r="Y178" s="346">
        <f t="shared" si="71"/>
        <v>-37.96790050857232</v>
      </c>
      <c r="AA178" s="345">
        <f t="shared" si="72"/>
        <v>51.876319936081465</v>
      </c>
      <c r="AB178" s="346">
        <f t="shared" si="73"/>
        <v>-72.697633765070847</v>
      </c>
      <c r="AD178">
        <f t="shared" si="77"/>
        <v>0</v>
      </c>
      <c r="AE178">
        <f t="shared" si="80"/>
        <v>0</v>
      </c>
    </row>
    <row r="179" spans="1:31" x14ac:dyDescent="0.25">
      <c r="A179" s="347">
        <v>10058.25</v>
      </c>
      <c r="B179" s="364">
        <f t="shared" si="74"/>
        <v>10.058249999999999</v>
      </c>
      <c r="C179" s="337">
        <f t="shared" si="53"/>
        <v>2.4853288024489024</v>
      </c>
      <c r="D179" s="338">
        <f t="shared" si="54"/>
        <v>1.1567016944394792</v>
      </c>
      <c r="E179" s="338">
        <f t="shared" si="55"/>
        <v>1.0001150196653823</v>
      </c>
      <c r="F179" s="339">
        <f t="shared" si="56"/>
        <v>1.5166320704863978E-2</v>
      </c>
      <c r="G179" s="338">
        <f t="shared" si="57"/>
        <v>1</v>
      </c>
      <c r="H179" s="339">
        <f t="shared" si="58"/>
        <v>0</v>
      </c>
      <c r="I179" s="337">
        <f t="shared" si="59"/>
        <v>6068.5576893409598</v>
      </c>
      <c r="J179" s="340">
        <f t="shared" si="60"/>
        <v>1.5706315429935855</v>
      </c>
      <c r="K179" s="348">
        <f t="shared" si="81"/>
        <v>1.8564899838388822</v>
      </c>
      <c r="L179" s="349">
        <f t="shared" si="82"/>
        <v>1.0019612893614476</v>
      </c>
      <c r="M179" s="337">
        <f t="shared" si="63"/>
        <v>1.0042363893698329</v>
      </c>
      <c r="N179" s="340">
        <f t="shared" si="64"/>
        <v>9.1885661647638395E-2</v>
      </c>
      <c r="O179" s="341">
        <f t="shared" si="65"/>
        <v>1.0000896347803283</v>
      </c>
      <c r="P179" s="342">
        <f t="shared" si="66"/>
        <v>0.1300909575836037</v>
      </c>
      <c r="Q179" s="343">
        <f t="shared" si="67"/>
        <v>16.976984192918383</v>
      </c>
      <c r="R179" s="344">
        <f t="shared" si="68"/>
        <v>-110.70588810667071</v>
      </c>
      <c r="S179" s="346">
        <f t="shared" si="69"/>
        <v>69.294111893329287</v>
      </c>
      <c r="U179" s="319">
        <f t="shared" si="75"/>
        <v>1000000000</v>
      </c>
      <c r="V179" s="319">
        <f t="shared" si="76"/>
        <v>101168393.0625</v>
      </c>
      <c r="X179" s="345">
        <f t="shared" si="70"/>
        <v>27.382647826281161</v>
      </c>
      <c r="Y179" s="346">
        <f t="shared" si="71"/>
        <v>-37.847066121178933</v>
      </c>
      <c r="AA179" s="345">
        <f t="shared" si="72"/>
        <v>51.834077701027198</v>
      </c>
      <c r="AB179" s="346">
        <f t="shared" si="73"/>
        <v>-72.858821985491787</v>
      </c>
      <c r="AD179">
        <f t="shared" si="77"/>
        <v>0</v>
      </c>
      <c r="AE179">
        <f t="shared" si="80"/>
        <v>0</v>
      </c>
    </row>
    <row r="180" spans="1:31" x14ac:dyDescent="0.25">
      <c r="A180" s="347">
        <v>10116.5</v>
      </c>
      <c r="B180" s="364">
        <f t="shared" si="74"/>
        <v>10.1165</v>
      </c>
      <c r="C180" s="337">
        <f t="shared" si="53"/>
        <v>2.4973974490334734</v>
      </c>
      <c r="D180" s="338">
        <f t="shared" si="54"/>
        <v>1.1588246235500272</v>
      </c>
      <c r="E180" s="338">
        <f t="shared" si="55"/>
        <v>1.0001163556642048</v>
      </c>
      <c r="F180" s="339">
        <f t="shared" si="56"/>
        <v>1.5254139315235673E-2</v>
      </c>
      <c r="G180" s="338">
        <f t="shared" si="57"/>
        <v>1</v>
      </c>
      <c r="H180" s="339">
        <f t="shared" si="58"/>
        <v>0</v>
      </c>
      <c r="I180" s="337">
        <f t="shared" si="59"/>
        <v>6103.7023194538606</v>
      </c>
      <c r="J180" s="340">
        <f t="shared" si="60"/>
        <v>1.5706324918055514</v>
      </c>
      <c r="K180" s="348">
        <f t="shared" si="81"/>
        <v>1.8641283261047406</v>
      </c>
      <c r="L180" s="349">
        <f t="shared" si="82"/>
        <v>1.0045787676049887</v>
      </c>
      <c r="M180" s="337">
        <f t="shared" si="63"/>
        <v>1.0042854945698447</v>
      </c>
      <c r="N180" s="340">
        <f t="shared" si="64"/>
        <v>9.2414779952260703E-2</v>
      </c>
      <c r="O180" s="341">
        <f t="shared" si="65"/>
        <v>1.0000910866368253</v>
      </c>
      <c r="P180" s="342">
        <f t="shared" si="66"/>
        <v>0.13084847450238599</v>
      </c>
      <c r="Q180" s="343">
        <f t="shared" si="67"/>
        <v>16.91998896430913</v>
      </c>
      <c r="R180" s="344">
        <f t="shared" si="68"/>
        <v>-110.74629402389267</v>
      </c>
      <c r="S180" s="346">
        <f t="shared" si="69"/>
        <v>69.253705976107327</v>
      </c>
      <c r="U180" s="319">
        <f t="shared" si="75"/>
        <v>1000000000</v>
      </c>
      <c r="V180" s="319">
        <f t="shared" si="76"/>
        <v>102343572.25</v>
      </c>
      <c r="X180" s="345">
        <f t="shared" si="70"/>
        <v>27.367729821924939</v>
      </c>
      <c r="Y180" s="346">
        <f t="shared" si="71"/>
        <v>-37.727466273359219</v>
      </c>
      <c r="AA180" s="345">
        <f t="shared" si="72"/>
        <v>51.792000476774177</v>
      </c>
      <c r="AB180" s="346">
        <f t="shared" si="73"/>
        <v>-73.018827750533447</v>
      </c>
      <c r="AD180">
        <f t="shared" si="77"/>
        <v>0</v>
      </c>
      <c r="AE180">
        <f t="shared" si="80"/>
        <v>0</v>
      </c>
    </row>
    <row r="181" spans="1:31" x14ac:dyDescent="0.25">
      <c r="A181" s="347">
        <v>10174.75</v>
      </c>
      <c r="B181" s="364">
        <f t="shared" si="74"/>
        <v>10.17475</v>
      </c>
      <c r="C181" s="337">
        <f t="shared" si="53"/>
        <v>2.5094772426704055</v>
      </c>
      <c r="D181" s="338">
        <f t="shared" si="54"/>
        <v>1.1609271239028423</v>
      </c>
      <c r="E181" s="338">
        <f t="shared" si="55"/>
        <v>1.0001176993760121</v>
      </c>
      <c r="F181" s="339">
        <f t="shared" si="56"/>
        <v>1.5341957690306595E-2</v>
      </c>
      <c r="G181" s="338">
        <f t="shared" si="57"/>
        <v>1</v>
      </c>
      <c r="H181" s="339">
        <f t="shared" si="58"/>
        <v>0</v>
      </c>
      <c r="I181" s="337">
        <f t="shared" si="59"/>
        <v>6138.8469495721938</v>
      </c>
      <c r="J181" s="340">
        <f t="shared" si="60"/>
        <v>1.5706334297537035</v>
      </c>
      <c r="K181" s="348">
        <f t="shared" si="81"/>
        <v>1.8717793355858494</v>
      </c>
      <c r="L181" s="349">
        <f t="shared" si="82"/>
        <v>1.0071748653176775</v>
      </c>
      <c r="M181" s="337">
        <f t="shared" si="63"/>
        <v>1.0043348809082904</v>
      </c>
      <c r="N181" s="340">
        <f t="shared" si="64"/>
        <v>9.2943846368133826E-2</v>
      </c>
      <c r="O181" s="341">
        <f t="shared" si="65"/>
        <v>1.0000925563887186</v>
      </c>
      <c r="P181" s="342">
        <f t="shared" si="66"/>
        <v>0.13160606237686259</v>
      </c>
      <c r="Q181" s="343">
        <f t="shared" si="67"/>
        <v>16.863356416960229</v>
      </c>
      <c r="R181" s="344">
        <f t="shared" si="68"/>
        <v>-110.786754957184</v>
      </c>
      <c r="S181" s="346">
        <f t="shared" si="69"/>
        <v>69.213245042815998</v>
      </c>
      <c r="U181" s="319">
        <f t="shared" si="75"/>
        <v>1000000000</v>
      </c>
      <c r="V181" s="319">
        <f t="shared" si="76"/>
        <v>103525537.5625</v>
      </c>
      <c r="X181" s="345">
        <f t="shared" si="70"/>
        <v>27.353010326368796</v>
      </c>
      <c r="Y181" s="346">
        <f t="shared" si="71"/>
        <v>-37.609087844265467</v>
      </c>
      <c r="AA181" s="345">
        <f t="shared" si="72"/>
        <v>51.750087424981416</v>
      </c>
      <c r="AB181" s="346">
        <f t="shared" si="73"/>
        <v>-73.177667112918556</v>
      </c>
      <c r="AD181">
        <f t="shared" si="77"/>
        <v>0</v>
      </c>
      <c r="AE181">
        <f t="shared" si="80"/>
        <v>0</v>
      </c>
    </row>
    <row r="182" spans="1:31" x14ac:dyDescent="0.25">
      <c r="A182" s="347">
        <v>10233</v>
      </c>
      <c r="B182" s="364">
        <f t="shared" si="74"/>
        <v>10.233000000000001</v>
      </c>
      <c r="C182" s="337">
        <f t="shared" si="53"/>
        <v>2.5215680231568962</v>
      </c>
      <c r="D182" s="338">
        <f t="shared" si="54"/>
        <v>1.1630094706393501</v>
      </c>
      <c r="E182" s="338">
        <f t="shared" si="55"/>
        <v>1.0001190508007736</v>
      </c>
      <c r="F182" s="339">
        <f t="shared" si="56"/>
        <v>1.5429775828723177E-2</v>
      </c>
      <c r="G182" s="338">
        <f t="shared" si="57"/>
        <v>1</v>
      </c>
      <c r="H182" s="339">
        <f t="shared" si="58"/>
        <v>0</v>
      </c>
      <c r="I182" s="337">
        <f t="shared" si="59"/>
        <v>6173.9915796958658</v>
      </c>
      <c r="J182" s="340">
        <f t="shared" si="60"/>
        <v>1.5706343570235641</v>
      </c>
      <c r="K182" s="348">
        <f t="shared" si="81"/>
        <v>1.8794428575816085</v>
      </c>
      <c r="L182" s="349">
        <f t="shared" si="82"/>
        <v>1.0097498088312866</v>
      </c>
      <c r="M182" s="337">
        <f t="shared" si="63"/>
        <v>1.0043845483436982</v>
      </c>
      <c r="N182" s="340">
        <f t="shared" si="64"/>
        <v>9.3472860606750668E-2</v>
      </c>
      <c r="O182" s="341">
        <f t="shared" si="65"/>
        <v>1.0000940442002673</v>
      </c>
      <c r="P182" s="342">
        <f t="shared" si="66"/>
        <v>0.13236372160067456</v>
      </c>
      <c r="Q182" s="343">
        <f t="shared" si="67"/>
        <v>16.807082177235873</v>
      </c>
      <c r="R182" s="344">
        <f t="shared" si="68"/>
        <v>-110.82727371986283</v>
      </c>
      <c r="S182" s="346">
        <f t="shared" si="69"/>
        <v>69.172726280137169</v>
      </c>
      <c r="U182" s="319">
        <f t="shared" si="75"/>
        <v>1000000000</v>
      </c>
      <c r="V182" s="319">
        <f t="shared" si="76"/>
        <v>104714289</v>
      </c>
      <c r="X182" s="345">
        <f t="shared" si="70"/>
        <v>27.33848580743939</v>
      </c>
      <c r="Y182" s="346">
        <f t="shared" si="71"/>
        <v>-37.491917860141754</v>
      </c>
      <c r="AA182" s="345">
        <f t="shared" si="72"/>
        <v>51.708337704186455</v>
      </c>
      <c r="AB182" s="346">
        <f t="shared" si="73"/>
        <v>-73.335355859721105</v>
      </c>
      <c r="AD182">
        <f t="shared" si="77"/>
        <v>0</v>
      </c>
      <c r="AE182">
        <f t="shared" si="80"/>
        <v>0</v>
      </c>
    </row>
    <row r="183" spans="1:31" x14ac:dyDescent="0.25">
      <c r="A183" s="347">
        <v>10292.5</v>
      </c>
      <c r="B183" s="364">
        <f t="shared" si="74"/>
        <v>10.2925</v>
      </c>
      <c r="C183" s="337">
        <f t="shared" si="53"/>
        <v>2.5339294419514111</v>
      </c>
      <c r="D183" s="338">
        <f t="shared" si="54"/>
        <v>1.1651159772866204</v>
      </c>
      <c r="E183" s="338">
        <f t="shared" si="55"/>
        <v>1.0001204391890348</v>
      </c>
      <c r="F183" s="339">
        <f t="shared" si="56"/>
        <v>1.5519478230813955E-2</v>
      </c>
      <c r="G183" s="338">
        <f t="shared" si="57"/>
        <v>1</v>
      </c>
      <c r="H183" s="339">
        <f t="shared" si="58"/>
        <v>0</v>
      </c>
      <c r="I183" s="337">
        <f t="shared" si="59"/>
        <v>6209.8903864370523</v>
      </c>
      <c r="J183" s="340">
        <f t="shared" si="60"/>
        <v>1.5706352933559642</v>
      </c>
      <c r="K183" s="348">
        <f t="shared" si="81"/>
        <v>1.8872835925042304</v>
      </c>
      <c r="L183" s="349">
        <f t="shared" si="82"/>
        <v>1.0123584013181699</v>
      </c>
      <c r="M183" s="337">
        <f t="shared" si="63"/>
        <v>1.0044355717704101</v>
      </c>
      <c r="N183" s="340">
        <f t="shared" si="64"/>
        <v>9.4013172913642931E-2</v>
      </c>
      <c r="O183" s="341">
        <f t="shared" si="65"/>
        <v>1.0000955827560161</v>
      </c>
      <c r="P183" s="342">
        <f t="shared" si="66"/>
        <v>0.13313771367756616</v>
      </c>
      <c r="Q183" s="343">
        <f t="shared" si="67"/>
        <v>16.749965786260365</v>
      </c>
      <c r="R183" s="344">
        <f t="shared" si="68"/>
        <v>-110.86872449337621</v>
      </c>
      <c r="S183" s="346">
        <f t="shared" si="69"/>
        <v>69.131275506623794</v>
      </c>
      <c r="U183" s="319">
        <f t="shared" si="75"/>
        <v>1000000000</v>
      </c>
      <c r="V183" s="319">
        <f t="shared" si="76"/>
        <v>105935556.25</v>
      </c>
      <c r="X183" s="345">
        <f t="shared" si="70"/>
        <v>27.32384730578179</v>
      </c>
      <c r="Y183" s="346">
        <f t="shared" si="71"/>
        <v>-37.373467782737102</v>
      </c>
      <c r="AA183" s="345">
        <f t="shared" si="72"/>
        <v>51.665859814868547</v>
      </c>
      <c r="AB183" s="346">
        <f t="shared" si="73"/>
        <v>-73.495256710639126</v>
      </c>
      <c r="AD183">
        <f t="shared" si="77"/>
        <v>0</v>
      </c>
      <c r="AE183">
        <f t="shared" si="80"/>
        <v>0</v>
      </c>
    </row>
    <row r="184" spans="1:31" x14ac:dyDescent="0.25">
      <c r="A184" s="347">
        <v>10352</v>
      </c>
      <c r="B184" s="364">
        <f t="shared" si="74"/>
        <v>10.352</v>
      </c>
      <c r="C184" s="337">
        <f t="shared" si="53"/>
        <v>2.546301995528792</v>
      </c>
      <c r="D184" s="338">
        <f t="shared" si="54"/>
        <v>1.16720202196463</v>
      </c>
      <c r="E184" s="338">
        <f t="shared" si="55"/>
        <v>1.0001218356247634</v>
      </c>
      <c r="F184" s="339">
        <f t="shared" si="56"/>
        <v>1.5609180383129761E-2</v>
      </c>
      <c r="G184" s="338">
        <f t="shared" si="57"/>
        <v>1</v>
      </c>
      <c r="H184" s="339">
        <f t="shared" si="58"/>
        <v>0</v>
      </c>
      <c r="I184" s="337">
        <f t="shared" si="59"/>
        <v>6245.7891931836202</v>
      </c>
      <c r="J184" s="340">
        <f t="shared" si="60"/>
        <v>1.5706362189248835</v>
      </c>
      <c r="K184" s="348">
        <f t="shared" si="81"/>
        <v>1.8951370636117788</v>
      </c>
      <c r="L184" s="349">
        <f t="shared" si="82"/>
        <v>1.0149453912094228</v>
      </c>
      <c r="M184" s="337">
        <f t="shared" si="63"/>
        <v>1.0044868883995806</v>
      </c>
      <c r="N184" s="340">
        <f t="shared" si="64"/>
        <v>9.4553430171935057E-2</v>
      </c>
      <c r="O184" s="341">
        <f t="shared" si="65"/>
        <v>1.0000971405042782</v>
      </c>
      <c r="P184" s="342">
        <f t="shared" si="66"/>
        <v>0.1339117810282659</v>
      </c>
      <c r="Q184" s="343">
        <f t="shared" si="67"/>
        <v>16.693214247261658</v>
      </c>
      <c r="R184" s="344">
        <f t="shared" si="68"/>
        <v>-110.91024117639475</v>
      </c>
      <c r="S184" s="346">
        <f t="shared" si="69"/>
        <v>69.089758823605251</v>
      </c>
      <c r="U184" s="319">
        <f t="shared" si="75"/>
        <v>1000000000</v>
      </c>
      <c r="V184" s="319">
        <f t="shared" si="76"/>
        <v>107163904</v>
      </c>
      <c r="X184" s="345">
        <f t="shared" si="70"/>
        <v>27.309405023042736</v>
      </c>
      <c r="Y184" s="346">
        <f t="shared" si="71"/>
        <v>-37.256251672135534</v>
      </c>
      <c r="AA184" s="345">
        <f t="shared" si="72"/>
        <v>51.623550558608898</v>
      </c>
      <c r="AB184" s="346">
        <f t="shared" si="73"/>
        <v>-73.653989504259215</v>
      </c>
      <c r="AD184">
        <f t="shared" si="77"/>
        <v>0</v>
      </c>
      <c r="AE184">
        <f t="shared" si="80"/>
        <v>0</v>
      </c>
    </row>
    <row r="185" spans="1:31" x14ac:dyDescent="0.25">
      <c r="A185" s="347">
        <v>10411.5</v>
      </c>
      <c r="B185" s="364">
        <f t="shared" si="74"/>
        <v>10.4115</v>
      </c>
      <c r="C185" s="337">
        <f t="shared" si="53"/>
        <v>2.5586855223619285</v>
      </c>
      <c r="D185" s="338">
        <f t="shared" si="54"/>
        <v>1.1692678834809485</v>
      </c>
      <c r="E185" s="338">
        <f t="shared" si="55"/>
        <v>1.0001232401079263</v>
      </c>
      <c r="F185" s="339">
        <f t="shared" si="56"/>
        <v>1.5698882284228072E-2</v>
      </c>
      <c r="G185" s="338">
        <f t="shared" si="57"/>
        <v>1</v>
      </c>
      <c r="H185" s="339">
        <f t="shared" si="58"/>
        <v>0</v>
      </c>
      <c r="I185" s="337">
        <f t="shared" si="59"/>
        <v>6281.6879999354778</v>
      </c>
      <c r="J185" s="340">
        <f t="shared" si="60"/>
        <v>1.5706371339148564</v>
      </c>
      <c r="K185" s="348">
        <f t="shared" si="81"/>
        <v>1.9030031132220264</v>
      </c>
      <c r="L185" s="349">
        <f t="shared" si="82"/>
        <v>1.0175110115450987</v>
      </c>
      <c r="M185" s="337">
        <f t="shared" si="63"/>
        <v>1.0045384981862751</v>
      </c>
      <c r="N185" s="340">
        <f t="shared" si="64"/>
        <v>9.509363207470943E-2</v>
      </c>
      <c r="O185" s="341">
        <f t="shared" si="65"/>
        <v>1.0000987176231577</v>
      </c>
      <c r="P185" s="342">
        <f t="shared" si="66"/>
        <v>0.13468592407145583</v>
      </c>
      <c r="Q185" s="343">
        <f t="shared" si="67"/>
        <v>16.636823124845101</v>
      </c>
      <c r="R185" s="344">
        <f t="shared" si="68"/>
        <v>-110.95182640826327</v>
      </c>
      <c r="S185" s="346">
        <f t="shared" si="69"/>
        <v>69.048173591736727</v>
      </c>
      <c r="U185" s="319">
        <f t="shared" si="75"/>
        <v>1000000000</v>
      </c>
      <c r="V185" s="319">
        <f t="shared" si="76"/>
        <v>108399332.25</v>
      </c>
      <c r="X185" s="345">
        <f t="shared" si="70"/>
        <v>27.295155428238775</v>
      </c>
      <c r="Y185" s="346">
        <f t="shared" si="71"/>
        <v>-37.140256169113471</v>
      </c>
      <c r="AA185" s="345">
        <f t="shared" si="72"/>
        <v>51.581409030996298</v>
      </c>
      <c r="AB185" s="346">
        <f t="shared" si="73"/>
        <v>-73.811570239149773</v>
      </c>
      <c r="AD185">
        <f t="shared" si="77"/>
        <v>0</v>
      </c>
      <c r="AE185">
        <f t="shared" si="80"/>
        <v>0</v>
      </c>
    </row>
    <row r="186" spans="1:31" x14ac:dyDescent="0.25">
      <c r="A186" s="347">
        <v>10471</v>
      </c>
      <c r="B186" s="364">
        <f t="shared" si="74"/>
        <v>10.471</v>
      </c>
      <c r="C186" s="337">
        <f t="shared" si="53"/>
        <v>2.5710798638937811</v>
      </c>
      <c r="D186" s="338">
        <f t="shared" si="54"/>
        <v>1.1713138359632458</v>
      </c>
      <c r="E186" s="338">
        <f t="shared" si="55"/>
        <v>1.000124652638489</v>
      </c>
      <c r="F186" s="339">
        <f t="shared" si="56"/>
        <v>1.5788583932666397E-2</v>
      </c>
      <c r="G186" s="338">
        <f t="shared" si="57"/>
        <v>1</v>
      </c>
      <c r="H186" s="339">
        <f t="shared" si="58"/>
        <v>0</v>
      </c>
      <c r="I186" s="337">
        <f t="shared" si="59"/>
        <v>6317.5868066925341</v>
      </c>
      <c r="J186" s="340">
        <f t="shared" si="60"/>
        <v>1.5706380385062233</v>
      </c>
      <c r="K186" s="348">
        <f t="shared" si="81"/>
        <v>1.9108815859986257</v>
      </c>
      <c r="L186" s="349">
        <f t="shared" si="82"/>
        <v>1.0200554926565306</v>
      </c>
      <c r="M186" s="337">
        <f t="shared" si="63"/>
        <v>1.0045904010853115</v>
      </c>
      <c r="N186" s="340">
        <f t="shared" si="64"/>
        <v>9.56337783152406E-2</v>
      </c>
      <c r="O186" s="341">
        <f t="shared" si="65"/>
        <v>1.0001003142917837</v>
      </c>
      <c r="P186" s="342">
        <f t="shared" si="66"/>
        <v>0.13546014322552855</v>
      </c>
      <c r="Q186" s="343">
        <f t="shared" si="67"/>
        <v>16.580788056704641</v>
      </c>
      <c r="R186" s="344">
        <f t="shared" si="68"/>
        <v>-110.99348271514047</v>
      </c>
      <c r="S186" s="346">
        <f t="shared" si="69"/>
        <v>69.006517284859527</v>
      </c>
      <c r="U186" s="319">
        <f t="shared" si="75"/>
        <v>1000000000</v>
      </c>
      <c r="V186" s="319">
        <f t="shared" si="76"/>
        <v>109641841</v>
      </c>
      <c r="X186" s="345">
        <f t="shared" si="70"/>
        <v>27.281095065259318</v>
      </c>
      <c r="Y186" s="346">
        <f t="shared" si="71"/>
        <v>-37.025468069416313</v>
      </c>
      <c r="AA186" s="345">
        <f t="shared" si="72"/>
        <v>51.539434325835302</v>
      </c>
      <c r="AB186" s="346">
        <f t="shared" si="73"/>
        <v>-73.968014645724168</v>
      </c>
      <c r="AD186">
        <f t="shared" si="77"/>
        <v>0</v>
      </c>
      <c r="AE186">
        <f t="shared" si="80"/>
        <v>0</v>
      </c>
    </row>
    <row r="187" spans="1:31" x14ac:dyDescent="0.25">
      <c r="A187" s="347">
        <v>10532</v>
      </c>
      <c r="B187" s="364">
        <f t="shared" si="74"/>
        <v>10.532</v>
      </c>
      <c r="C187" s="337">
        <f t="shared" si="53"/>
        <v>2.5837977319857948</v>
      </c>
      <c r="D187" s="338">
        <f t="shared" si="54"/>
        <v>1.1733909809922833</v>
      </c>
      <c r="E187" s="338">
        <f t="shared" si="55"/>
        <v>1.0001261091333011</v>
      </c>
      <c r="F187" s="339">
        <f t="shared" si="56"/>
        <v>1.5880546703395088E-2</v>
      </c>
      <c r="G187" s="338">
        <f t="shared" si="57"/>
        <v>1</v>
      </c>
      <c r="H187" s="339">
        <f t="shared" si="58"/>
        <v>0</v>
      </c>
      <c r="I187" s="337">
        <f t="shared" si="59"/>
        <v>6354.3906253899486</v>
      </c>
      <c r="J187" s="340">
        <f t="shared" si="60"/>
        <v>1.5706389552917768</v>
      </c>
      <c r="K187" s="348">
        <f t="shared" si="81"/>
        <v>1.9189714124498816</v>
      </c>
      <c r="L187" s="349">
        <f t="shared" si="82"/>
        <v>1.022642413321962</v>
      </c>
      <c r="M187" s="337">
        <f t="shared" si="63"/>
        <v>1.0046439167028003</v>
      </c>
      <c r="N187" s="340">
        <f t="shared" si="64"/>
        <v>9.6187483582185873E-2</v>
      </c>
      <c r="O187" s="341">
        <f t="shared" si="65"/>
        <v>1.0001019716963977</v>
      </c>
      <c r="P187" s="342">
        <f t="shared" si="66"/>
        <v>0.13625395996043774</v>
      </c>
      <c r="Q187" s="343">
        <f t="shared" si="67"/>
        <v>16.523705480186781</v>
      </c>
      <c r="R187" s="344">
        <f t="shared" si="68"/>
        <v>-111.03626549554055</v>
      </c>
      <c r="S187" s="346">
        <f t="shared" si="69"/>
        <v>68.963734504459453</v>
      </c>
      <c r="U187" s="319">
        <f t="shared" si="75"/>
        <v>1000000000</v>
      </c>
      <c r="V187" s="319">
        <f t="shared" si="76"/>
        <v>110923024</v>
      </c>
      <c r="X187" s="345">
        <f t="shared" si="70"/>
        <v>27.266873146022853</v>
      </c>
      <c r="Y187" s="346">
        <f t="shared" si="71"/>
        <v>-36.909025936051925</v>
      </c>
      <c r="AA187" s="345">
        <f t="shared" si="72"/>
        <v>51.496573668553907</v>
      </c>
      <c r="AB187" s="346">
        <f t="shared" si="73"/>
        <v>-74.127239559488615</v>
      </c>
      <c r="AD187">
        <f t="shared" si="77"/>
        <v>0</v>
      </c>
      <c r="AE187">
        <f t="shared" si="80"/>
        <v>0</v>
      </c>
    </row>
    <row r="188" spans="1:31" x14ac:dyDescent="0.25">
      <c r="A188" s="347">
        <v>10593</v>
      </c>
      <c r="B188" s="364">
        <f t="shared" si="74"/>
        <v>10.593</v>
      </c>
      <c r="C188" s="337">
        <f t="shared" si="53"/>
        <v>2.5965266387212509</v>
      </c>
      <c r="D188" s="338">
        <f t="shared" si="54"/>
        <v>1.1754477693201983</v>
      </c>
      <c r="E188" s="338">
        <f t="shared" si="55"/>
        <v>1.0001275740863063</v>
      </c>
      <c r="F188" s="339">
        <f t="shared" si="56"/>
        <v>1.5972509205493608E-2</v>
      </c>
      <c r="G188" s="338">
        <f t="shared" si="57"/>
        <v>1</v>
      </c>
      <c r="H188" s="339">
        <f t="shared" si="58"/>
        <v>0</v>
      </c>
      <c r="I188" s="337">
        <f t="shared" si="59"/>
        <v>6391.1944440926409</v>
      </c>
      <c r="J188" s="340">
        <f t="shared" si="60"/>
        <v>1.5706398615186752</v>
      </c>
      <c r="K188" s="348">
        <f t="shared" si="81"/>
        <v>1.9270739730906117</v>
      </c>
      <c r="L188" s="349">
        <f t="shared" si="82"/>
        <v>1.0252075971399017</v>
      </c>
      <c r="M188" s="337">
        <f t="shared" si="63"/>
        <v>1.00469774030072</v>
      </c>
      <c r="N188" s="340">
        <f t="shared" si="64"/>
        <v>9.6741129692737515E-2</v>
      </c>
      <c r="O188" s="341">
        <f t="shared" si="65"/>
        <v>1.0001036500334843</v>
      </c>
      <c r="P188" s="342">
        <f t="shared" si="66"/>
        <v>0.13704785758177879</v>
      </c>
      <c r="Q188" s="343">
        <f t="shared" si="67"/>
        <v>16.466988080274529</v>
      </c>
      <c r="R188" s="344">
        <f t="shared" si="68"/>
        <v>-111.07912800796724</v>
      </c>
      <c r="S188" s="346">
        <f t="shared" si="69"/>
        <v>68.920871992032758</v>
      </c>
      <c r="U188" s="319">
        <f t="shared" si="75"/>
        <v>1000000000</v>
      </c>
      <c r="V188" s="319">
        <f t="shared" si="76"/>
        <v>112211649</v>
      </c>
      <c r="X188" s="345">
        <f t="shared" si="70"/>
        <v>27.25284299683144</v>
      </c>
      <c r="Y188" s="346">
        <f t="shared" si="71"/>
        <v>-36.793825237932083</v>
      </c>
      <c r="AA188" s="345">
        <f t="shared" si="72"/>
        <v>51.453886417833068</v>
      </c>
      <c r="AB188" s="346">
        <f t="shared" si="73"/>
        <v>-74.28530277003513</v>
      </c>
      <c r="AD188">
        <f t="shared" si="77"/>
        <v>0</v>
      </c>
      <c r="AE188">
        <f t="shared" si="80"/>
        <v>0</v>
      </c>
    </row>
    <row r="189" spans="1:31" x14ac:dyDescent="0.25">
      <c r="A189" s="347">
        <v>10654</v>
      </c>
      <c r="B189" s="364">
        <f t="shared" si="74"/>
        <v>10.654</v>
      </c>
      <c r="C189" s="337">
        <f t="shared" si="53"/>
        <v>2.6092664225491573</v>
      </c>
      <c r="D189" s="338">
        <f t="shared" si="54"/>
        <v>1.177484481592324</v>
      </c>
      <c r="E189" s="338">
        <f t="shared" si="55"/>
        <v>1.0001290474974673</v>
      </c>
      <c r="F189" s="339">
        <f t="shared" si="56"/>
        <v>1.606447143740768E-2</v>
      </c>
      <c r="G189" s="338">
        <f t="shared" si="57"/>
        <v>1</v>
      </c>
      <c r="H189" s="339">
        <f t="shared" si="58"/>
        <v>0</v>
      </c>
      <c r="I189" s="337">
        <f t="shared" si="59"/>
        <v>6427.9982628005237</v>
      </c>
      <c r="J189" s="340">
        <f t="shared" si="60"/>
        <v>1.5706407573682803</v>
      </c>
      <c r="K189" s="348">
        <f t="shared" si="81"/>
        <v>1.9351891079681722</v>
      </c>
      <c r="L189" s="349">
        <f t="shared" si="82"/>
        <v>1.0277512835961413</v>
      </c>
      <c r="M189" s="337">
        <f t="shared" si="63"/>
        <v>1.0047518718295758</v>
      </c>
      <c r="N189" s="340">
        <f t="shared" si="64"/>
        <v>9.7294716317018137E-2</v>
      </c>
      <c r="O189" s="341">
        <f t="shared" si="65"/>
        <v>1.0001053494994203</v>
      </c>
      <c r="P189" s="342">
        <f t="shared" si="66"/>
        <v>0.13784183653943274</v>
      </c>
      <c r="Q189" s="343">
        <f t="shared" si="67"/>
        <v>16.410631386094806</v>
      </c>
      <c r="R189" s="344">
        <f t="shared" si="68"/>
        <v>-111.12207262804459</v>
      </c>
      <c r="S189" s="346">
        <f t="shared" si="69"/>
        <v>68.877927371955408</v>
      </c>
      <c r="U189" s="319">
        <f t="shared" si="75"/>
        <v>1000000000</v>
      </c>
      <c r="V189" s="319">
        <f t="shared" si="76"/>
        <v>113507716</v>
      </c>
      <c r="X189" s="345">
        <f t="shared" si="70"/>
        <v>27.23900112679371</v>
      </c>
      <c r="Y189" s="346">
        <f t="shared" si="71"/>
        <v>-36.679852245022367</v>
      </c>
      <c r="AA189" s="345">
        <f t="shared" si="72"/>
        <v>51.411371593691072</v>
      </c>
      <c r="AB189" s="346">
        <f t="shared" si="73"/>
        <v>-74.442220383022217</v>
      </c>
      <c r="AD189">
        <f t="shared" si="77"/>
        <v>0</v>
      </c>
      <c r="AE189">
        <f t="shared" si="80"/>
        <v>0</v>
      </c>
    </row>
    <row r="190" spans="1:31" x14ac:dyDescent="0.25">
      <c r="A190" s="347">
        <v>10715</v>
      </c>
      <c r="B190" s="364">
        <f t="shared" si="74"/>
        <v>10.715</v>
      </c>
      <c r="C190" s="337">
        <f t="shared" si="53"/>
        <v>2.6220169249215655</v>
      </c>
      <c r="D190" s="338">
        <f t="shared" si="54"/>
        <v>1.1795013936682825</v>
      </c>
      <c r="E190" s="338">
        <f t="shared" si="55"/>
        <v>1.0001305293667468</v>
      </c>
      <c r="F190" s="339">
        <f t="shared" si="56"/>
        <v>1.615643339758303E-2</v>
      </c>
      <c r="G190" s="338">
        <f t="shared" si="57"/>
        <v>1</v>
      </c>
      <c r="H190" s="339">
        <f t="shared" si="58"/>
        <v>0</v>
      </c>
      <c r="I190" s="337">
        <f t="shared" si="59"/>
        <v>6464.8020815135051</v>
      </c>
      <c r="J190" s="340">
        <f t="shared" si="60"/>
        <v>1.5706416430178252</v>
      </c>
      <c r="K190" s="348">
        <f t="shared" si="81"/>
        <v>1.9433166595555489</v>
      </c>
      <c r="L190" s="349">
        <f t="shared" si="82"/>
        <v>1.0302737092921406</v>
      </c>
      <c r="M190" s="337">
        <f t="shared" si="63"/>
        <v>1.0048063112396008</v>
      </c>
      <c r="N190" s="340">
        <f t="shared" si="64"/>
        <v>9.7848243125367051E-2</v>
      </c>
      <c r="O190" s="341">
        <f t="shared" si="65"/>
        <v>1.000107070291713</v>
      </c>
      <c r="P190" s="342">
        <f t="shared" si="66"/>
        <v>0.13863589728295292</v>
      </c>
      <c r="Q190" s="343">
        <f t="shared" si="67"/>
        <v>16.354631001210372</v>
      </c>
      <c r="R190" s="344">
        <f t="shared" si="68"/>
        <v>-111.16510162221277</v>
      </c>
      <c r="S190" s="346">
        <f t="shared" si="69"/>
        <v>68.834898377787226</v>
      </c>
      <c r="U190" s="319">
        <f t="shared" si="75"/>
        <v>1000000000</v>
      </c>
      <c r="V190" s="319">
        <f t="shared" si="76"/>
        <v>114811225</v>
      </c>
      <c r="X190" s="345">
        <f t="shared" si="70"/>
        <v>27.225344119907287</v>
      </c>
      <c r="Y190" s="346">
        <f t="shared" si="71"/>
        <v>-36.567093392324203</v>
      </c>
      <c r="AA190" s="345">
        <f t="shared" si="72"/>
        <v>51.369028215693071</v>
      </c>
      <c r="AB190" s="346">
        <f t="shared" si="73"/>
        <v>-74.598008229888563</v>
      </c>
      <c r="AD190">
        <f t="shared" si="77"/>
        <v>0</v>
      </c>
      <c r="AE190">
        <f t="shared" si="80"/>
        <v>0</v>
      </c>
    </row>
    <row r="191" spans="1:31" x14ac:dyDescent="0.25">
      <c r="A191" s="347">
        <v>10777.5</v>
      </c>
      <c r="B191" s="364">
        <f t="shared" si="74"/>
        <v>10.7775</v>
      </c>
      <c r="C191" s="337">
        <f t="shared" si="53"/>
        <v>2.6350919186766357</v>
      </c>
      <c r="D191" s="338">
        <f t="shared" si="54"/>
        <v>1.1815476489513055</v>
      </c>
      <c r="E191" s="338">
        <f t="shared" si="55"/>
        <v>1.0001320564480511</v>
      </c>
      <c r="F191" s="339">
        <f t="shared" si="56"/>
        <v>1.625065643396556E-2</v>
      </c>
      <c r="G191" s="338">
        <f t="shared" si="57"/>
        <v>1</v>
      </c>
      <c r="H191" s="339">
        <f t="shared" si="58"/>
        <v>0</v>
      </c>
      <c r="I191" s="337">
        <f t="shared" si="59"/>
        <v>6502.5109121672522</v>
      </c>
      <c r="J191" s="340">
        <f t="shared" si="60"/>
        <v>1.5706425400473696</v>
      </c>
      <c r="K191" s="348">
        <f t="shared" si="81"/>
        <v>1.9516567852112061</v>
      </c>
      <c r="L191" s="349">
        <f t="shared" si="82"/>
        <v>1.0328363548594734</v>
      </c>
      <c r="M191" s="337">
        <f t="shared" si="63"/>
        <v>1.0048624086018414</v>
      </c>
      <c r="N191" s="340">
        <f t="shared" si="64"/>
        <v>9.8415318863840306E-2</v>
      </c>
      <c r="O191" s="341">
        <f t="shared" si="65"/>
        <v>1.0001088557257254</v>
      </c>
      <c r="P191" s="342">
        <f t="shared" si="66"/>
        <v>0.13944956940736128</v>
      </c>
      <c r="Q191" s="343">
        <f t="shared" si="67"/>
        <v>16.297618596675786</v>
      </c>
      <c r="R191" s="344">
        <f t="shared" si="68"/>
        <v>-111.20927847719491</v>
      </c>
      <c r="S191" s="346">
        <f t="shared" si="69"/>
        <v>68.790721522805086</v>
      </c>
      <c r="U191" s="319">
        <f t="shared" si="75"/>
        <v>1000000000</v>
      </c>
      <c r="V191" s="319">
        <f t="shared" si="76"/>
        <v>116154506.25</v>
      </c>
      <c r="X191" s="345">
        <f t="shared" si="70"/>
        <v>27.211539527511981</v>
      </c>
      <c r="Y191" s="346">
        <f t="shared" si="71"/>
        <v>-36.452807059283309</v>
      </c>
      <c r="AA191" s="345">
        <f t="shared" si="72"/>
        <v>51.325820403553777</v>
      </c>
      <c r="AB191" s="346">
        <f t="shared" si="73"/>
        <v>-74.756471417911612</v>
      </c>
      <c r="AD191">
        <f t="shared" si="77"/>
        <v>0</v>
      </c>
      <c r="AE191">
        <f t="shared" si="80"/>
        <v>0</v>
      </c>
    </row>
    <row r="192" spans="1:31" x14ac:dyDescent="0.25">
      <c r="A192" s="347">
        <v>10840</v>
      </c>
      <c r="B192" s="364">
        <f t="shared" si="74"/>
        <v>10.84</v>
      </c>
      <c r="C192" s="337">
        <f t="shared" si="53"/>
        <v>2.6481778370050537</v>
      </c>
      <c r="D192" s="338">
        <f t="shared" si="54"/>
        <v>1.1835736895880826</v>
      </c>
      <c r="E192" s="338">
        <f t="shared" si="55"/>
        <v>1.0001335924084813</v>
      </c>
      <c r="F192" s="339">
        <f t="shared" si="56"/>
        <v>1.6344879181777548E-2</v>
      </c>
      <c r="G192" s="338">
        <f t="shared" si="57"/>
        <v>1</v>
      </c>
      <c r="H192" s="339">
        <f t="shared" si="58"/>
        <v>0</v>
      </c>
      <c r="I192" s="337">
        <f t="shared" si="59"/>
        <v>6540.2197428261697</v>
      </c>
      <c r="J192" s="340">
        <f t="shared" si="60"/>
        <v>1.5706434267329388</v>
      </c>
      <c r="K192" s="348">
        <f t="shared" si="81"/>
        <v>1.960009618570435</v>
      </c>
      <c r="L192" s="349">
        <f t="shared" si="82"/>
        <v>1.035377174906426</v>
      </c>
      <c r="M192" s="337">
        <f t="shared" si="63"/>
        <v>1.0049188290664661</v>
      </c>
      <c r="N192" s="340">
        <f t="shared" si="64"/>
        <v>9.8982331108492222E-2</v>
      </c>
      <c r="O192" s="341">
        <f t="shared" si="65"/>
        <v>1.0001106639712509</v>
      </c>
      <c r="P192" s="342">
        <f t="shared" si="66"/>
        <v>0.14026332834375563</v>
      </c>
      <c r="Q192" s="343">
        <f t="shared" si="67"/>
        <v>16.240971129282517</v>
      </c>
      <c r="R192" s="344">
        <f t="shared" si="68"/>
        <v>-111.25354838836658</v>
      </c>
      <c r="S192" s="346">
        <f t="shared" si="69"/>
        <v>68.746451611633418</v>
      </c>
      <c r="U192" s="319">
        <f t="shared" si="75"/>
        <v>1000000000</v>
      </c>
      <c r="V192" s="319">
        <f t="shared" si="76"/>
        <v>117505600</v>
      </c>
      <c r="X192" s="345">
        <f t="shared" si="70"/>
        <v>27.197921974470844</v>
      </c>
      <c r="Y192" s="346">
        <f t="shared" si="71"/>
        <v>-36.33976700585319</v>
      </c>
      <c r="AA192" s="345">
        <f t="shared" si="72"/>
        <v>51.282790489201645</v>
      </c>
      <c r="AB192" s="346">
        <f t="shared" si="73"/>
        <v>-74.913781382513392</v>
      </c>
      <c r="AD192">
        <f t="shared" si="77"/>
        <v>0</v>
      </c>
      <c r="AE192">
        <f t="shared" si="80"/>
        <v>0</v>
      </c>
    </row>
    <row r="193" spans="1:31" x14ac:dyDescent="0.25">
      <c r="A193" s="347">
        <v>10902.5</v>
      </c>
      <c r="B193" s="364">
        <f t="shared" si="74"/>
        <v>10.9025</v>
      </c>
      <c r="C193" s="337">
        <f t="shared" si="53"/>
        <v>2.6612745187531277</v>
      </c>
      <c r="D193" s="338">
        <f t="shared" si="54"/>
        <v>1.1855797972630875</v>
      </c>
      <c r="E193" s="338">
        <f t="shared" si="55"/>
        <v>1.0001351372479961</v>
      </c>
      <c r="F193" s="339">
        <f t="shared" si="56"/>
        <v>1.6439101639347316E-2</v>
      </c>
      <c r="G193" s="338">
        <f t="shared" si="57"/>
        <v>1</v>
      </c>
      <c r="H193" s="339">
        <f t="shared" si="58"/>
        <v>0</v>
      </c>
      <c r="I193" s="337">
        <f t="shared" si="59"/>
        <v>6577.9285734901705</v>
      </c>
      <c r="J193" s="340">
        <f t="shared" si="60"/>
        <v>1.5706443032524273</v>
      </c>
      <c r="K193" s="348">
        <f t="shared" si="81"/>
        <v>1.9683749978571623</v>
      </c>
      <c r="L193" s="349">
        <f t="shared" si="82"/>
        <v>1.0378964146853227</v>
      </c>
      <c r="M193" s="337">
        <f t="shared" si="63"/>
        <v>1.004975572579057</v>
      </c>
      <c r="N193" s="340">
        <f t="shared" si="64"/>
        <v>9.9549279505455335E-2</v>
      </c>
      <c r="O193" s="341">
        <f t="shared" si="65"/>
        <v>1.000112495244426</v>
      </c>
      <c r="P193" s="342">
        <f t="shared" si="66"/>
        <v>0.14107717457459124</v>
      </c>
      <c r="Q193" s="343">
        <f t="shared" si="67"/>
        <v>16.184684103589884</v>
      </c>
      <c r="R193" s="344">
        <f t="shared" si="68"/>
        <v>-111.29791346079206</v>
      </c>
      <c r="S193" s="346">
        <f t="shared" si="69"/>
        <v>68.70208653920794</v>
      </c>
      <c r="U193" s="319">
        <f t="shared" si="75"/>
        <v>1000000000</v>
      </c>
      <c r="V193" s="319">
        <f t="shared" si="76"/>
        <v>118864506.25</v>
      </c>
      <c r="X193" s="345">
        <f t="shared" si="70"/>
        <v>27.184488019201755</v>
      </c>
      <c r="Y193" s="346">
        <f t="shared" si="71"/>
        <v>-36.227959170028228</v>
      </c>
      <c r="AA193" s="345">
        <f t="shared" si="72"/>
        <v>51.239937418778105</v>
      </c>
      <c r="AB193" s="346">
        <f t="shared" si="73"/>
        <v>-75.069954290763832</v>
      </c>
      <c r="AD193">
        <f t="shared" si="77"/>
        <v>0</v>
      </c>
      <c r="AE193">
        <f t="shared" si="80"/>
        <v>0</v>
      </c>
    </row>
    <row r="194" spans="1:31" x14ac:dyDescent="0.25">
      <c r="A194" s="347">
        <v>10965</v>
      </c>
      <c r="B194" s="364">
        <f t="shared" si="74"/>
        <v>10.965</v>
      </c>
      <c r="C194" s="337">
        <f t="shared" si="53"/>
        <v>2.6743818057926396</v>
      </c>
      <c r="D194" s="338">
        <f t="shared" si="54"/>
        <v>1.1875662487871745</v>
      </c>
      <c r="E194" s="338">
        <f t="shared" si="55"/>
        <v>1.0001366909665548</v>
      </c>
      <c r="F194" s="339">
        <f t="shared" si="56"/>
        <v>1.6533323805003233E-2</v>
      </c>
      <c r="G194" s="338">
        <f t="shared" si="57"/>
        <v>1</v>
      </c>
      <c r="H194" s="339">
        <f t="shared" si="58"/>
        <v>0</v>
      </c>
      <c r="I194" s="337">
        <f t="shared" si="59"/>
        <v>6615.637404159168</v>
      </c>
      <c r="J194" s="340">
        <f t="shared" si="60"/>
        <v>1.5706451697796739</v>
      </c>
      <c r="K194" s="348">
        <f t="shared" si="81"/>
        <v>1.9767527637928379</v>
      </c>
      <c r="L194" s="349">
        <f t="shared" si="82"/>
        <v>1.0403943163958764</v>
      </c>
      <c r="M194" s="337">
        <f t="shared" si="63"/>
        <v>1.0050326390848965</v>
      </c>
      <c r="N194" s="340">
        <f t="shared" si="64"/>
        <v>0.10011616370110606</v>
      </c>
      <c r="O194" s="341">
        <f t="shared" si="65"/>
        <v>1.0001143497626352</v>
      </c>
      <c r="P194" s="342">
        <f t="shared" si="66"/>
        <v>0.14189110858195314</v>
      </c>
      <c r="Q194" s="343">
        <f t="shared" si="67"/>
        <v>16.128753099706</v>
      </c>
      <c r="R194" s="344">
        <f t="shared" si="68"/>
        <v>-111.34237569496</v>
      </c>
      <c r="S194" s="346">
        <f t="shared" si="69"/>
        <v>68.657624305040002</v>
      </c>
      <c r="U194" s="319">
        <f t="shared" si="75"/>
        <v>1000000000</v>
      </c>
      <c r="V194" s="319">
        <f t="shared" si="76"/>
        <v>120231225</v>
      </c>
      <c r="X194" s="345">
        <f t="shared" si="70"/>
        <v>27.171234294757571</v>
      </c>
      <c r="Y194" s="346">
        <f t="shared" si="71"/>
        <v>-36.117369664486141</v>
      </c>
      <c r="AA194" s="345">
        <f t="shared" si="72"/>
        <v>51.197260139338411</v>
      </c>
      <c r="AB194" s="346">
        <f t="shared" si="73"/>
        <v>-75.225006030473878</v>
      </c>
      <c r="AD194">
        <f t="shared" si="77"/>
        <v>0</v>
      </c>
      <c r="AE194">
        <f t="shared" si="80"/>
        <v>0</v>
      </c>
    </row>
    <row r="195" spans="1:31" x14ac:dyDescent="0.25">
      <c r="A195" s="347">
        <v>11028.75</v>
      </c>
      <c r="B195" s="364">
        <f t="shared" si="74"/>
        <v>11.02875</v>
      </c>
      <c r="C195" s="337">
        <f t="shared" si="53"/>
        <v>2.687762003237216</v>
      </c>
      <c r="D195" s="338">
        <f t="shared" si="54"/>
        <v>1.1895724616678838</v>
      </c>
      <c r="E195" s="338">
        <f t="shared" si="55"/>
        <v>1.0001382849066327</v>
      </c>
      <c r="F195" s="339">
        <f t="shared" si="56"/>
        <v>1.6629430111509035E-2</v>
      </c>
      <c r="G195" s="338">
        <f t="shared" si="57"/>
        <v>1</v>
      </c>
      <c r="H195" s="339">
        <f t="shared" si="58"/>
        <v>0</v>
      </c>
      <c r="I195" s="337">
        <f t="shared" si="59"/>
        <v>6654.100411446605</v>
      </c>
      <c r="J195" s="340">
        <f t="shared" si="60"/>
        <v>1.5706460435196332</v>
      </c>
      <c r="K195" s="348">
        <f t="shared" si="81"/>
        <v>1.9853106831487439</v>
      </c>
      <c r="L195" s="349">
        <f t="shared" si="82"/>
        <v>1.0429204416924016</v>
      </c>
      <c r="M195" s="337">
        <f t="shared" si="63"/>
        <v>1.0050911796114408</v>
      </c>
      <c r="N195" s="340">
        <f t="shared" si="64"/>
        <v>0.10069431907400156</v>
      </c>
      <c r="O195" s="341">
        <f t="shared" si="65"/>
        <v>1.0001162655449842</v>
      </c>
      <c r="P195" s="342">
        <f t="shared" si="66"/>
        <v>0.14272141219640636</v>
      </c>
      <c r="Q195" s="343">
        <f t="shared" si="67"/>
        <v>16.072065742806981</v>
      </c>
      <c r="R195" s="344">
        <f t="shared" si="68"/>
        <v>-111.38782923932627</v>
      </c>
      <c r="S195" s="346">
        <f t="shared" si="69"/>
        <v>68.612170760673735</v>
      </c>
      <c r="U195" s="319">
        <f t="shared" si="75"/>
        <v>1000000000</v>
      </c>
      <c r="V195" s="319">
        <f t="shared" si="76"/>
        <v>121633326.5625</v>
      </c>
      <c r="X195" s="345">
        <f t="shared" si="70"/>
        <v>27.157897753708774</v>
      </c>
      <c r="Y195" s="346">
        <f t="shared" si="71"/>
        <v>-36.005809270728321</v>
      </c>
      <c r="AA195" s="345">
        <f t="shared" si="72"/>
        <v>51.153909323488179</v>
      </c>
      <c r="AB195" s="346">
        <f t="shared" si="73"/>
        <v>-75.382019968597959</v>
      </c>
      <c r="AD195">
        <f t="shared" si="77"/>
        <v>0</v>
      </c>
      <c r="AE195">
        <f t="shared" si="80"/>
        <v>0</v>
      </c>
    </row>
    <row r="196" spans="1:31" x14ac:dyDescent="0.25">
      <c r="A196" s="347">
        <v>11092.5</v>
      </c>
      <c r="B196" s="364">
        <f t="shared" si="74"/>
        <v>11.092499999999999</v>
      </c>
      <c r="C196" s="337">
        <f t="shared" si="53"/>
        <v>2.7011529114295887</v>
      </c>
      <c r="D196" s="338">
        <f t="shared" si="54"/>
        <v>1.1915587909619503</v>
      </c>
      <c r="E196" s="338">
        <f t="shared" si="55"/>
        <v>1.0001398880843806</v>
      </c>
      <c r="F196" s="339">
        <f t="shared" si="56"/>
        <v>1.6725536110794633E-2</v>
      </c>
      <c r="G196" s="338">
        <f t="shared" si="57"/>
        <v>1</v>
      </c>
      <c r="H196" s="339">
        <f t="shared" si="58"/>
        <v>0</v>
      </c>
      <c r="I196" s="337">
        <f t="shared" si="59"/>
        <v>6692.5634187390624</v>
      </c>
      <c r="J196" s="340">
        <f t="shared" si="60"/>
        <v>1.5706469072166045</v>
      </c>
      <c r="K196" s="348">
        <f t="shared" si="81"/>
        <v>1.9938811625867032</v>
      </c>
      <c r="L196" s="349">
        <f t="shared" si="82"/>
        <v>1.0454248663112993</v>
      </c>
      <c r="M196" s="337">
        <f t="shared" si="63"/>
        <v>1.0051500560642173</v>
      </c>
      <c r="N196" s="340">
        <f t="shared" si="64"/>
        <v>0.10127240690945367</v>
      </c>
      <c r="O196" s="341">
        <f t="shared" si="65"/>
        <v>1.0001182059722851</v>
      </c>
      <c r="P196" s="342">
        <f t="shared" si="66"/>
        <v>0.14355180814552493</v>
      </c>
      <c r="Q196" s="343">
        <f t="shared" si="67"/>
        <v>16.015739735581114</v>
      </c>
      <c r="R196" s="344">
        <f t="shared" si="68"/>
        <v>-111.43338775829486</v>
      </c>
      <c r="S196" s="346">
        <f t="shared" si="69"/>
        <v>68.566612241705144</v>
      </c>
      <c r="U196" s="319">
        <f t="shared" si="75"/>
        <v>1000000000</v>
      </c>
      <c r="V196" s="319">
        <f t="shared" si="76"/>
        <v>123043556.25</v>
      </c>
      <c r="X196" s="345">
        <f t="shared" si="70"/>
        <v>27.144741878041955</v>
      </c>
      <c r="Y196" s="346">
        <f t="shared" si="71"/>
        <v>-35.89548778918126</v>
      </c>
      <c r="AA196" s="345">
        <f t="shared" si="72"/>
        <v>51.110739191929142</v>
      </c>
      <c r="AB196" s="346">
        <f t="shared" si="73"/>
        <v>-75.537899969113596</v>
      </c>
      <c r="AD196">
        <f t="shared" si="77"/>
        <v>0</v>
      </c>
      <c r="AE196">
        <f t="shared" si="80"/>
        <v>0</v>
      </c>
    </row>
    <row r="197" spans="1:31" x14ac:dyDescent="0.25">
      <c r="A197" s="347">
        <v>11156.25</v>
      </c>
      <c r="B197" s="364">
        <f t="shared" si="74"/>
        <v>11.15625</v>
      </c>
      <c r="C197" s="337">
        <f t="shared" si="53"/>
        <v>2.7145543718612681</v>
      </c>
      <c r="D197" s="338">
        <f t="shared" si="54"/>
        <v>1.193525515367581</v>
      </c>
      <c r="E197" s="338">
        <f t="shared" si="55"/>
        <v>1.0001415004997538</v>
      </c>
      <c r="F197" s="339">
        <f t="shared" si="56"/>
        <v>1.6821641801086161E-2</v>
      </c>
      <c r="G197" s="338">
        <f t="shared" si="57"/>
        <v>1</v>
      </c>
      <c r="H197" s="339">
        <f t="shared" si="58"/>
        <v>0</v>
      </c>
      <c r="I197" s="337">
        <f t="shared" si="59"/>
        <v>6731.0264260364547</v>
      </c>
      <c r="J197" s="340">
        <f t="shared" si="60"/>
        <v>1.5706477610427536</v>
      </c>
      <c r="K197" s="348">
        <f t="shared" si="81"/>
        <v>2.0024640408365237</v>
      </c>
      <c r="L197" s="349">
        <f t="shared" si="82"/>
        <v>1.0479078376710727</v>
      </c>
      <c r="M197" s="337">
        <f t="shared" si="63"/>
        <v>1.0052092683841991</v>
      </c>
      <c r="N197" s="340">
        <f t="shared" si="64"/>
        <v>0.10185042683298656</v>
      </c>
      <c r="O197" s="341">
        <f t="shared" si="65"/>
        <v>1.0001201712792378</v>
      </c>
      <c r="P197" s="342">
        <f t="shared" si="66"/>
        <v>0.14438229693969584</v>
      </c>
      <c r="Q197" s="343">
        <f t="shared" si="67"/>
        <v>15.95977062066294</v>
      </c>
      <c r="R197" s="344">
        <f t="shared" si="68"/>
        <v>-111.47905306181384</v>
      </c>
      <c r="S197" s="346">
        <f t="shared" si="69"/>
        <v>68.520946938186157</v>
      </c>
      <c r="U197" s="319">
        <f t="shared" si="75"/>
        <v>1000000000</v>
      </c>
      <c r="V197" s="319">
        <f t="shared" si="76"/>
        <v>124461914.0625</v>
      </c>
      <c r="X197" s="345">
        <f t="shared" si="70"/>
        <v>27.131763322872921</v>
      </c>
      <c r="Y197" s="346">
        <f t="shared" si="71"/>
        <v>-35.786391032217409</v>
      </c>
      <c r="AA197" s="345">
        <f t="shared" si="72"/>
        <v>51.067748632179999</v>
      </c>
      <c r="AB197" s="346">
        <f t="shared" si="73"/>
        <v>-75.692662029596448</v>
      </c>
      <c r="AD197">
        <f t="shared" si="77"/>
        <v>0</v>
      </c>
      <c r="AE197">
        <f t="shared" si="80"/>
        <v>0</v>
      </c>
    </row>
    <row r="198" spans="1:31" x14ac:dyDescent="0.25">
      <c r="A198" s="347">
        <v>11220</v>
      </c>
      <c r="B198" s="364">
        <f t="shared" si="74"/>
        <v>11.22</v>
      </c>
      <c r="C198" s="337">
        <f t="shared" si="53"/>
        <v>2.727966229014847</v>
      </c>
      <c r="D198" s="338">
        <f t="shared" si="54"/>
        <v>1.1954729087153255</v>
      </c>
      <c r="E198" s="338">
        <f t="shared" si="55"/>
        <v>1.0001431221527077</v>
      </c>
      <c r="F198" s="339">
        <f t="shared" si="56"/>
        <v>1.6917747180609798E-2</v>
      </c>
      <c r="G198" s="338">
        <f t="shared" si="57"/>
        <v>1</v>
      </c>
      <c r="H198" s="339">
        <f t="shared" si="58"/>
        <v>0</v>
      </c>
      <c r="I198" s="337">
        <f t="shared" si="59"/>
        <v>6769.4894333386992</v>
      </c>
      <c r="J198" s="340">
        <f t="shared" si="60"/>
        <v>1.5706486051663331</v>
      </c>
      <c r="K198" s="348">
        <f t="shared" si="81"/>
        <v>2.0110591591497839</v>
      </c>
      <c r="L198" s="349">
        <f t="shared" si="82"/>
        <v>1.0503696000277079</v>
      </c>
      <c r="M198" s="337">
        <f t="shared" si="63"/>
        <v>1.0052688165120365</v>
      </c>
      <c r="N198" s="340">
        <f t="shared" si="64"/>
        <v>0.1024283784703939</v>
      </c>
      <c r="O198" s="341">
        <f t="shared" si="65"/>
        <v>1.0001221617018921</v>
      </c>
      <c r="P198" s="342">
        <f t="shared" si="66"/>
        <v>0.14521287908889483</v>
      </c>
      <c r="Q198" s="343">
        <f t="shared" si="67"/>
        <v>15.904154015940859</v>
      </c>
      <c r="R198" s="344">
        <f t="shared" si="68"/>
        <v>-111.52482686190181</v>
      </c>
      <c r="S198" s="346">
        <f t="shared" si="69"/>
        <v>68.475173138098185</v>
      </c>
      <c r="U198" s="319">
        <f t="shared" si="75"/>
        <v>1000000000</v>
      </c>
      <c r="V198" s="319">
        <f t="shared" si="76"/>
        <v>125888400</v>
      </c>
      <c r="X198" s="345">
        <f t="shared" si="70"/>
        <v>27.118958816306989</v>
      </c>
      <c r="Y198" s="346">
        <f t="shared" si="71"/>
        <v>-35.678504993199368</v>
      </c>
      <c r="AA198" s="345">
        <f t="shared" si="72"/>
        <v>51.024936534023844</v>
      </c>
      <c r="AB198" s="346">
        <f t="shared" si="73"/>
        <v>-75.846321868702447</v>
      </c>
      <c r="AD198">
        <f t="shared" si="77"/>
        <v>0</v>
      </c>
      <c r="AE198">
        <f t="shared" si="80"/>
        <v>0</v>
      </c>
    </row>
    <row r="199" spans="1:31" x14ac:dyDescent="0.25">
      <c r="A199" s="347">
        <v>11285.5</v>
      </c>
      <c r="B199" s="364">
        <f t="shared" si="74"/>
        <v>11.285500000000001</v>
      </c>
      <c r="C199" s="337">
        <f t="shared" si="53"/>
        <v>2.7417569231677947</v>
      </c>
      <c r="D199" s="338">
        <f t="shared" si="54"/>
        <v>1.1974539083647924</v>
      </c>
      <c r="E199" s="338">
        <f t="shared" si="55"/>
        <v>1.0001447979430105</v>
      </c>
      <c r="F199" s="339">
        <f t="shared" si="56"/>
        <v>1.7016490421476613E-2</v>
      </c>
      <c r="G199" s="338">
        <f t="shared" si="57"/>
        <v>1</v>
      </c>
      <c r="H199" s="339">
        <f t="shared" si="58"/>
        <v>0</v>
      </c>
      <c r="I199" s="337">
        <f t="shared" si="59"/>
        <v>6809.0082879051879</v>
      </c>
      <c r="J199" s="340">
        <f t="shared" si="60"/>
        <v>1.5706494625290135</v>
      </c>
      <c r="K199" s="348">
        <f t="shared" si="81"/>
        <v>2.0199028063293527</v>
      </c>
      <c r="L199" s="349">
        <f t="shared" si="82"/>
        <v>1.0528771032932362</v>
      </c>
      <c r="M199" s="337">
        <f t="shared" si="63"/>
        <v>1.0053303489934038</v>
      </c>
      <c r="N199" s="340">
        <f t="shared" si="64"/>
        <v>0.1030221239301959</v>
      </c>
      <c r="O199" s="341">
        <f t="shared" si="65"/>
        <v>1.0001242331724771</v>
      </c>
      <c r="P199" s="342">
        <f t="shared" si="66"/>
        <v>0.14606635930220802</v>
      </c>
      <c r="Q199" s="343">
        <f t="shared" si="67"/>
        <v>15.847373311057355</v>
      </c>
      <c r="R199" s="344">
        <f t="shared" si="68"/>
        <v>-111.57197190223546</v>
      </c>
      <c r="S199" s="346">
        <f t="shared" si="69"/>
        <v>68.428028097764539</v>
      </c>
      <c r="U199" s="319">
        <f t="shared" si="75"/>
        <v>1000000000</v>
      </c>
      <c r="V199" s="319">
        <f t="shared" si="76"/>
        <v>127362510.25</v>
      </c>
      <c r="X199" s="345">
        <f t="shared" si="70"/>
        <v>27.105980730629973</v>
      </c>
      <c r="Y199" s="346">
        <f t="shared" si="71"/>
        <v>-35.568903871058886</v>
      </c>
      <c r="AA199" s="345">
        <f t="shared" si="72"/>
        <v>50.981133914817356</v>
      </c>
      <c r="AB199" s="346">
        <f t="shared" si="73"/>
        <v>-76.003068031176554</v>
      </c>
      <c r="AD199">
        <f t="shared" si="77"/>
        <v>0</v>
      </c>
      <c r="AE199">
        <f t="shared" si="80"/>
        <v>0</v>
      </c>
    </row>
    <row r="200" spans="1:31" x14ac:dyDescent="0.25">
      <c r="A200" s="347">
        <v>11351</v>
      </c>
      <c r="B200" s="364">
        <f t="shared" si="74"/>
        <v>11.351000000000001</v>
      </c>
      <c r="C200" s="337">
        <f t="shared" si="53"/>
        <v>2.7555582692392231</v>
      </c>
      <c r="D200" s="338">
        <f t="shared" si="54"/>
        <v>1.1994150717825041</v>
      </c>
      <c r="E200" s="338">
        <f t="shared" si="55"/>
        <v>1.0001464834849199</v>
      </c>
      <c r="F200" s="339">
        <f t="shared" si="56"/>
        <v>1.7115233330483197E-2</v>
      </c>
      <c r="G200" s="338">
        <f t="shared" si="57"/>
        <v>1</v>
      </c>
      <c r="H200" s="339">
        <f t="shared" si="58"/>
        <v>0</v>
      </c>
      <c r="I200" s="337">
        <f t="shared" si="59"/>
        <v>6848.5271424766233</v>
      </c>
      <c r="J200" s="340">
        <f t="shared" si="60"/>
        <v>1.5706503099970144</v>
      </c>
      <c r="K200" s="348">
        <f t="shared" si="81"/>
        <v>2.0287590430234914</v>
      </c>
      <c r="L200" s="349">
        <f t="shared" si="82"/>
        <v>1.0553627298314265</v>
      </c>
      <c r="M200" s="337">
        <f t="shared" si="63"/>
        <v>1.0053922358441147</v>
      </c>
      <c r="N200" s="340">
        <f t="shared" si="64"/>
        <v>0.10361579650334325</v>
      </c>
      <c r="O200" s="341">
        <f t="shared" si="65"/>
        <v>1.0001263316661861</v>
      </c>
      <c r="P200" s="342">
        <f t="shared" si="66"/>
        <v>0.14691993915642301</v>
      </c>
      <c r="Q200" s="343">
        <f t="shared" si="67"/>
        <v>15.790955593968373</v>
      </c>
      <c r="R200" s="344">
        <f t="shared" si="68"/>
        <v>-111.6192348393505</v>
      </c>
      <c r="S200" s="346">
        <f t="shared" si="69"/>
        <v>68.380765160649503</v>
      </c>
      <c r="U200" s="319">
        <f t="shared" si="75"/>
        <v>1000000000</v>
      </c>
      <c r="V200" s="319">
        <f t="shared" si="76"/>
        <v>128845201</v>
      </c>
      <c r="X200" s="345">
        <f t="shared" si="70"/>
        <v>27.093179606409734</v>
      </c>
      <c r="Y200" s="346">
        <f t="shared" si="71"/>
        <v>-35.460551450044804</v>
      </c>
      <c r="AA200" s="345">
        <f t="shared" si="72"/>
        <v>50.937517321948619</v>
      </c>
      <c r="AB200" s="346">
        <f t="shared" si="73"/>
        <v>-76.158683389305708</v>
      </c>
      <c r="AD200">
        <f t="shared" si="77"/>
        <v>0</v>
      </c>
      <c r="AE200">
        <f t="shared" si="80"/>
        <v>0</v>
      </c>
    </row>
    <row r="201" spans="1:31" x14ac:dyDescent="0.25">
      <c r="A201" s="347">
        <v>11416.5</v>
      </c>
      <c r="B201" s="364">
        <f t="shared" si="74"/>
        <v>11.416499999999999</v>
      </c>
      <c r="C201" s="337">
        <f t="shared" si="53"/>
        <v>2.7693701079754356</v>
      </c>
      <c r="D201" s="338">
        <f t="shared" si="54"/>
        <v>1.2013566805599281</v>
      </c>
      <c r="E201" s="338">
        <f t="shared" si="55"/>
        <v>1.0001481787783864</v>
      </c>
      <c r="F201" s="339">
        <f t="shared" si="56"/>
        <v>1.7213975905705722E-2</v>
      </c>
      <c r="G201" s="338">
        <f t="shared" si="57"/>
        <v>1</v>
      </c>
      <c r="H201" s="339">
        <f t="shared" si="58"/>
        <v>0</v>
      </c>
      <c r="I201" s="337">
        <f t="shared" si="59"/>
        <v>6888.0459970529209</v>
      </c>
      <c r="J201" s="340">
        <f t="shared" si="60"/>
        <v>1.5706511477406422</v>
      </c>
      <c r="K201" s="348">
        <f t="shared" si="81"/>
        <v>2.0376277050770173</v>
      </c>
      <c r="L201" s="349">
        <f t="shared" si="82"/>
        <v>1.0578267343784367</v>
      </c>
      <c r="M201" s="337">
        <f t="shared" si="63"/>
        <v>1.0054544769987339</v>
      </c>
      <c r="N201" s="340">
        <f t="shared" si="64"/>
        <v>0.10420939578485715</v>
      </c>
      <c r="O201" s="341">
        <f t="shared" si="65"/>
        <v>1.000128457443499</v>
      </c>
      <c r="P201" s="342">
        <f t="shared" si="66"/>
        <v>0.1477736192033044</v>
      </c>
      <c r="Q201" s="343">
        <f t="shared" si="67"/>
        <v>15.734896349732921</v>
      </c>
      <c r="R201" s="344">
        <f t="shared" si="68"/>
        <v>-111.66661723022115</v>
      </c>
      <c r="S201" s="346">
        <f t="shared" si="69"/>
        <v>68.333382769778851</v>
      </c>
      <c r="U201" s="319">
        <f t="shared" si="75"/>
        <v>1000000000</v>
      </c>
      <c r="V201" s="319">
        <f t="shared" si="76"/>
        <v>130336472.25</v>
      </c>
      <c r="X201" s="345">
        <f t="shared" si="70"/>
        <v>27.080552123605031</v>
      </c>
      <c r="Y201" s="346">
        <f t="shared" si="71"/>
        <v>-35.353433121404606</v>
      </c>
      <c r="AA201" s="345">
        <f t="shared" si="72"/>
        <v>50.894085560517865</v>
      </c>
      <c r="AB201" s="346">
        <f t="shared" si="73"/>
        <v>-76.313184108816515</v>
      </c>
      <c r="AD201">
        <f t="shared" si="77"/>
        <v>0</v>
      </c>
      <c r="AE201">
        <f t="shared" si="80"/>
        <v>0</v>
      </c>
    </row>
    <row r="202" spans="1:31" x14ac:dyDescent="0.25">
      <c r="A202" s="347">
        <v>11482</v>
      </c>
      <c r="B202" s="364">
        <f t="shared" si="74"/>
        <v>11.481999999999999</v>
      </c>
      <c r="C202" s="337">
        <f t="shared" si="53"/>
        <v>2.7831922831640949</v>
      </c>
      <c r="D202" s="338">
        <f t="shared" si="54"/>
        <v>1.2032790112907941</v>
      </c>
      <c r="E202" s="338">
        <f t="shared" si="55"/>
        <v>1.0001498838233609</v>
      </c>
      <c r="F202" s="339">
        <f t="shared" si="56"/>
        <v>1.7312718145220386E-2</v>
      </c>
      <c r="G202" s="338">
        <f t="shared" si="57"/>
        <v>1</v>
      </c>
      <c r="H202" s="339">
        <f t="shared" si="58"/>
        <v>0</v>
      </c>
      <c r="I202" s="337">
        <f t="shared" si="59"/>
        <v>6927.564851633997</v>
      </c>
      <c r="J202" s="340">
        <f t="shared" si="60"/>
        <v>1.5706519759263173</v>
      </c>
      <c r="K202" s="348">
        <f t="shared" si="81"/>
        <v>2.0465086309519229</v>
      </c>
      <c r="L202" s="349">
        <f t="shared" si="82"/>
        <v>1.0602693683081605</v>
      </c>
      <c r="M202" s="337">
        <f t="shared" si="63"/>
        <v>1.0055170723914677</v>
      </c>
      <c r="N202" s="340">
        <f t="shared" si="64"/>
        <v>0.10480292137006537</v>
      </c>
      <c r="O202" s="341">
        <f t="shared" si="65"/>
        <v>1.0001306107663999</v>
      </c>
      <c r="P202" s="342">
        <f t="shared" si="66"/>
        <v>0.14862739999414704</v>
      </c>
      <c r="Q202" s="343">
        <f t="shared" si="67"/>
        <v>15.679191140514526</v>
      </c>
      <c r="R202" s="344">
        <f t="shared" si="68"/>
        <v>-111.71412053788377</v>
      </c>
      <c r="S202" s="346">
        <f t="shared" si="69"/>
        <v>68.285879462116228</v>
      </c>
      <c r="U202" s="319">
        <f t="shared" si="75"/>
        <v>1000000000</v>
      </c>
      <c r="V202" s="319">
        <f t="shared" si="76"/>
        <v>131836324</v>
      </c>
      <c r="X202" s="345">
        <f t="shared" si="70"/>
        <v>27.068095035584442</v>
      </c>
      <c r="Y202" s="346">
        <f t="shared" si="71"/>
        <v>-35.24753446882427</v>
      </c>
      <c r="AA202" s="345">
        <f t="shared" si="72"/>
        <v>50.850837439320067</v>
      </c>
      <c r="AB202" s="346">
        <f t="shared" si="73"/>
        <v>-76.466586069059488</v>
      </c>
      <c r="AD202">
        <f t="shared" si="77"/>
        <v>0</v>
      </c>
      <c r="AE202">
        <f t="shared" si="80"/>
        <v>0</v>
      </c>
    </row>
    <row r="203" spans="1:31" x14ac:dyDescent="0.25">
      <c r="A203" s="347">
        <v>11548.75</v>
      </c>
      <c r="B203" s="364">
        <f t="shared" si="74"/>
        <v>11.54875</v>
      </c>
      <c r="C203" s="337">
        <f t="shared" si="53"/>
        <v>2.7972887159042363</v>
      </c>
      <c r="D203" s="338">
        <f t="shared" si="54"/>
        <v>1.2052184755929034</v>
      </c>
      <c r="E203" s="338">
        <f t="shared" si="55"/>
        <v>1.0001516314397398</v>
      </c>
      <c r="F203" s="339">
        <f t="shared" si="56"/>
        <v>1.7413344431248208E-2</v>
      </c>
      <c r="G203" s="338">
        <f t="shared" si="57"/>
        <v>1</v>
      </c>
      <c r="H203" s="339">
        <f t="shared" si="58"/>
        <v>0</v>
      </c>
      <c r="I203" s="337">
        <f t="shared" si="59"/>
        <v>6967.8378828340492</v>
      </c>
      <c r="J203" s="340">
        <f t="shared" si="60"/>
        <v>1.57065281025214</v>
      </c>
      <c r="K203" s="348">
        <f t="shared" si="81"/>
        <v>2.0555714926882489</v>
      </c>
      <c r="L203" s="349">
        <f t="shared" si="82"/>
        <v>1.0627368879316488</v>
      </c>
      <c r="M203" s="337">
        <f t="shared" si="63"/>
        <v>1.0055812267272974</v>
      </c>
      <c r="N203" s="340">
        <f t="shared" si="64"/>
        <v>0.1054076975414082</v>
      </c>
      <c r="O203" s="341">
        <f t="shared" si="65"/>
        <v>1.0001328337951825</v>
      </c>
      <c r="P203" s="342">
        <f t="shared" si="66"/>
        <v>0.14949757852802409</v>
      </c>
      <c r="Q203" s="343">
        <f t="shared" si="67"/>
        <v>15.622782572663693</v>
      </c>
      <c r="R203" s="344">
        <f t="shared" si="68"/>
        <v>-111.76265621810772</v>
      </c>
      <c r="S203" s="346">
        <f t="shared" si="69"/>
        <v>68.237343781892278</v>
      </c>
      <c r="U203" s="319">
        <f t="shared" si="75"/>
        <v>1000000000</v>
      </c>
      <c r="V203" s="319">
        <f t="shared" si="76"/>
        <v>133373626.5625</v>
      </c>
      <c r="X203" s="345">
        <f t="shared" si="70"/>
        <v>27.055572233410608</v>
      </c>
      <c r="Y203" s="346">
        <f t="shared" si="71"/>
        <v>-35.140854933927187</v>
      </c>
      <c r="AA203" s="345">
        <f t="shared" si="72"/>
        <v>50.806951673643056</v>
      </c>
      <c r="AB203" s="346">
        <f t="shared" si="73"/>
        <v>-76.621801284180563</v>
      </c>
      <c r="AD203">
        <f t="shared" si="77"/>
        <v>0</v>
      </c>
      <c r="AE203">
        <f t="shared" si="80"/>
        <v>0</v>
      </c>
    </row>
    <row r="204" spans="1:31" x14ac:dyDescent="0.25">
      <c r="A204" s="347">
        <v>11615.5</v>
      </c>
      <c r="B204" s="364">
        <f t="shared" si="74"/>
        <v>11.615500000000001</v>
      </c>
      <c r="C204" s="337">
        <f t="shared" si="53"/>
        <v>2.8113955651678966</v>
      </c>
      <c r="D204" s="338">
        <f t="shared" si="54"/>
        <v>1.2071384836054455</v>
      </c>
      <c r="E204" s="338">
        <f t="shared" si="55"/>
        <v>1.0001533891832679</v>
      </c>
      <c r="F204" s="339">
        <f t="shared" si="56"/>
        <v>1.7513970364598772E-2</v>
      </c>
      <c r="G204" s="338">
        <f t="shared" si="57"/>
        <v>1</v>
      </c>
      <c r="H204" s="339">
        <f t="shared" si="58"/>
        <v>0</v>
      </c>
      <c r="I204" s="337">
        <f t="shared" si="59"/>
        <v>7008.1109140388953</v>
      </c>
      <c r="J204" s="340">
        <f t="shared" si="60"/>
        <v>1.5706536349888365</v>
      </c>
      <c r="K204" s="348">
        <f t="shared" si="81"/>
        <v>2.0646467601659304</v>
      </c>
      <c r="L204" s="349">
        <f t="shared" si="82"/>
        <v>1.0651827301039263</v>
      </c>
      <c r="M204" s="337">
        <f t="shared" si="63"/>
        <v>1.0056457488116972</v>
      </c>
      <c r="N204" s="340">
        <f t="shared" si="64"/>
        <v>0.10601239632919689</v>
      </c>
      <c r="O204" s="341">
        <f t="shared" si="65"/>
        <v>1.0001350859850582</v>
      </c>
      <c r="P204" s="342">
        <f t="shared" si="66"/>
        <v>0.15036786284224304</v>
      </c>
      <c r="Q204" s="343">
        <f t="shared" si="67"/>
        <v>15.566732613439475</v>
      </c>
      <c r="R204" s="344">
        <f t="shared" si="68"/>
        <v>-111.81132025932622</v>
      </c>
      <c r="S204" s="346">
        <f t="shared" si="69"/>
        <v>68.188679740673777</v>
      </c>
      <c r="U204" s="319">
        <f t="shared" si="75"/>
        <v>1000000000</v>
      </c>
      <c r="V204" s="319">
        <f t="shared" si="76"/>
        <v>134919840.25</v>
      </c>
      <c r="X204" s="345">
        <f t="shared" si="70"/>
        <v>27.043219808614509</v>
      </c>
      <c r="Y204" s="346">
        <f t="shared" si="71"/>
        <v>-35.035412442328969</v>
      </c>
      <c r="AA204" s="345">
        <f t="shared" si="72"/>
        <v>50.763254139214943</v>
      </c>
      <c r="AB204" s="346">
        <f t="shared" si="73"/>
        <v>-76.775907816997261</v>
      </c>
      <c r="AD204">
        <f t="shared" si="77"/>
        <v>0</v>
      </c>
      <c r="AE204">
        <f t="shared" si="80"/>
        <v>0</v>
      </c>
    </row>
    <row r="205" spans="1:31" x14ac:dyDescent="0.25">
      <c r="A205" s="347">
        <v>11682.25</v>
      </c>
      <c r="B205" s="364">
        <f t="shared" si="74"/>
        <v>11.68225</v>
      </c>
      <c r="C205" s="337">
        <f t="shared" ref="C205:C268" si="83">SQRT(1+(A205/pole1)^2)</f>
        <v>2.8255126749363195</v>
      </c>
      <c r="D205" s="338">
        <f t="shared" ref="D205:D268" si="84">ATAN(A205/pole1)</f>
        <v>1.2090393126939065</v>
      </c>
      <c r="E205" s="338">
        <f t="shared" ref="E205:E268" si="85">SQRT(1+(A205/Zero1)^2)</f>
        <v>1.000155157053892</v>
      </c>
      <c r="F205" s="339">
        <f t="shared" ref="F205:F268" si="86">ATAN(A205/Zero1)</f>
        <v>1.761459594323616E-2</v>
      </c>
      <c r="G205" s="338">
        <f t="shared" ref="G205:G268" si="87">IF(VIN_nom&gt;Vout, 1, SQRT(1+(A205/z_RHP)^2))</f>
        <v>1</v>
      </c>
      <c r="H205" s="339">
        <f t="shared" ref="H205:H268" si="88">IF(VIN_nom&gt;Vout, 0, -ATAN(A205/z_RHP))</f>
        <v>0</v>
      </c>
      <c r="I205" s="337">
        <f t="shared" ref="I205:I268" si="89">SQRT(1+(A205/Pole2)^2)</f>
        <v>7048.3839452484535</v>
      </c>
      <c r="J205" s="340">
        <f t="shared" ref="J205:J268" si="90">ATAN(A205/Pole2)</f>
        <v>1.5706544503007778</v>
      </c>
      <c r="K205" s="348">
        <f t="shared" si="81"/>
        <v>2.0737342705115211</v>
      </c>
      <c r="L205" s="349">
        <f t="shared" si="82"/>
        <v>1.0676071503534341</v>
      </c>
      <c r="M205" s="337">
        <f t="shared" ref="M205:M268" si="91">SQRT(1+(A205/pole4)^2)</f>
        <v>1.005710638573887</v>
      </c>
      <c r="N205" s="340">
        <f t="shared" ref="N205:N268" si="92">ATAN(A205/pole4)</f>
        <v>0.10661701730613887</v>
      </c>
      <c r="O205" s="341">
        <f t="shared" ref="O205:O268" si="93">SQRT((1-(V205/pterm2))^2+(A205/pterm1)^2)</f>
        <v>1.0001373676181187</v>
      </c>
      <c r="P205" s="342">
        <f t="shared" ref="P205:P268" si="94">IF((ATAN((A205/pterm1)/(1-A205^2/pterm2))&gt;0),ATAN((A205/pterm1)/(1-A205^2/pterm2)),PI()+ATAN((A205/pterm1)/(1-A205^2/pterm2)))</f>
        <v>0.15123825351874329</v>
      </c>
      <c r="Q205" s="343">
        <f t="shared" ref="Q205:Q268" si="95">20*LOG10(((E205*K205*G205)/(C205*I205*O205*M205))*Adc)</f>
        <v>15.51103680295267</v>
      </c>
      <c r="R205" s="344">
        <f t="shared" ref="R205:R268" si="96">((F205+L205+H205)-(D205+J205+P205+N205))*radconv</f>
        <v>-111.86011393110472</v>
      </c>
      <c r="S205" s="346">
        <f t="shared" ref="S205:S268" si="97">IF(R205&gt;0,R205,R205+180)</f>
        <v>68.139886068895279</v>
      </c>
      <c r="U205" s="319">
        <f t="shared" si="75"/>
        <v>1000000000</v>
      </c>
      <c r="V205" s="319">
        <f t="shared" si="76"/>
        <v>136474965.0625</v>
      </c>
      <c r="X205" s="345">
        <f t="shared" ref="X205:X268" si="98">20*LOG10((K205/(I205*M205))*AEA)</f>
        <v>27.031034548580877</v>
      </c>
      <c r="Y205" s="346">
        <f t="shared" ref="Y205:Y268" si="99">(L205-(J205+N205))*radconv</f>
        <v>-34.931192338264111</v>
      </c>
      <c r="AA205" s="345">
        <f t="shared" ref="AA205:AA268" si="100">20*LOG10((E205*G205/(C205*O205))*Acs*Am)</f>
        <v>50.719743588761773</v>
      </c>
      <c r="AB205" s="346">
        <f t="shared" ref="AB205:AB268" si="101">(F205+H205-(D205+P205))*radconv</f>
        <v>-76.928921592840638</v>
      </c>
      <c r="AD205">
        <f t="shared" si="77"/>
        <v>0</v>
      </c>
      <c r="AE205">
        <f t="shared" si="80"/>
        <v>0</v>
      </c>
    </row>
    <row r="206" spans="1:31" x14ac:dyDescent="0.25">
      <c r="A206" s="347">
        <v>11749</v>
      </c>
      <c r="B206" s="364">
        <f t="shared" ref="B206:B269" si="102">A206/1000</f>
        <v>11.749000000000001</v>
      </c>
      <c r="C206" s="337">
        <f t="shared" si="83"/>
        <v>2.839639892180946</v>
      </c>
      <c r="D206" s="338">
        <f t="shared" si="84"/>
        <v>1.2109212352646019</v>
      </c>
      <c r="E206" s="338">
        <f t="shared" si="85"/>
        <v>1.0001569350515584</v>
      </c>
      <c r="F206" s="339">
        <f t="shared" si="86"/>
        <v>1.771522116512448E-2</v>
      </c>
      <c r="G206" s="338">
        <f t="shared" si="87"/>
        <v>1</v>
      </c>
      <c r="H206" s="339">
        <f t="shared" si="88"/>
        <v>0</v>
      </c>
      <c r="I206" s="337">
        <f t="shared" si="89"/>
        <v>7088.6569764626447</v>
      </c>
      <c r="J206" s="340">
        <f t="shared" si="90"/>
        <v>1.5706552563485996</v>
      </c>
      <c r="K206" s="348">
        <f t="shared" si="81"/>
        <v>2.0828338634762549</v>
      </c>
      <c r="L206" s="349">
        <f t="shared" si="82"/>
        <v>1.0700104007594986</v>
      </c>
      <c r="M206" s="337">
        <f t="shared" si="91"/>
        <v>1.0057758959427023</v>
      </c>
      <c r="N206" s="340">
        <f t="shared" si="92"/>
        <v>0.1072215600452792</v>
      </c>
      <c r="O206" s="341">
        <f t="shared" si="93"/>
        <v>1.000139678978077</v>
      </c>
      <c r="P206" s="342">
        <f t="shared" si="94"/>
        <v>0.15210875113894465</v>
      </c>
      <c r="Q206" s="343">
        <f t="shared" si="95"/>
        <v>15.455690757707398</v>
      </c>
      <c r="R206" s="344">
        <f t="shared" si="96"/>
        <v>-111.90903841626454</v>
      </c>
      <c r="S206" s="346">
        <f t="shared" si="97"/>
        <v>68.090961583735464</v>
      </c>
      <c r="U206" s="319">
        <f t="shared" ref="U206:U269" si="103">IF(Q206&lt;0,A206,1000000000)</f>
        <v>1000000000</v>
      </c>
      <c r="V206" s="319">
        <f t="shared" ref="V206:V269" si="104">A206^2</f>
        <v>138039001</v>
      </c>
      <c r="X206" s="345">
        <f t="shared" si="98"/>
        <v>27.019013312078201</v>
      </c>
      <c r="Y206" s="346">
        <f t="shared" si="99"/>
        <v>-34.828180163392105</v>
      </c>
      <c r="AA206" s="345">
        <f t="shared" si="100"/>
        <v>50.676418780019176</v>
      </c>
      <c r="AB206" s="346">
        <f t="shared" si="101"/>
        <v>-77.08085825287246</v>
      </c>
      <c r="AD206">
        <f t="shared" ref="AD206:AD269" si="105">SUM((Q207&lt;0)*(Q206&gt;0))*A206</f>
        <v>0</v>
      </c>
      <c r="AE206">
        <f t="shared" si="80"/>
        <v>0</v>
      </c>
    </row>
    <row r="207" spans="1:31" x14ac:dyDescent="0.25">
      <c r="A207" s="347">
        <v>11817.5</v>
      </c>
      <c r="B207" s="364">
        <f t="shared" si="102"/>
        <v>11.817500000000001</v>
      </c>
      <c r="C207" s="337">
        <f t="shared" si="83"/>
        <v>2.8541478369368645</v>
      </c>
      <c r="D207" s="338">
        <f t="shared" si="84"/>
        <v>1.2128331206607581</v>
      </c>
      <c r="E207" s="338">
        <f t="shared" si="85"/>
        <v>1.0001587701921164</v>
      </c>
      <c r="F207" s="339">
        <f t="shared" si="86"/>
        <v>1.7818484128408113E-2</v>
      </c>
      <c r="G207" s="338">
        <f t="shared" si="87"/>
        <v>1</v>
      </c>
      <c r="H207" s="339">
        <f t="shared" si="88"/>
        <v>0</v>
      </c>
      <c r="I207" s="337">
        <f t="shared" si="89"/>
        <v>7129.9858549418668</v>
      </c>
      <c r="J207" s="340">
        <f t="shared" si="90"/>
        <v>1.5706560740617743</v>
      </c>
      <c r="K207" s="348">
        <f t="shared" si="81"/>
        <v>2.0921844191378076</v>
      </c>
      <c r="L207" s="349">
        <f t="shared" si="82"/>
        <v>1.0724549088651847</v>
      </c>
      <c r="M207" s="337">
        <f t="shared" si="91"/>
        <v>1.005843246293227</v>
      </c>
      <c r="N207" s="340">
        <f t="shared" si="92"/>
        <v>0.10784187043065761</v>
      </c>
      <c r="O207" s="341">
        <f t="shared" si="93"/>
        <v>1.0001420821408942</v>
      </c>
      <c r="P207" s="342">
        <f t="shared" si="94"/>
        <v>0.15300218258945372</v>
      </c>
      <c r="Q207" s="343">
        <f t="shared" si="95"/>
        <v>15.399252814532563</v>
      </c>
      <c r="R207" s="344">
        <f t="shared" si="96"/>
        <v>-111.95938272099953</v>
      </c>
      <c r="S207" s="346">
        <f t="shared" si="97"/>
        <v>68.040617279000472</v>
      </c>
      <c r="U207" s="319">
        <f t="shared" si="103"/>
        <v>1000000000</v>
      </c>
      <c r="V207" s="319">
        <f t="shared" si="104"/>
        <v>139653306.25</v>
      </c>
      <c r="X207" s="345">
        <f t="shared" si="98"/>
        <v>27.006844221369253</v>
      </c>
      <c r="Y207" s="346">
        <f t="shared" si="99"/>
        <v>-34.723708184415472</v>
      </c>
      <c r="AA207" s="345">
        <f t="shared" si="100"/>
        <v>50.632149927553286</v>
      </c>
      <c r="AB207" s="346">
        <f t="shared" si="101"/>
        <v>-77.235674536584057</v>
      </c>
      <c r="AD207">
        <f t="shared" si="105"/>
        <v>0</v>
      </c>
      <c r="AE207">
        <f t="shared" si="80"/>
        <v>0</v>
      </c>
    </row>
    <row r="208" spans="1:31" x14ac:dyDescent="0.25">
      <c r="A208" s="347">
        <v>11886</v>
      </c>
      <c r="B208" s="364">
        <f t="shared" si="102"/>
        <v>11.885999999999999</v>
      </c>
      <c r="C208" s="337">
        <f t="shared" si="83"/>
        <v>2.8686661089285486</v>
      </c>
      <c r="D208" s="338">
        <f t="shared" si="84"/>
        <v>1.2147256608754287</v>
      </c>
      <c r="E208" s="338">
        <f t="shared" si="85"/>
        <v>1.0001606159975678</v>
      </c>
      <c r="F208" s="339">
        <f t="shared" si="86"/>
        <v>1.7921746711647386E-2</v>
      </c>
      <c r="G208" s="338">
        <f t="shared" si="87"/>
        <v>1</v>
      </c>
      <c r="H208" s="339">
        <f t="shared" si="88"/>
        <v>0</v>
      </c>
      <c r="I208" s="337">
        <f t="shared" si="89"/>
        <v>7171.3147334258001</v>
      </c>
      <c r="J208" s="340">
        <f t="shared" si="90"/>
        <v>1.5706568823498523</v>
      </c>
      <c r="K208" s="348">
        <f t="shared" si="81"/>
        <v>2.1015473656019572</v>
      </c>
      <c r="L208" s="349">
        <f t="shared" si="82"/>
        <v>1.0748776494874026</v>
      </c>
      <c r="M208" s="337">
        <f t="shared" si="91"/>
        <v>1.0059109836252049</v>
      </c>
      <c r="N208" s="340">
        <f t="shared" si="92"/>
        <v>0.10846209751214085</v>
      </c>
      <c r="O208" s="341">
        <f t="shared" si="93"/>
        <v>1.0001445172204009</v>
      </c>
      <c r="P208" s="342">
        <f t="shared" si="94"/>
        <v>0.153895727903677</v>
      </c>
      <c r="Q208" s="343">
        <f t="shared" si="95"/>
        <v>15.343174103092959</v>
      </c>
      <c r="R208" s="344">
        <f t="shared" si="96"/>
        <v>-112.00986704612031</v>
      </c>
      <c r="S208" s="346">
        <f t="shared" si="97"/>
        <v>67.990132953879694</v>
      </c>
      <c r="U208" s="319">
        <f t="shared" si="103"/>
        <v>1000000000</v>
      </c>
      <c r="V208" s="319">
        <f t="shared" si="104"/>
        <v>141276996</v>
      </c>
      <c r="X208" s="345">
        <f t="shared" si="98"/>
        <v>26.994841387416674</v>
      </c>
      <c r="Y208" s="346">
        <f t="shared" si="99"/>
        <v>-34.620478077393734</v>
      </c>
      <c r="AA208" s="345">
        <f t="shared" si="100"/>
        <v>50.588074050066261</v>
      </c>
      <c r="AB208" s="346">
        <f t="shared" si="101"/>
        <v>-77.389388968726564</v>
      </c>
      <c r="AD208">
        <f t="shared" si="105"/>
        <v>0</v>
      </c>
      <c r="AE208">
        <f t="shared" si="80"/>
        <v>0</v>
      </c>
    </row>
    <row r="209" spans="1:31" x14ac:dyDescent="0.25">
      <c r="A209" s="347">
        <v>11954.5</v>
      </c>
      <c r="B209" s="364">
        <f t="shared" si="102"/>
        <v>11.954499999999999</v>
      </c>
      <c r="C209" s="337">
        <f t="shared" si="83"/>
        <v>2.8831945521481979</v>
      </c>
      <c r="D209" s="338">
        <f t="shared" si="84"/>
        <v>1.2165991346898648</v>
      </c>
      <c r="E209" s="338">
        <f t="shared" si="85"/>
        <v>1.0001624724678533</v>
      </c>
      <c r="F209" s="339">
        <f t="shared" si="86"/>
        <v>1.8025008912642207E-2</v>
      </c>
      <c r="G209" s="338">
        <f t="shared" si="87"/>
        <v>1</v>
      </c>
      <c r="H209" s="339">
        <f t="shared" si="88"/>
        <v>0</v>
      </c>
      <c r="I209" s="337">
        <f t="shared" si="89"/>
        <v>7212.6436119143664</v>
      </c>
      <c r="J209" s="340">
        <f t="shared" si="90"/>
        <v>1.5706576813748523</v>
      </c>
      <c r="K209" s="348">
        <f t="shared" si="81"/>
        <v>2.110922537991383</v>
      </c>
      <c r="L209" s="349">
        <f t="shared" si="82"/>
        <v>1.0772788840199574</v>
      </c>
      <c r="M209" s="337">
        <f t="shared" si="91"/>
        <v>1.0059791078604643</v>
      </c>
      <c r="N209" s="340">
        <f t="shared" si="92"/>
        <v>0.10908224082942511</v>
      </c>
      <c r="O209" s="341">
        <f t="shared" si="93"/>
        <v>1.0001469845285407</v>
      </c>
      <c r="P209" s="342">
        <f t="shared" si="94"/>
        <v>0.15478938770824549</v>
      </c>
      <c r="Q209" s="343">
        <f t="shared" si="95"/>
        <v>15.287450126442581</v>
      </c>
      <c r="R209" s="344">
        <f t="shared" si="96"/>
        <v>-112.06049240679306</v>
      </c>
      <c r="S209" s="346">
        <f t="shared" si="97"/>
        <v>67.93950759320694</v>
      </c>
      <c r="U209" s="319">
        <f t="shared" si="103"/>
        <v>1000000000</v>
      </c>
      <c r="V209" s="319">
        <f t="shared" si="104"/>
        <v>142910070.25</v>
      </c>
      <c r="X209" s="345">
        <f t="shared" si="98"/>
        <v>26.983001637966012</v>
      </c>
      <c r="Y209" s="346">
        <f t="shared" si="99"/>
        <v>-34.518474848474575</v>
      </c>
      <c r="AA209" s="345">
        <f t="shared" si="100"/>
        <v>50.544189822866542</v>
      </c>
      <c r="AB209" s="346">
        <f t="shared" si="101"/>
        <v>-77.542017558318477</v>
      </c>
      <c r="AD209">
        <f t="shared" si="105"/>
        <v>0</v>
      </c>
      <c r="AE209">
        <f t="shared" si="80"/>
        <v>0</v>
      </c>
    </row>
    <row r="210" spans="1:31" x14ac:dyDescent="0.25">
      <c r="A210" s="347">
        <v>12023</v>
      </c>
      <c r="B210" s="364">
        <f t="shared" si="102"/>
        <v>12.023</v>
      </c>
      <c r="C210" s="337">
        <f t="shared" si="83"/>
        <v>2.8977330136085255</v>
      </c>
      <c r="D210" s="338">
        <f t="shared" si="84"/>
        <v>1.2184538158317926</v>
      </c>
      <c r="E210" s="338">
        <f t="shared" si="85"/>
        <v>1.0001643396029141</v>
      </c>
      <c r="F210" s="339">
        <f t="shared" si="86"/>
        <v>1.8128270729192524E-2</v>
      </c>
      <c r="G210" s="338">
        <f t="shared" si="87"/>
        <v>1</v>
      </c>
      <c r="H210" s="339">
        <f t="shared" si="88"/>
        <v>0</v>
      </c>
      <c r="I210" s="337">
        <f t="shared" si="89"/>
        <v>7253.9724904074847</v>
      </c>
      <c r="J210" s="340">
        <f t="shared" si="90"/>
        <v>1.5706584712951013</v>
      </c>
      <c r="K210" s="348">
        <f t="shared" si="81"/>
        <v>2.1203097741314538</v>
      </c>
      <c r="L210" s="349">
        <f t="shared" si="82"/>
        <v>1.0796588702286731</v>
      </c>
      <c r="M210" s="337">
        <f t="shared" si="91"/>
        <v>1.0060476189204082</v>
      </c>
      <c r="N210" s="340">
        <f t="shared" si="92"/>
        <v>0.10970229992258869</v>
      </c>
      <c r="O210" s="341">
        <f t="shared" si="93"/>
        <v>1.0001494843790559</v>
      </c>
      <c r="P210" s="342">
        <f t="shared" si="94"/>
        <v>0.15568316262919943</v>
      </c>
      <c r="Q210" s="343">
        <f t="shared" si="95"/>
        <v>15.232076465403956</v>
      </c>
      <c r="R210" s="344">
        <f t="shared" si="96"/>
        <v>-112.11125973628276</v>
      </c>
      <c r="S210" s="346">
        <f t="shared" si="97"/>
        <v>67.888740263717239</v>
      </c>
      <c r="U210" s="319">
        <f t="shared" si="103"/>
        <v>1000000000</v>
      </c>
      <c r="V210" s="319">
        <f t="shared" si="104"/>
        <v>144552529</v>
      </c>
      <c r="X210" s="345">
        <f t="shared" si="98"/>
        <v>26.971321872072235</v>
      </c>
      <c r="Y210" s="346">
        <f t="shared" si="99"/>
        <v>-34.417683711484052</v>
      </c>
      <c r="AA210" s="345">
        <f t="shared" si="100"/>
        <v>50.500495927721694</v>
      </c>
      <c r="AB210" s="346">
        <f t="shared" si="101"/>
        <v>-77.693576024798716</v>
      </c>
      <c r="AD210">
        <f t="shared" si="105"/>
        <v>0</v>
      </c>
      <c r="AE210">
        <f t="shared" si="80"/>
        <v>0</v>
      </c>
    </row>
    <row r="211" spans="1:31" x14ac:dyDescent="0.25">
      <c r="A211" s="347">
        <v>12093</v>
      </c>
      <c r="B211" s="364">
        <f t="shared" si="102"/>
        <v>12.093</v>
      </c>
      <c r="C211" s="337">
        <f t="shared" si="83"/>
        <v>2.9126000291318093</v>
      </c>
      <c r="D211" s="338">
        <f t="shared" si="84"/>
        <v>1.220329975646671</v>
      </c>
      <c r="E211" s="338">
        <f t="shared" si="85"/>
        <v>1.0001662586417164</v>
      </c>
      <c r="F211" s="339">
        <f t="shared" si="86"/>
        <v>1.8233793353950725E-2</v>
      </c>
      <c r="G211" s="338">
        <f t="shared" si="87"/>
        <v>1</v>
      </c>
      <c r="H211" s="339">
        <f t="shared" si="88"/>
        <v>0</v>
      </c>
      <c r="I211" s="337">
        <f t="shared" si="89"/>
        <v>7296.2063808430294</v>
      </c>
      <c r="J211" s="340">
        <f t="shared" si="90"/>
        <v>1.5706592692678842</v>
      </c>
      <c r="K211" s="348">
        <f t="shared" si="81"/>
        <v>2.1299148670963506</v>
      </c>
      <c r="L211" s="349">
        <f t="shared" si="82"/>
        <v>1.082069286061581</v>
      </c>
      <c r="M211" s="337">
        <f t="shared" si="91"/>
        <v>1.0061180297636543</v>
      </c>
      <c r="N211" s="340">
        <f t="shared" si="92"/>
        <v>0.11033584946309384</v>
      </c>
      <c r="O211" s="341">
        <f t="shared" si="93"/>
        <v>1.0001520729182807</v>
      </c>
      <c r="P211" s="342">
        <f t="shared" si="94"/>
        <v>0.15659662883978381</v>
      </c>
      <c r="Q211" s="343">
        <f t="shared" si="95"/>
        <v>15.175847629679268</v>
      </c>
      <c r="R211" s="344">
        <f t="shared" si="96"/>
        <v>-112.16328631413818</v>
      </c>
      <c r="S211" s="346">
        <f t="shared" si="97"/>
        <v>67.836713685861824</v>
      </c>
      <c r="U211" s="319">
        <f t="shared" si="103"/>
        <v>1000000000</v>
      </c>
      <c r="V211" s="319">
        <f t="shared" si="104"/>
        <v>146240649</v>
      </c>
      <c r="X211" s="345">
        <f t="shared" si="98"/>
        <v>26.959548467472658</v>
      </c>
      <c r="Y211" s="346">
        <f t="shared" si="99"/>
        <v>-34.315922492526674</v>
      </c>
      <c r="AA211" s="345">
        <f t="shared" si="100"/>
        <v>50.456040496596593</v>
      </c>
      <c r="AB211" s="346">
        <f t="shared" si="101"/>
        <v>-77.847363821611538</v>
      </c>
      <c r="AD211">
        <f t="shared" si="105"/>
        <v>0</v>
      </c>
      <c r="AE211">
        <f t="shared" si="80"/>
        <v>0</v>
      </c>
    </row>
    <row r="212" spans="1:31" x14ac:dyDescent="0.25">
      <c r="A212" s="347">
        <v>12163</v>
      </c>
      <c r="B212" s="364">
        <f t="shared" si="102"/>
        <v>12.163</v>
      </c>
      <c r="C212" s="337">
        <f t="shared" si="83"/>
        <v>2.927477192784171</v>
      </c>
      <c r="D212" s="338">
        <f t="shared" si="84"/>
        <v>1.2221870730079405</v>
      </c>
      <c r="E212" s="338">
        <f t="shared" si="85"/>
        <v>1.0001681888173515</v>
      </c>
      <c r="F212" s="339">
        <f t="shared" si="86"/>
        <v>1.8339315572598019E-2</v>
      </c>
      <c r="G212" s="338">
        <f t="shared" si="87"/>
        <v>1</v>
      </c>
      <c r="H212" s="339">
        <f t="shared" si="88"/>
        <v>0</v>
      </c>
      <c r="I212" s="337">
        <f t="shared" si="89"/>
        <v>7338.4402712831679</v>
      </c>
      <c r="J212" s="340">
        <f t="shared" si="90"/>
        <v>1.5706600580557466</v>
      </c>
      <c r="K212" s="348">
        <f t="shared" si="81"/>
        <v>2.1395322239359738</v>
      </c>
      <c r="L212" s="349">
        <f t="shared" si="82"/>
        <v>1.0844580456719899</v>
      </c>
      <c r="M212" s="337">
        <f t="shared" si="91"/>
        <v>1.0061888443909919</v>
      </c>
      <c r="N212" s="340">
        <f t="shared" si="92"/>
        <v>0.11096931008058573</v>
      </c>
      <c r="O212" s="341">
        <f t="shared" si="93"/>
        <v>1.0001546961088819</v>
      </c>
      <c r="P212" s="342">
        <f t="shared" si="94"/>
        <v>0.1575102165834763</v>
      </c>
      <c r="Q212" s="343">
        <f t="shared" si="95"/>
        <v>15.119975530453187</v>
      </c>
      <c r="R212" s="344">
        <f t="shared" si="96"/>
        <v>-112.21546286943629</v>
      </c>
      <c r="S212" s="346">
        <f t="shared" si="97"/>
        <v>67.784537130563706</v>
      </c>
      <c r="U212" s="319">
        <f t="shared" si="103"/>
        <v>1000000000</v>
      </c>
      <c r="V212" s="319">
        <f t="shared" si="104"/>
        <v>147938569</v>
      </c>
      <c r="X212" s="345">
        <f t="shared" si="98"/>
        <v>26.947935802235769</v>
      </c>
      <c r="Y212" s="346">
        <f t="shared" si="99"/>
        <v>-34.215396462549535</v>
      </c>
      <c r="AA212" s="345">
        <f t="shared" si="100"/>
        <v>50.411781062607389</v>
      </c>
      <c r="AB212" s="346">
        <f t="shared" si="101"/>
        <v>-78.000066406886759</v>
      </c>
      <c r="AD212">
        <f t="shared" si="105"/>
        <v>0</v>
      </c>
      <c r="AE212">
        <f t="shared" si="80"/>
        <v>0</v>
      </c>
    </row>
    <row r="213" spans="1:31" x14ac:dyDescent="0.25">
      <c r="A213" s="347">
        <v>12233</v>
      </c>
      <c r="B213" s="364">
        <f t="shared" si="102"/>
        <v>12.233000000000001</v>
      </c>
      <c r="C213" s="337">
        <f t="shared" si="83"/>
        <v>2.9423643506329022</v>
      </c>
      <c r="D213" s="338">
        <f t="shared" si="84"/>
        <v>1.2240253843526203</v>
      </c>
      <c r="E213" s="338">
        <f t="shared" si="85"/>
        <v>1.000170130129755</v>
      </c>
      <c r="F213" s="339">
        <f t="shared" si="86"/>
        <v>1.8444837382786794E-2</v>
      </c>
      <c r="G213" s="338">
        <f t="shared" si="87"/>
        <v>1</v>
      </c>
      <c r="H213" s="339">
        <f t="shared" si="88"/>
        <v>0</v>
      </c>
      <c r="I213" s="337">
        <f t="shared" si="89"/>
        <v>7380.6741617278203</v>
      </c>
      <c r="J213" s="340">
        <f t="shared" si="90"/>
        <v>1.5706608378163633</v>
      </c>
      <c r="K213" s="348">
        <f t="shared" si="81"/>
        <v>2.1491616800102356</v>
      </c>
      <c r="L213" s="349">
        <f t="shared" si="82"/>
        <v>1.086825412710577</v>
      </c>
      <c r="M213" s="337">
        <f t="shared" si="91"/>
        <v>1.0062600627171732</v>
      </c>
      <c r="N213" s="340">
        <f t="shared" si="92"/>
        <v>0.11160268128551142</v>
      </c>
      <c r="O213" s="341">
        <f t="shared" si="93"/>
        <v>1.0001573542914854</v>
      </c>
      <c r="P213" s="342">
        <f t="shared" si="94"/>
        <v>0.15842392652641438</v>
      </c>
      <c r="Q213" s="343">
        <f t="shared" si="95"/>
        <v>15.064455692894985</v>
      </c>
      <c r="R213" s="344">
        <f t="shared" si="96"/>
        <v>-112.26779015406666</v>
      </c>
      <c r="S213" s="346">
        <f t="shared" si="97"/>
        <v>67.73220984593334</v>
      </c>
      <c r="U213" s="319">
        <f t="shared" si="103"/>
        <v>1000000000</v>
      </c>
      <c r="V213" s="319">
        <f t="shared" si="104"/>
        <v>149646289</v>
      </c>
      <c r="X213" s="345">
        <f t="shared" si="98"/>
        <v>26.936480786167198</v>
      </c>
      <c r="Y213" s="346">
        <f t="shared" si="99"/>
        <v>-34.116090496466363</v>
      </c>
      <c r="AA213" s="345">
        <f t="shared" si="100"/>
        <v>50.367716241117762</v>
      </c>
      <c r="AB213" s="346">
        <f t="shared" si="101"/>
        <v>-78.15169965760029</v>
      </c>
      <c r="AD213">
        <f t="shared" si="105"/>
        <v>0</v>
      </c>
      <c r="AE213">
        <f t="shared" si="80"/>
        <v>0</v>
      </c>
    </row>
    <row r="214" spans="1:31" x14ac:dyDescent="0.25">
      <c r="A214" s="347">
        <v>12303</v>
      </c>
      <c r="B214" s="364">
        <f t="shared" si="102"/>
        <v>12.303000000000001</v>
      </c>
      <c r="C214" s="337">
        <f t="shared" si="83"/>
        <v>2.9572613517425683</v>
      </c>
      <c r="D214" s="338">
        <f t="shared" si="84"/>
        <v>1.225845181061108</v>
      </c>
      <c r="E214" s="338">
        <f t="shared" si="85"/>
        <v>1.000172082578862</v>
      </c>
      <c r="F214" s="339">
        <f t="shared" si="86"/>
        <v>1.8550358782169499E-2</v>
      </c>
      <c r="G214" s="338">
        <f t="shared" si="87"/>
        <v>1</v>
      </c>
      <c r="H214" s="339">
        <f t="shared" si="88"/>
        <v>0</v>
      </c>
      <c r="I214" s="337">
        <f t="shared" si="89"/>
        <v>7422.9080521769083</v>
      </c>
      <c r="J214" s="340">
        <f t="shared" si="90"/>
        <v>1.5706616087038203</v>
      </c>
      <c r="K214" s="348">
        <f t="shared" si="81"/>
        <v>2.1588030734113026</v>
      </c>
      <c r="L214" s="349">
        <f t="shared" si="82"/>
        <v>1.0891716470861137</v>
      </c>
      <c r="M214" s="337">
        <f t="shared" si="91"/>
        <v>1.0063316846564887</v>
      </c>
      <c r="N214" s="340">
        <f t="shared" si="92"/>
        <v>0.1122359625887431</v>
      </c>
      <c r="O214" s="341">
        <f t="shared" si="93"/>
        <v>1.0001600478086783</v>
      </c>
      <c r="P214" s="342">
        <f t="shared" si="94"/>
        <v>0.15933775933407468</v>
      </c>
      <c r="Q214" s="343">
        <f t="shared" si="95"/>
        <v>15.009283719948591</v>
      </c>
      <c r="R214" s="344">
        <f t="shared" si="96"/>
        <v>-112.32026884437204</v>
      </c>
      <c r="S214" s="346">
        <f t="shared" si="97"/>
        <v>67.679731155627962</v>
      </c>
      <c r="U214" s="319">
        <f t="shared" si="103"/>
        <v>1000000000</v>
      </c>
      <c r="V214" s="319">
        <f t="shared" si="104"/>
        <v>151363809</v>
      </c>
      <c r="X214" s="345">
        <f t="shared" si="98"/>
        <v>26.925180399039753</v>
      </c>
      <c r="Y214" s="346">
        <f t="shared" si="99"/>
        <v>-34.017989683404984</v>
      </c>
      <c r="AA214" s="345">
        <f t="shared" si="100"/>
        <v>50.323844655298807</v>
      </c>
      <c r="AB214" s="346">
        <f t="shared" si="101"/>
        <v>-78.302279160967061</v>
      </c>
      <c r="AD214">
        <f t="shared" si="105"/>
        <v>0</v>
      </c>
      <c r="AE214">
        <f t="shared" si="80"/>
        <v>0</v>
      </c>
    </row>
    <row r="215" spans="1:31" x14ac:dyDescent="0.25">
      <c r="A215" s="347">
        <v>12374.5</v>
      </c>
      <c r="B215" s="364">
        <f t="shared" si="102"/>
        <v>12.374499999999999</v>
      </c>
      <c r="C215" s="337">
        <f t="shared" si="83"/>
        <v>2.9724875823409822</v>
      </c>
      <c r="D215" s="338">
        <f t="shared" si="84"/>
        <v>1.2276851364076682</v>
      </c>
      <c r="E215" s="338">
        <f t="shared" si="85"/>
        <v>1.0001740883633223</v>
      </c>
      <c r="F215" s="339">
        <f t="shared" si="86"/>
        <v>1.8658140927850442E-2</v>
      </c>
      <c r="G215" s="338">
        <f t="shared" si="87"/>
        <v>1</v>
      </c>
      <c r="H215" s="339">
        <f t="shared" si="88"/>
        <v>0</v>
      </c>
      <c r="I215" s="337">
        <f t="shared" si="89"/>
        <v>7466.0469545686938</v>
      </c>
      <c r="J215" s="340">
        <f t="shared" si="90"/>
        <v>1.5706623871064544</v>
      </c>
      <c r="K215" s="348">
        <f t="shared" ref="K215:K278" si="106">SQRT(1+(A215/Zero2)^2)</f>
        <v>2.1686632263255374</v>
      </c>
      <c r="L215" s="349">
        <f t="shared" ref="L215:L278" si="107">ATAN(A215/Zero2)</f>
        <v>1.0915466075169518</v>
      </c>
      <c r="M215" s="337">
        <f t="shared" si="91"/>
        <v>1.0064052579411278</v>
      </c>
      <c r="N215" s="340">
        <f t="shared" si="92"/>
        <v>0.11288272088546121</v>
      </c>
      <c r="O215" s="341">
        <f t="shared" si="93"/>
        <v>1.0001628358808052</v>
      </c>
      <c r="P215" s="342">
        <f t="shared" si="94"/>
        <v>0.16027130180671376</v>
      </c>
      <c r="Q215" s="343">
        <f t="shared" si="95"/>
        <v>14.953284124003684</v>
      </c>
      <c r="R215" s="344">
        <f t="shared" si="96"/>
        <v>-112.37402901266307</v>
      </c>
      <c r="S215" s="346">
        <f t="shared" si="97"/>
        <v>67.625970987336927</v>
      </c>
      <c r="U215" s="319">
        <f t="shared" si="103"/>
        <v>1000000000</v>
      </c>
      <c r="V215" s="319">
        <f t="shared" si="104"/>
        <v>153128250.25</v>
      </c>
      <c r="X215" s="345">
        <f t="shared" si="98"/>
        <v>26.913794426366433</v>
      </c>
      <c r="Y215" s="346">
        <f t="shared" si="99"/>
        <v>-33.919015594047018</v>
      </c>
      <c r="AA215" s="345">
        <f t="shared" si="100"/>
        <v>50.279231032027234</v>
      </c>
      <c r="AB215" s="346">
        <f t="shared" si="101"/>
        <v>-78.455013418616076</v>
      </c>
      <c r="AD215">
        <f t="shared" si="105"/>
        <v>0</v>
      </c>
      <c r="AE215">
        <f t="shared" si="80"/>
        <v>0</v>
      </c>
    </row>
    <row r="216" spans="1:31" x14ac:dyDescent="0.25">
      <c r="A216" s="347">
        <v>12446</v>
      </c>
      <c r="B216" s="364">
        <f t="shared" si="102"/>
        <v>12.446</v>
      </c>
      <c r="C216" s="337">
        <f t="shared" si="83"/>
        <v>2.9877237735160458</v>
      </c>
      <c r="D216" s="338">
        <f t="shared" si="84"/>
        <v>1.2295063318010511</v>
      </c>
      <c r="E216" s="338">
        <f t="shared" si="85"/>
        <v>1.0001761057667493</v>
      </c>
      <c r="F216" s="339">
        <f t="shared" si="86"/>
        <v>1.876592263997991E-2</v>
      </c>
      <c r="G216" s="338">
        <f t="shared" si="87"/>
        <v>1</v>
      </c>
      <c r="H216" s="339">
        <f t="shared" si="88"/>
        <v>0</v>
      </c>
      <c r="I216" s="337">
        <f t="shared" si="89"/>
        <v>7509.1858569649512</v>
      </c>
      <c r="J216" s="340">
        <f t="shared" si="90"/>
        <v>1.5706631565655265</v>
      </c>
      <c r="K216" s="348">
        <f t="shared" si="106"/>
        <v>2.1785355006810554</v>
      </c>
      <c r="L216" s="349">
        <f t="shared" si="107"/>
        <v>1.0939000563309842</v>
      </c>
      <c r="M216" s="337">
        <f t="shared" si="91"/>
        <v>1.0064792521397079</v>
      </c>
      <c r="N216" s="340">
        <f t="shared" si="92"/>
        <v>0.11352938435607417</v>
      </c>
      <c r="O216" s="341">
        <f t="shared" si="93"/>
        <v>1.0001656615468495</v>
      </c>
      <c r="P216" s="342">
        <f t="shared" si="94"/>
        <v>0.16120497386748084</v>
      </c>
      <c r="Q216" s="343">
        <f t="shared" si="95"/>
        <v>14.897638428530877</v>
      </c>
      <c r="R216" s="344">
        <f t="shared" si="96"/>
        <v>-112.42794834379637</v>
      </c>
      <c r="S216" s="346">
        <f t="shared" si="97"/>
        <v>67.572051656203627</v>
      </c>
      <c r="U216" s="319">
        <f t="shared" si="103"/>
        <v>1000000000</v>
      </c>
      <c r="V216" s="319">
        <f t="shared" si="104"/>
        <v>154902916</v>
      </c>
      <c r="X216" s="345">
        <f t="shared" si="98"/>
        <v>26.902563626380275</v>
      </c>
      <c r="Y216" s="346">
        <f t="shared" si="99"/>
        <v>-33.82126808397993</v>
      </c>
      <c r="AA216" s="345">
        <f t="shared" si="100"/>
        <v>50.234816136540573</v>
      </c>
      <c r="AB216" s="346">
        <f t="shared" si="101"/>
        <v>-78.606680259816414</v>
      </c>
      <c r="AD216">
        <f t="shared" si="105"/>
        <v>0</v>
      </c>
      <c r="AE216">
        <f t="shared" si="80"/>
        <v>0</v>
      </c>
    </row>
    <row r="217" spans="1:31" x14ac:dyDescent="0.25">
      <c r="A217" s="347">
        <v>12517.5</v>
      </c>
      <c r="B217" s="364">
        <f t="shared" si="102"/>
        <v>12.5175</v>
      </c>
      <c r="C217" s="337">
        <f t="shared" si="83"/>
        <v>3.0029697736565968</v>
      </c>
      <c r="D217" s="338">
        <f t="shared" si="84"/>
        <v>1.2313090407989544</v>
      </c>
      <c r="E217" s="338">
        <f t="shared" si="85"/>
        <v>1.0001781347890724</v>
      </c>
      <c r="F217" s="339">
        <f t="shared" si="86"/>
        <v>1.8873703916056361E-2</v>
      </c>
      <c r="G217" s="338">
        <f t="shared" si="87"/>
        <v>1</v>
      </c>
      <c r="H217" s="339">
        <f t="shared" si="88"/>
        <v>0</v>
      </c>
      <c r="I217" s="337">
        <f t="shared" si="89"/>
        <v>7552.3247593656033</v>
      </c>
      <c r="J217" s="340">
        <f t="shared" si="90"/>
        <v>1.5706639172342931</v>
      </c>
      <c r="K217" s="348">
        <f t="shared" si="106"/>
        <v>2.1884197324331978</v>
      </c>
      <c r="L217" s="349">
        <f t="shared" si="107"/>
        <v>1.0962322587589313</v>
      </c>
      <c r="M217" s="337">
        <f t="shared" si="91"/>
        <v>1.0065536671594018</v>
      </c>
      <c r="N217" s="340">
        <f t="shared" si="92"/>
        <v>0.11417595248071932</v>
      </c>
      <c r="O217" s="341">
        <f t="shared" si="93"/>
        <v>1.0001685251782297</v>
      </c>
      <c r="P217" s="342">
        <f t="shared" si="94"/>
        <v>0.16213877622339373</v>
      </c>
      <c r="Q217" s="343">
        <f t="shared" si="95"/>
        <v>14.842342188316964</v>
      </c>
      <c r="R217" s="344">
        <f t="shared" si="96"/>
        <v>-112.48202733452</v>
      </c>
      <c r="S217" s="346">
        <f t="shared" si="97"/>
        <v>67.517972665480002</v>
      </c>
      <c r="U217" s="319">
        <f t="shared" si="103"/>
        <v>1000000000</v>
      </c>
      <c r="V217" s="319">
        <f t="shared" si="104"/>
        <v>156687806.25</v>
      </c>
      <c r="X217" s="345">
        <f t="shared" si="98"/>
        <v>26.89148499490603</v>
      </c>
      <c r="Y217" s="346">
        <f t="shared" si="99"/>
        <v>-33.724731935597887</v>
      </c>
      <c r="AA217" s="345">
        <f t="shared" si="100"/>
        <v>50.190598527800915</v>
      </c>
      <c r="AB217" s="346">
        <f t="shared" si="101"/>
        <v>-78.757295398922111</v>
      </c>
      <c r="AD217">
        <f t="shared" si="105"/>
        <v>0</v>
      </c>
      <c r="AE217">
        <f t="shared" si="80"/>
        <v>0</v>
      </c>
    </row>
    <row r="218" spans="1:31" x14ac:dyDescent="0.25">
      <c r="A218" s="347">
        <v>12589</v>
      </c>
      <c r="B218" s="364">
        <f t="shared" si="102"/>
        <v>12.589</v>
      </c>
      <c r="C218" s="337">
        <f t="shared" si="83"/>
        <v>3.0182254341181864</v>
      </c>
      <c r="D218" s="338">
        <f t="shared" si="84"/>
        <v>1.2330935319142373</v>
      </c>
      <c r="E218" s="338">
        <f t="shared" si="85"/>
        <v>1.0001801754302213</v>
      </c>
      <c r="F218" s="339">
        <f t="shared" si="86"/>
        <v>1.8981484753578304E-2</v>
      </c>
      <c r="G218" s="338">
        <f t="shared" si="87"/>
        <v>1</v>
      </c>
      <c r="H218" s="339">
        <f t="shared" si="88"/>
        <v>0</v>
      </c>
      <c r="I218" s="337">
        <f t="shared" si="89"/>
        <v>7595.4636617705755</v>
      </c>
      <c r="J218" s="340">
        <f t="shared" si="90"/>
        <v>1.5706646692625301</v>
      </c>
      <c r="K218" s="348">
        <f t="shared" si="106"/>
        <v>2.1983157602907477</v>
      </c>
      <c r="L218" s="349">
        <f t="shared" si="107"/>
        <v>1.098543476188802</v>
      </c>
      <c r="M218" s="337">
        <f t="shared" si="91"/>
        <v>1.006628502906882</v>
      </c>
      <c r="N218" s="340">
        <f t="shared" si="92"/>
        <v>0.1148224247400062</v>
      </c>
      <c r="O218" s="341">
        <f t="shared" si="93"/>
        <v>1.0001714271484976</v>
      </c>
      <c r="P218" s="342">
        <f t="shared" si="94"/>
        <v>0.16307270958073244</v>
      </c>
      <c r="Q218" s="343">
        <f t="shared" si="95"/>
        <v>14.787391035734746</v>
      </c>
      <c r="R218" s="344">
        <f t="shared" si="96"/>
        <v>-112.53626641249068</v>
      </c>
      <c r="S218" s="346">
        <f t="shared" si="97"/>
        <v>67.463733587509324</v>
      </c>
      <c r="U218" s="319">
        <f t="shared" si="103"/>
        <v>1000000000</v>
      </c>
      <c r="V218" s="319">
        <f t="shared" si="104"/>
        <v>158482921</v>
      </c>
      <c r="X218" s="345">
        <f t="shared" si="98"/>
        <v>26.880555596235766</v>
      </c>
      <c r="Y218" s="346">
        <f t="shared" si="99"/>
        <v>-33.629392151293764</v>
      </c>
      <c r="AA218" s="345">
        <f t="shared" si="100"/>
        <v>50.14657677388896</v>
      </c>
      <c r="AB218" s="346">
        <f t="shared" si="101"/>
        <v>-78.906874261196933</v>
      </c>
      <c r="AD218">
        <f t="shared" si="105"/>
        <v>0</v>
      </c>
      <c r="AE218">
        <f t="shared" ref="AE218:AE281" si="108">IF(AD218&gt;0,S218,0)</f>
        <v>0</v>
      </c>
    </row>
    <row r="219" spans="1:31" x14ac:dyDescent="0.25">
      <c r="A219" s="347">
        <v>12662.25</v>
      </c>
      <c r="B219" s="364">
        <f t="shared" si="102"/>
        <v>12.66225</v>
      </c>
      <c r="C219" s="337">
        <f t="shared" si="83"/>
        <v>3.0338643503905276</v>
      </c>
      <c r="D219" s="338">
        <f t="shared" si="84"/>
        <v>1.2349030827397551</v>
      </c>
      <c r="E219" s="338">
        <f t="shared" si="85"/>
        <v>1.0001822780659291</v>
      </c>
      <c r="F219" s="339">
        <f t="shared" si="86"/>
        <v>1.9091903126225187E-2</v>
      </c>
      <c r="G219" s="338">
        <f t="shared" si="87"/>
        <v>1</v>
      </c>
      <c r="H219" s="339">
        <f t="shared" si="88"/>
        <v>0</v>
      </c>
      <c r="I219" s="337">
        <f t="shared" si="89"/>
        <v>7639.6584114416119</v>
      </c>
      <c r="J219" s="340">
        <f t="shared" si="90"/>
        <v>1.5706654308897396</v>
      </c>
      <c r="K219" s="348">
        <f t="shared" si="106"/>
        <v>2.2084660655474204</v>
      </c>
      <c r="L219" s="349">
        <f t="shared" si="107"/>
        <v>1.1008897694577466</v>
      </c>
      <c r="M219" s="337">
        <f t="shared" si="91"/>
        <v>1.0067056065005386</v>
      </c>
      <c r="N219" s="340">
        <f t="shared" si="92"/>
        <v>0.1154846197907835</v>
      </c>
      <c r="O219" s="341">
        <f t="shared" si="93"/>
        <v>1.0001744402967092</v>
      </c>
      <c r="P219" s="342">
        <f t="shared" si="94"/>
        <v>0.16402963803459009</v>
      </c>
      <c r="Q219" s="343">
        <f t="shared" si="95"/>
        <v>14.731448298768504</v>
      </c>
      <c r="R219" s="344">
        <f t="shared" si="96"/>
        <v>-112.59199941047778</v>
      </c>
      <c r="S219" s="346">
        <f t="shared" si="97"/>
        <v>67.408000589522217</v>
      </c>
      <c r="U219" s="319">
        <f t="shared" si="103"/>
        <v>1000000000</v>
      </c>
      <c r="V219" s="319">
        <f t="shared" si="104"/>
        <v>160332575.0625</v>
      </c>
      <c r="X219" s="345">
        <f t="shared" si="98"/>
        <v>26.869510452040423</v>
      </c>
      <c r="Y219" s="346">
        <f t="shared" si="99"/>
        <v>-33.532944069021731</v>
      </c>
      <c r="AA219" s="345">
        <f t="shared" si="100"/>
        <v>50.101679181118051</v>
      </c>
      <c r="AB219" s="346">
        <f t="shared" si="101"/>
        <v>-79.059055341456059</v>
      </c>
      <c r="AD219">
        <f t="shared" si="105"/>
        <v>0</v>
      </c>
      <c r="AE219">
        <f t="shared" si="108"/>
        <v>0</v>
      </c>
    </row>
    <row r="220" spans="1:31" x14ac:dyDescent="0.25">
      <c r="A220" s="347">
        <v>12735.5</v>
      </c>
      <c r="B220" s="364">
        <f t="shared" si="102"/>
        <v>12.7355</v>
      </c>
      <c r="C220" s="337">
        <f t="shared" si="83"/>
        <v>3.0495130990616279</v>
      </c>
      <c r="D220" s="338">
        <f t="shared" si="84"/>
        <v>1.2366940677552776</v>
      </c>
      <c r="E220" s="338">
        <f t="shared" si="85"/>
        <v>1.000184392896025</v>
      </c>
      <c r="F220" s="339">
        <f t="shared" si="86"/>
        <v>1.9202321033272216E-2</v>
      </c>
      <c r="G220" s="338">
        <f t="shared" si="87"/>
        <v>1</v>
      </c>
      <c r="H220" s="339">
        <f t="shared" si="88"/>
        <v>0</v>
      </c>
      <c r="I220" s="337">
        <f t="shared" si="89"/>
        <v>7683.8531611170283</v>
      </c>
      <c r="J220" s="340">
        <f t="shared" si="90"/>
        <v>1.5706661837557399</v>
      </c>
      <c r="K220" s="348">
        <f t="shared" si="106"/>
        <v>2.2186284173295245</v>
      </c>
      <c r="L220" s="349">
        <f t="shared" si="107"/>
        <v>1.1032145811949616</v>
      </c>
      <c r="M220" s="337">
        <f t="shared" si="91"/>
        <v>1.0067831514691765</v>
      </c>
      <c r="N220" s="340">
        <f t="shared" si="92"/>
        <v>0.11614671312399889</v>
      </c>
      <c r="O220" s="341">
        <f t="shared" si="93"/>
        <v>1.0001774944840853</v>
      </c>
      <c r="P220" s="342">
        <f t="shared" si="94"/>
        <v>0.16498670547930869</v>
      </c>
      <c r="Q220" s="343">
        <f t="shared" si="95"/>
        <v>14.675858710707777</v>
      </c>
      <c r="R220" s="344">
        <f t="shared" si="96"/>
        <v>-112.647901127314</v>
      </c>
      <c r="S220" s="346">
        <f t="shared" si="97"/>
        <v>67.352098872686</v>
      </c>
      <c r="U220" s="319">
        <f t="shared" si="103"/>
        <v>1000000000</v>
      </c>
      <c r="V220" s="319">
        <f t="shared" si="104"/>
        <v>162192960.25</v>
      </c>
      <c r="X220" s="345">
        <f t="shared" si="98"/>
        <v>26.858615909953794</v>
      </c>
      <c r="Y220" s="346">
        <f t="shared" si="99"/>
        <v>-33.437720457889363</v>
      </c>
      <c r="AA220" s="345">
        <f t="shared" si="100"/>
        <v>50.056984135143956</v>
      </c>
      <c r="AB220" s="346">
        <f t="shared" si="101"/>
        <v>-79.210180669424631</v>
      </c>
      <c r="AD220">
        <f t="shared" si="105"/>
        <v>0</v>
      </c>
      <c r="AE220">
        <f t="shared" si="108"/>
        <v>0</v>
      </c>
    </row>
    <row r="221" spans="1:31" x14ac:dyDescent="0.25">
      <c r="A221" s="347">
        <v>12808.75</v>
      </c>
      <c r="B221" s="364">
        <f t="shared" si="102"/>
        <v>12.80875</v>
      </c>
      <c r="C221" s="337">
        <f t="shared" si="83"/>
        <v>3.0651715295382198</v>
      </c>
      <c r="D221" s="338">
        <f t="shared" si="84"/>
        <v>1.2384667599127241</v>
      </c>
      <c r="E221" s="338">
        <f t="shared" si="85"/>
        <v>1.0001865199204314</v>
      </c>
      <c r="F221" s="339">
        <f t="shared" si="86"/>
        <v>1.931273847202989E-2</v>
      </c>
      <c r="G221" s="338">
        <f t="shared" si="87"/>
        <v>1</v>
      </c>
      <c r="H221" s="339">
        <f t="shared" si="88"/>
        <v>0</v>
      </c>
      <c r="I221" s="337">
        <f t="shared" si="89"/>
        <v>7728.0479107967503</v>
      </c>
      <c r="J221" s="340">
        <f t="shared" si="90"/>
        <v>1.5706669280108396</v>
      </c>
      <c r="K221" s="348">
        <f t="shared" si="106"/>
        <v>2.2288026508566232</v>
      </c>
      <c r="L221" s="349">
        <f t="shared" si="107"/>
        <v>1.1055181802796259</v>
      </c>
      <c r="M221" s="337">
        <f t="shared" si="91"/>
        <v>1.0068611377108159</v>
      </c>
      <c r="N221" s="340">
        <f t="shared" si="92"/>
        <v>0.11680870418274109</v>
      </c>
      <c r="O221" s="341">
        <f t="shared" si="93"/>
        <v>1.0001805901192471</v>
      </c>
      <c r="P221" s="342">
        <f t="shared" si="94"/>
        <v>0.16594391267186748</v>
      </c>
      <c r="Q221" s="343">
        <f t="shared" si="95"/>
        <v>14.620617817769846</v>
      </c>
      <c r="R221" s="344">
        <f t="shared" si="96"/>
        <v>-112.70397181657937</v>
      </c>
      <c r="S221" s="346">
        <f t="shared" si="97"/>
        <v>67.296028183420631</v>
      </c>
      <c r="U221" s="319">
        <f t="shared" si="103"/>
        <v>1000000000</v>
      </c>
      <c r="V221" s="319">
        <f t="shared" si="104"/>
        <v>164064076.5625</v>
      </c>
      <c r="X221" s="345">
        <f t="shared" si="98"/>
        <v>26.847869025297921</v>
      </c>
      <c r="Y221" s="346">
        <f t="shared" si="99"/>
        <v>-33.343705888957899</v>
      </c>
      <c r="AA221" s="345">
        <f t="shared" si="100"/>
        <v>50.012490126861906</v>
      </c>
      <c r="AB221" s="346">
        <f t="shared" si="101"/>
        <v>-79.360265927621469</v>
      </c>
      <c r="AD221">
        <f t="shared" si="105"/>
        <v>0</v>
      </c>
      <c r="AE221">
        <f t="shared" si="108"/>
        <v>0</v>
      </c>
    </row>
    <row r="222" spans="1:31" x14ac:dyDescent="0.25">
      <c r="A222" s="347">
        <v>12882</v>
      </c>
      <c r="B222" s="364">
        <f t="shared" si="102"/>
        <v>12.882</v>
      </c>
      <c r="C222" s="337">
        <f t="shared" si="83"/>
        <v>3.0808394941963759</v>
      </c>
      <c r="D222" s="338">
        <f t="shared" si="84"/>
        <v>1.2402214270765397</v>
      </c>
      <c r="E222" s="338">
        <f t="shared" si="85"/>
        <v>1.000188659139071</v>
      </c>
      <c r="F222" s="339">
        <f t="shared" si="86"/>
        <v>1.9423155439808791E-2</v>
      </c>
      <c r="G222" s="338">
        <f t="shared" si="87"/>
        <v>1</v>
      </c>
      <c r="H222" s="339">
        <f t="shared" si="88"/>
        <v>0</v>
      </c>
      <c r="I222" s="337">
        <f t="shared" si="89"/>
        <v>7772.2426604807042</v>
      </c>
      <c r="J222" s="340">
        <f t="shared" si="90"/>
        <v>1.5706676638019301</v>
      </c>
      <c r="K222" s="348">
        <f t="shared" si="106"/>
        <v>2.2389886041524867</v>
      </c>
      <c r="L222" s="349">
        <f t="shared" si="107"/>
        <v>1.1078008316071304</v>
      </c>
      <c r="M222" s="337">
        <f t="shared" si="91"/>
        <v>1.0069395651229289</v>
      </c>
      <c r="N222" s="340">
        <f t="shared" si="92"/>
        <v>0.11747059241062929</v>
      </c>
      <c r="O222" s="341">
        <f t="shared" si="93"/>
        <v>1.0001837276131647</v>
      </c>
      <c r="P222" s="342">
        <f t="shared" si="94"/>
        <v>0.1669012603684118</v>
      </c>
      <c r="Q222" s="343">
        <f t="shared" si="95"/>
        <v>14.565721244438182</v>
      </c>
      <c r="R222" s="344">
        <f t="shared" si="96"/>
        <v>-112.7602116684042</v>
      </c>
      <c r="S222" s="346">
        <f t="shared" si="97"/>
        <v>67.239788331595804</v>
      </c>
      <c r="U222" s="319">
        <f t="shared" si="103"/>
        <v>1000000000</v>
      </c>
      <c r="V222" s="319">
        <f t="shared" si="104"/>
        <v>165945924</v>
      </c>
      <c r="X222" s="345">
        <f t="shared" si="98"/>
        <v>26.837266921132862</v>
      </c>
      <c r="Y222" s="346">
        <f t="shared" si="99"/>
        <v>-33.250885161377376</v>
      </c>
      <c r="AA222" s="345">
        <f t="shared" si="100"/>
        <v>49.96819565769529</v>
      </c>
      <c r="AB222" s="346">
        <f t="shared" si="101"/>
        <v>-79.509326507026827</v>
      </c>
      <c r="AD222">
        <f t="shared" si="105"/>
        <v>0</v>
      </c>
      <c r="AE222">
        <f t="shared" si="108"/>
        <v>0</v>
      </c>
    </row>
    <row r="223" spans="1:31" x14ac:dyDescent="0.25">
      <c r="A223" s="347">
        <v>12957.25</v>
      </c>
      <c r="B223" s="364">
        <f t="shared" si="102"/>
        <v>12.95725</v>
      </c>
      <c r="C223" s="337">
        <f t="shared" si="83"/>
        <v>3.0969450292676881</v>
      </c>
      <c r="D223" s="338">
        <f t="shared" si="84"/>
        <v>1.2420055095139226</v>
      </c>
      <c r="E223" s="338">
        <f t="shared" si="85"/>
        <v>1.000190869464529</v>
      </c>
      <c r="F223" s="339">
        <f t="shared" si="86"/>
        <v>1.9536586712073183E-2</v>
      </c>
      <c r="G223" s="338">
        <f t="shared" si="87"/>
        <v>1</v>
      </c>
      <c r="H223" s="339">
        <f t="shared" si="88"/>
        <v>0</v>
      </c>
      <c r="I223" s="337">
        <f t="shared" si="89"/>
        <v>7817.644092754218</v>
      </c>
      <c r="J223" s="340">
        <f t="shared" si="90"/>
        <v>1.5706684110199058</v>
      </c>
      <c r="K223" s="348">
        <f t="shared" si="106"/>
        <v>2.2494647090447302</v>
      </c>
      <c r="L223" s="349">
        <f t="shared" si="107"/>
        <v>1.1101242685955752</v>
      </c>
      <c r="M223" s="337">
        <f t="shared" si="91"/>
        <v>1.0070205931928469</v>
      </c>
      <c r="N223" s="340">
        <f t="shared" si="92"/>
        <v>0.11815044500727308</v>
      </c>
      <c r="O223" s="341">
        <f t="shared" si="93"/>
        <v>1.00018699479549</v>
      </c>
      <c r="P223" s="342">
        <f t="shared" si="94"/>
        <v>0.16788489435567164</v>
      </c>
      <c r="Q223" s="343">
        <f t="shared" si="95"/>
        <v>14.5096798215046</v>
      </c>
      <c r="R223" s="344">
        <f t="shared" si="96"/>
        <v>-112.81816336883855</v>
      </c>
      <c r="S223" s="346">
        <f t="shared" si="97"/>
        <v>67.181836631161445</v>
      </c>
      <c r="U223" s="319">
        <f t="shared" si="103"/>
        <v>1000000000</v>
      </c>
      <c r="V223" s="319">
        <f t="shared" si="104"/>
        <v>167890327.5625</v>
      </c>
      <c r="X223" s="345">
        <f t="shared" si="98"/>
        <v>26.826523150399399</v>
      </c>
      <c r="Y223" s="346">
        <f t="shared" si="99"/>
        <v>-33.156757524782421</v>
      </c>
      <c r="AA223" s="345">
        <f t="shared" si="100"/>
        <v>49.922898005495178</v>
      </c>
      <c r="AB223" s="346">
        <f t="shared" si="101"/>
        <v>-79.661405844056134</v>
      </c>
      <c r="AD223">
        <f t="shared" si="105"/>
        <v>0</v>
      </c>
      <c r="AE223">
        <f t="shared" si="108"/>
        <v>0</v>
      </c>
    </row>
    <row r="224" spans="1:31" x14ac:dyDescent="0.25">
      <c r="A224" s="347">
        <v>13032.5</v>
      </c>
      <c r="B224" s="364">
        <f t="shared" si="102"/>
        <v>13.032500000000001</v>
      </c>
      <c r="C224" s="337">
        <f t="shared" si="83"/>
        <v>3.1130603197469471</v>
      </c>
      <c r="D224" s="338">
        <f t="shared" si="84"/>
        <v>1.2437711263055662</v>
      </c>
      <c r="E224" s="338">
        <f t="shared" si="85"/>
        <v>1.0001930926590394</v>
      </c>
      <c r="F224" s="339">
        <f t="shared" si="86"/>
        <v>1.9650017481534852E-2</v>
      </c>
      <c r="G224" s="338">
        <f t="shared" si="87"/>
        <v>1</v>
      </c>
      <c r="H224" s="339">
        <f t="shared" si="88"/>
        <v>0</v>
      </c>
      <c r="I224" s="337">
        <f t="shared" si="89"/>
        <v>7863.0455250320465</v>
      </c>
      <c r="J224" s="340">
        <f t="shared" si="90"/>
        <v>1.5706691496089689</v>
      </c>
      <c r="K224" s="348">
        <f t="shared" si="106"/>
        <v>2.2599528447353419</v>
      </c>
      <c r="L224" s="349">
        <f t="shared" si="107"/>
        <v>1.1124261524004868</v>
      </c>
      <c r="M224" s="337">
        <f t="shared" si="91"/>
        <v>1.0071020866322111</v>
      </c>
      <c r="N224" s="340">
        <f t="shared" si="92"/>
        <v>0.11883018789241037</v>
      </c>
      <c r="O224" s="341">
        <f t="shared" si="93"/>
        <v>1.0001903070404761</v>
      </c>
      <c r="P224" s="342">
        <f t="shared" si="94"/>
        <v>0.16886867823929627</v>
      </c>
      <c r="Q224" s="343">
        <f t="shared" si="95"/>
        <v>14.453992662234141</v>
      </c>
      <c r="R224" s="344">
        <f t="shared" si="96"/>
        <v>-112.87629380898875</v>
      </c>
      <c r="S224" s="346">
        <f t="shared" si="97"/>
        <v>67.123706191011252</v>
      </c>
      <c r="U224" s="319">
        <f t="shared" si="103"/>
        <v>1000000000</v>
      </c>
      <c r="V224" s="319">
        <f t="shared" si="104"/>
        <v>169846056.25</v>
      </c>
      <c r="X224" s="345">
        <f t="shared" si="98"/>
        <v>26.815926230820935</v>
      </c>
      <c r="Y224" s="346">
        <f t="shared" si="99"/>
        <v>-33.063858014233837</v>
      </c>
      <c r="AA224" s="345">
        <f t="shared" si="100"/>
        <v>49.877807765803183</v>
      </c>
      <c r="AB224" s="346">
        <f t="shared" si="101"/>
        <v>-79.812435794754919</v>
      </c>
      <c r="AD224">
        <f t="shared" si="105"/>
        <v>0</v>
      </c>
      <c r="AE224">
        <f t="shared" si="108"/>
        <v>0</v>
      </c>
    </row>
    <row r="225" spans="1:31" x14ac:dyDescent="0.25">
      <c r="A225" s="347">
        <v>13107.75</v>
      </c>
      <c r="B225" s="364">
        <f t="shared" si="102"/>
        <v>13.107749999999999</v>
      </c>
      <c r="C225" s="337">
        <f t="shared" si="83"/>
        <v>3.1291852149132287</v>
      </c>
      <c r="D225" s="338">
        <f t="shared" si="84"/>
        <v>1.2455185518213754</v>
      </c>
      <c r="E225" s="338">
        <f t="shared" si="85"/>
        <v>1.0001953287225165</v>
      </c>
      <c r="F225" s="339">
        <f t="shared" si="86"/>
        <v>1.9763447745278235E-2</v>
      </c>
      <c r="G225" s="338">
        <f t="shared" si="87"/>
        <v>1</v>
      </c>
      <c r="H225" s="339">
        <f t="shared" si="88"/>
        <v>0</v>
      </c>
      <c r="I225" s="337">
        <f t="shared" si="89"/>
        <v>7908.4469573141132</v>
      </c>
      <c r="J225" s="340">
        <f t="shared" si="90"/>
        <v>1.5706698797177319</v>
      </c>
      <c r="K225" s="348">
        <f t="shared" si="106"/>
        <v>2.270452844499026</v>
      </c>
      <c r="L225" s="349">
        <f t="shared" si="107"/>
        <v>1.1147067574841225</v>
      </c>
      <c r="M225" s="337">
        <f t="shared" si="91"/>
        <v>1.0071840453280601</v>
      </c>
      <c r="N225" s="340">
        <f t="shared" si="92"/>
        <v>0.11950982046459782</v>
      </c>
      <c r="O225" s="341">
        <f t="shared" si="93"/>
        <v>1.0001936648014262</v>
      </c>
      <c r="P225" s="342">
        <f t="shared" si="94"/>
        <v>0.16985261283629</v>
      </c>
      <c r="Q225" s="343">
        <f t="shared" si="95"/>
        <v>14.398655269671142</v>
      </c>
      <c r="R225" s="344">
        <f t="shared" si="96"/>
        <v>-112.93460300459606</v>
      </c>
      <c r="S225" s="346">
        <f t="shared" si="97"/>
        <v>67.065396995403944</v>
      </c>
      <c r="U225" s="319">
        <f t="shared" si="103"/>
        <v>1000000000</v>
      </c>
      <c r="V225" s="319">
        <f t="shared" si="104"/>
        <v>171813110.0625</v>
      </c>
      <c r="X225" s="345">
        <f t="shared" si="98"/>
        <v>26.805473254869167</v>
      </c>
      <c r="Y225" s="346">
        <f t="shared" si="99"/>
        <v>-32.972170878257337</v>
      </c>
      <c r="AA225" s="345">
        <f t="shared" si="100"/>
        <v>49.832923349191951</v>
      </c>
      <c r="AB225" s="346">
        <f t="shared" si="101"/>
        <v>-79.96243212633874</v>
      </c>
      <c r="AD225">
        <f t="shared" si="105"/>
        <v>0</v>
      </c>
      <c r="AE225">
        <f t="shared" si="108"/>
        <v>0</v>
      </c>
    </row>
    <row r="226" spans="1:31" x14ac:dyDescent="0.25">
      <c r="A226" s="347">
        <v>13183</v>
      </c>
      <c r="B226" s="364">
        <f t="shared" si="102"/>
        <v>13.183</v>
      </c>
      <c r="C226" s="337">
        <f t="shared" si="83"/>
        <v>3.1453195670474559</v>
      </c>
      <c r="D226" s="338">
        <f t="shared" si="84"/>
        <v>1.2472480552510026</v>
      </c>
      <c r="E226" s="338">
        <f t="shared" si="85"/>
        <v>1.0001975776548737</v>
      </c>
      <c r="F226" s="339">
        <f t="shared" si="86"/>
        <v>1.9876877500387854E-2</v>
      </c>
      <c r="G226" s="338">
        <f t="shared" si="87"/>
        <v>1</v>
      </c>
      <c r="H226" s="339">
        <f t="shared" si="88"/>
        <v>0</v>
      </c>
      <c r="I226" s="337">
        <f t="shared" si="89"/>
        <v>7953.8483896003481</v>
      </c>
      <c r="J226" s="340">
        <f t="shared" si="90"/>
        <v>1.5706706014914142</v>
      </c>
      <c r="K226" s="348">
        <f t="shared" si="106"/>
        <v>2.280964544493568</v>
      </c>
      <c r="L226" s="349">
        <f t="shared" si="107"/>
        <v>1.1169663541433463</v>
      </c>
      <c r="M226" s="337">
        <f t="shared" si="91"/>
        <v>1.0072664691668229</v>
      </c>
      <c r="N226" s="340">
        <f t="shared" si="92"/>
        <v>0.1201893421229949</v>
      </c>
      <c r="O226" s="341">
        <f t="shared" si="93"/>
        <v>1.0001970685342598</v>
      </c>
      <c r="P226" s="342">
        <f t="shared" si="94"/>
        <v>0.17083669896270434</v>
      </c>
      <c r="Q226" s="343">
        <f t="shared" si="95"/>
        <v>14.343663226609081</v>
      </c>
      <c r="R226" s="344">
        <f t="shared" si="96"/>
        <v>-112.99309091304011</v>
      </c>
      <c r="S226" s="346">
        <f t="shared" si="97"/>
        <v>67.006909086959894</v>
      </c>
      <c r="U226" s="319">
        <f t="shared" si="103"/>
        <v>1000000000</v>
      </c>
      <c r="V226" s="319">
        <f t="shared" si="104"/>
        <v>173791489</v>
      </c>
      <c r="X226" s="345">
        <f t="shared" si="98"/>
        <v>26.795161382690832</v>
      </c>
      <c r="Y226" s="346">
        <f t="shared" si="99"/>
        <v>-32.881680603878195</v>
      </c>
      <c r="AA226" s="345">
        <f t="shared" si="100"/>
        <v>49.788243178308221</v>
      </c>
      <c r="AB226" s="346">
        <f t="shared" si="101"/>
        <v>-80.11141030916194</v>
      </c>
      <c r="AD226">
        <f t="shared" si="105"/>
        <v>0</v>
      </c>
      <c r="AE226">
        <f t="shared" si="108"/>
        <v>0</v>
      </c>
    </row>
    <row r="227" spans="1:31" x14ac:dyDescent="0.25">
      <c r="A227" s="347">
        <v>13259.75</v>
      </c>
      <c r="B227" s="364">
        <f t="shared" si="102"/>
        <v>13.25975</v>
      </c>
      <c r="C227" s="337">
        <f t="shared" si="83"/>
        <v>3.1617851256641583</v>
      </c>
      <c r="D227" s="338">
        <f t="shared" si="84"/>
        <v>1.2489938461659225</v>
      </c>
      <c r="E227" s="338">
        <f t="shared" si="85"/>
        <v>1.0001998846725781</v>
      </c>
      <c r="F227" s="339">
        <f t="shared" si="86"/>
        <v>1.9992567786772612E-2</v>
      </c>
      <c r="G227" s="338">
        <f t="shared" si="87"/>
        <v>1</v>
      </c>
      <c r="H227" s="339">
        <f t="shared" si="88"/>
        <v>0</v>
      </c>
      <c r="I227" s="337">
        <f t="shared" si="89"/>
        <v>8000.1548338300645</v>
      </c>
      <c r="J227" s="340">
        <f t="shared" si="90"/>
        <v>1.5706713292138028</v>
      </c>
      <c r="K227" s="348">
        <f t="shared" si="106"/>
        <v>2.2916976654814261</v>
      </c>
      <c r="L227" s="349">
        <f t="shared" si="107"/>
        <v>1.1192496278508652</v>
      </c>
      <c r="M227" s="337">
        <f t="shared" si="91"/>
        <v>1.0073510150305487</v>
      </c>
      <c r="N227" s="340">
        <f t="shared" si="92"/>
        <v>0.12088229418902761</v>
      </c>
      <c r="O227" s="341">
        <f t="shared" si="93"/>
        <v>1.0002005879466673</v>
      </c>
      <c r="P227" s="342">
        <f t="shared" si="94"/>
        <v>0.17184055835936998</v>
      </c>
      <c r="Q227" s="343">
        <f t="shared" si="95"/>
        <v>14.28792624169024</v>
      </c>
      <c r="R227" s="344">
        <f t="shared" si="96"/>
        <v>-113.05292868325475</v>
      </c>
      <c r="S227" s="346">
        <f t="shared" si="97"/>
        <v>66.947071316745252</v>
      </c>
      <c r="U227" s="319">
        <f t="shared" si="103"/>
        <v>1000000000</v>
      </c>
      <c r="V227" s="319">
        <f t="shared" si="104"/>
        <v>175820970.0625</v>
      </c>
      <c r="X227" s="345">
        <f t="shared" si="98"/>
        <v>26.784786432951048</v>
      </c>
      <c r="Y227" s="346">
        <f t="shared" si="99"/>
        <v>-32.790603581070165</v>
      </c>
      <c r="AA227" s="345">
        <f t="shared" si="100"/>
        <v>49.742881143129168</v>
      </c>
      <c r="AB227" s="346">
        <f t="shared" si="101"/>
        <v>-80.262325102184562</v>
      </c>
      <c r="AD227">
        <f t="shared" si="105"/>
        <v>0</v>
      </c>
      <c r="AE227">
        <f t="shared" si="108"/>
        <v>0</v>
      </c>
    </row>
    <row r="228" spans="1:31" x14ac:dyDescent="0.25">
      <c r="A228" s="347">
        <v>13336.5</v>
      </c>
      <c r="B228" s="364">
        <f t="shared" si="102"/>
        <v>13.336499999999999</v>
      </c>
      <c r="C228" s="337">
        <f t="shared" si="83"/>
        <v>3.1782602208612905</v>
      </c>
      <c r="D228" s="338">
        <f t="shared" si="84"/>
        <v>1.2507215430458418</v>
      </c>
      <c r="E228" s="338">
        <f t="shared" si="85"/>
        <v>1.0002022050771384</v>
      </c>
      <c r="F228" s="339">
        <f t="shared" si="86"/>
        <v>2.0108257537917784E-2</v>
      </c>
      <c r="G228" s="338">
        <f t="shared" si="87"/>
        <v>1</v>
      </c>
      <c r="H228" s="339">
        <f t="shared" si="88"/>
        <v>0</v>
      </c>
      <c r="I228" s="337">
        <f t="shared" si="89"/>
        <v>8046.4612780639673</v>
      </c>
      <c r="J228" s="340">
        <f t="shared" si="90"/>
        <v>1.5706720485602768</v>
      </c>
      <c r="K228" s="348">
        <f t="shared" si="106"/>
        <v>2.3024426224410273</v>
      </c>
      <c r="L228" s="349">
        <f t="shared" si="107"/>
        <v>1.1215116022590139</v>
      </c>
      <c r="M228" s="337">
        <f t="shared" si="91"/>
        <v>1.0074360445253461</v>
      </c>
      <c r="N228" s="340">
        <f t="shared" si="92"/>
        <v>0.12157512961478875</v>
      </c>
      <c r="O228" s="341">
        <f t="shared" si="93"/>
        <v>1.0002041561483037</v>
      </c>
      <c r="P228" s="342">
        <f t="shared" si="94"/>
        <v>0.17284457709839404</v>
      </c>
      <c r="Q228" s="343">
        <f t="shared" si="95"/>
        <v>14.232539475710592</v>
      </c>
      <c r="R228" s="344">
        <f t="shared" si="96"/>
        <v>-113.11295209900189</v>
      </c>
      <c r="S228" s="346">
        <f t="shared" si="97"/>
        <v>66.887047900998112</v>
      </c>
      <c r="U228" s="319">
        <f t="shared" si="103"/>
        <v>1000000000</v>
      </c>
      <c r="V228" s="319">
        <f t="shared" si="104"/>
        <v>177862232.25</v>
      </c>
      <c r="X228" s="345">
        <f t="shared" si="98"/>
        <v>26.774552508419411</v>
      </c>
      <c r="Y228" s="346">
        <f t="shared" si="99"/>
        <v>-32.700739755324186</v>
      </c>
      <c r="AA228" s="345">
        <f t="shared" si="100"/>
        <v>49.697728301681167</v>
      </c>
      <c r="AB228" s="346">
        <f t="shared" si="101"/>
        <v>-80.412212343677723</v>
      </c>
      <c r="AD228">
        <f t="shared" si="105"/>
        <v>0</v>
      </c>
      <c r="AE228">
        <f t="shared" si="108"/>
        <v>0</v>
      </c>
    </row>
    <row r="229" spans="1:31" x14ac:dyDescent="0.25">
      <c r="A229" s="347">
        <v>13413.25</v>
      </c>
      <c r="B229" s="364">
        <f t="shared" si="102"/>
        <v>13.41325</v>
      </c>
      <c r="C229" s="337">
        <f t="shared" si="83"/>
        <v>3.19474470510024</v>
      </c>
      <c r="D229" s="338">
        <f t="shared" si="84"/>
        <v>1.2524314155849776</v>
      </c>
      <c r="E229" s="338">
        <f t="shared" si="85"/>
        <v>1.0002045388684615</v>
      </c>
      <c r="F229" s="339">
        <f t="shared" si="86"/>
        <v>2.0223946750730307E-2</v>
      </c>
      <c r="G229" s="338">
        <f t="shared" si="87"/>
        <v>1</v>
      </c>
      <c r="H229" s="339">
        <f t="shared" si="88"/>
        <v>0</v>
      </c>
      <c r="I229" s="337">
        <f t="shared" si="89"/>
        <v>8092.7677223019864</v>
      </c>
      <c r="J229" s="340">
        <f t="shared" si="90"/>
        <v>1.5706727596746159</v>
      </c>
      <c r="K229" s="348">
        <f t="shared" si="106"/>
        <v>2.3131992504358632</v>
      </c>
      <c r="L229" s="349">
        <f t="shared" si="107"/>
        <v>1.1237525511905684</v>
      </c>
      <c r="M229" s="337">
        <f t="shared" si="91"/>
        <v>1.0075215575287673</v>
      </c>
      <c r="N229" s="340">
        <f t="shared" si="92"/>
        <v>0.12226784776474335</v>
      </c>
      <c r="O229" s="341">
        <f t="shared" si="93"/>
        <v>1.0002077736313055</v>
      </c>
      <c r="P229" s="342">
        <f t="shared" si="94"/>
        <v>0.17384875604250491</v>
      </c>
      <c r="Q229" s="343">
        <f t="shared" si="95"/>
        <v>14.177498487158847</v>
      </c>
      <c r="R229" s="344">
        <f t="shared" si="96"/>
        <v>-113.17316094516508</v>
      </c>
      <c r="S229" s="346">
        <f t="shared" si="97"/>
        <v>66.82683905483492</v>
      </c>
      <c r="U229" s="319">
        <f t="shared" si="103"/>
        <v>1000000000</v>
      </c>
      <c r="V229" s="319">
        <f t="shared" si="104"/>
        <v>179915275.5625</v>
      </c>
      <c r="X229" s="345">
        <f t="shared" si="98"/>
        <v>26.764456801994587</v>
      </c>
      <c r="Y229" s="346">
        <f t="shared" si="99"/>
        <v>-32.612073409575352</v>
      </c>
      <c r="AA229" s="345">
        <f t="shared" si="100"/>
        <v>49.652783019554235</v>
      </c>
      <c r="AB229" s="346">
        <f t="shared" si="101"/>
        <v>-80.561087535589735</v>
      </c>
      <c r="AD229">
        <f t="shared" si="105"/>
        <v>0</v>
      </c>
      <c r="AE229">
        <f t="shared" si="108"/>
        <v>0</v>
      </c>
    </row>
    <row r="230" spans="1:31" x14ac:dyDescent="0.25">
      <c r="A230" s="347">
        <v>13490</v>
      </c>
      <c r="B230" s="364">
        <f t="shared" si="102"/>
        <v>13.49</v>
      </c>
      <c r="C230" s="337">
        <f t="shared" si="83"/>
        <v>3.2112384337886524</v>
      </c>
      <c r="D230" s="338">
        <f t="shared" si="84"/>
        <v>1.254123728358326</v>
      </c>
      <c r="E230" s="338">
        <f t="shared" si="85"/>
        <v>1.0002068860464532</v>
      </c>
      <c r="F230" s="339">
        <f t="shared" si="86"/>
        <v>2.0339635422117183E-2</v>
      </c>
      <c r="G230" s="338">
        <f t="shared" si="87"/>
        <v>1</v>
      </c>
      <c r="H230" s="339">
        <f t="shared" si="88"/>
        <v>0</v>
      </c>
      <c r="I230" s="337">
        <f t="shared" si="89"/>
        <v>8139.0741665440519</v>
      </c>
      <c r="J230" s="340">
        <f t="shared" si="90"/>
        <v>1.570673462697328</v>
      </c>
      <c r="K230" s="348">
        <f t="shared" si="106"/>
        <v>2.3239673874055953</v>
      </c>
      <c r="L230" s="349">
        <f t="shared" si="107"/>
        <v>1.1259727442462284</v>
      </c>
      <c r="M230" s="337">
        <f t="shared" si="91"/>
        <v>1.0076075539177101</v>
      </c>
      <c r="N230" s="340">
        <f t="shared" si="92"/>
        <v>0.12296044800402178</v>
      </c>
      <c r="O230" s="341">
        <f t="shared" si="93"/>
        <v>1.0002114408906375</v>
      </c>
      <c r="P230" s="342">
        <f t="shared" si="94"/>
        <v>0.17485309605337301</v>
      </c>
      <c r="Q230" s="343">
        <f t="shared" si="95"/>
        <v>14.122798913417133</v>
      </c>
      <c r="R230" s="344">
        <f t="shared" si="96"/>
        <v>-113.23355495501511</v>
      </c>
      <c r="S230" s="346">
        <f t="shared" si="97"/>
        <v>66.766445044984891</v>
      </c>
      <c r="U230" s="319">
        <f t="shared" si="103"/>
        <v>1000000000</v>
      </c>
      <c r="V230" s="319">
        <f t="shared" si="104"/>
        <v>181980100</v>
      </c>
      <c r="X230" s="345">
        <f t="shared" si="98"/>
        <v>26.754496572202978</v>
      </c>
      <c r="Y230" s="346">
        <f t="shared" si="99"/>
        <v>-32.524589068516519</v>
      </c>
      <c r="AA230" s="345">
        <f t="shared" si="100"/>
        <v>49.608043675604137</v>
      </c>
      <c r="AB230" s="346">
        <f t="shared" si="101"/>
        <v>-80.708965886498575</v>
      </c>
      <c r="AD230">
        <f t="shared" si="105"/>
        <v>0</v>
      </c>
      <c r="AE230">
        <f t="shared" si="108"/>
        <v>0</v>
      </c>
    </row>
    <row r="231" spans="1:31" x14ac:dyDescent="0.25">
      <c r="A231" s="347">
        <v>13568.5</v>
      </c>
      <c r="B231" s="364">
        <f t="shared" si="102"/>
        <v>13.5685</v>
      </c>
      <c r="C231" s="337">
        <f t="shared" si="83"/>
        <v>3.2281176563136755</v>
      </c>
      <c r="D231" s="338">
        <f t="shared" si="84"/>
        <v>1.2558367336870715</v>
      </c>
      <c r="E231" s="338">
        <f t="shared" si="85"/>
        <v>1.0002093005910624</v>
      </c>
      <c r="F231" s="339">
        <f t="shared" si="86"/>
        <v>2.0457961382638095E-2</v>
      </c>
      <c r="G231" s="338">
        <f t="shared" si="87"/>
        <v>1</v>
      </c>
      <c r="H231" s="339">
        <f t="shared" si="88"/>
        <v>0</v>
      </c>
      <c r="I231" s="337">
        <f t="shared" si="89"/>
        <v>8186.4364580530791</v>
      </c>
      <c r="J231" s="340">
        <f t="shared" si="90"/>
        <v>1.570674173522516</v>
      </c>
      <c r="K231" s="348">
        <f t="shared" si="106"/>
        <v>2.3349927915587463</v>
      </c>
      <c r="L231" s="349">
        <f t="shared" si="107"/>
        <v>1.1282223660921946</v>
      </c>
      <c r="M231" s="337">
        <f t="shared" si="91"/>
        <v>1.0076960110512774</v>
      </c>
      <c r="N231" s="340">
        <f t="shared" si="92"/>
        <v>0.12366871779602484</v>
      </c>
      <c r="O231" s="341">
        <f t="shared" si="93"/>
        <v>1.0002152437788576</v>
      </c>
      <c r="P231" s="342">
        <f t="shared" si="94"/>
        <v>0.17588050383952339</v>
      </c>
      <c r="Q231" s="343">
        <f t="shared" si="95"/>
        <v>14.067200832333924</v>
      </c>
      <c r="R231" s="344">
        <f t="shared" si="96"/>
        <v>-113.29551724239437</v>
      </c>
      <c r="S231" s="346">
        <f t="shared" si="97"/>
        <v>66.704482757605632</v>
      </c>
      <c r="U231" s="319">
        <f t="shared" si="103"/>
        <v>1000000000</v>
      </c>
      <c r="V231" s="319">
        <f t="shared" si="104"/>
        <v>184104192.25</v>
      </c>
      <c r="X231" s="345">
        <f t="shared" si="98"/>
        <v>26.744446591031036</v>
      </c>
      <c r="Y231" s="346">
        <f t="shared" si="99"/>
        <v>-32.436316828262996</v>
      </c>
      <c r="AA231" s="345">
        <f t="shared" si="100"/>
        <v>49.562495575692864</v>
      </c>
      <c r="AB231" s="346">
        <f t="shared" si="101"/>
        <v>-80.859200414131408</v>
      </c>
      <c r="AD231">
        <f t="shared" si="105"/>
        <v>0</v>
      </c>
      <c r="AE231">
        <f t="shared" si="108"/>
        <v>0</v>
      </c>
    </row>
    <row r="232" spans="1:31" x14ac:dyDescent="0.25">
      <c r="A232" s="347">
        <v>13647</v>
      </c>
      <c r="B232" s="364">
        <f t="shared" si="102"/>
        <v>13.647</v>
      </c>
      <c r="C232" s="337">
        <f t="shared" si="83"/>
        <v>3.2450062528251027</v>
      </c>
      <c r="D232" s="338">
        <f t="shared" si="84"/>
        <v>1.2575319133152967</v>
      </c>
      <c r="E232" s="338">
        <f t="shared" si="85"/>
        <v>1.0002117291395671</v>
      </c>
      <c r="F232" s="339">
        <f t="shared" si="86"/>
        <v>2.0576286770216667E-2</v>
      </c>
      <c r="G232" s="338">
        <f t="shared" si="87"/>
        <v>1</v>
      </c>
      <c r="H232" s="339">
        <f t="shared" si="88"/>
        <v>0</v>
      </c>
      <c r="I232" s="337">
        <f t="shared" si="89"/>
        <v>8233.7987495661946</v>
      </c>
      <c r="J232" s="340">
        <f t="shared" si="90"/>
        <v>1.5706748761701153</v>
      </c>
      <c r="K232" s="348">
        <f t="shared" si="106"/>
        <v>2.3460299015354131</v>
      </c>
      <c r="L232" s="349">
        <f t="shared" si="107"/>
        <v>1.1304508320286473</v>
      </c>
      <c r="M232" s="337">
        <f t="shared" si="91"/>
        <v>1.0077849736027282</v>
      </c>
      <c r="N232" s="340">
        <f t="shared" si="92"/>
        <v>0.12437686289771427</v>
      </c>
      <c r="O232" s="341">
        <f t="shared" si="93"/>
        <v>1.0002190997956699</v>
      </c>
      <c r="P232" s="342">
        <f t="shared" si="94"/>
        <v>0.17690808194119514</v>
      </c>
      <c r="Q232" s="343">
        <f t="shared" si="95"/>
        <v>14.011950926399619</v>
      </c>
      <c r="R232" s="344">
        <f t="shared" si="96"/>
        <v>-113.35767251511183</v>
      </c>
      <c r="S232" s="346">
        <f t="shared" si="97"/>
        <v>66.64232748488817</v>
      </c>
      <c r="U232" s="319">
        <f t="shared" si="103"/>
        <v>1000000000</v>
      </c>
      <c r="V232" s="319">
        <f t="shared" si="104"/>
        <v>186240609</v>
      </c>
      <c r="X232" s="345">
        <f t="shared" si="98"/>
        <v>26.734532736366607</v>
      </c>
      <c r="Y232" s="346">
        <f t="shared" si="99"/>
        <v>-32.349249119567673</v>
      </c>
      <c r="AA232" s="345">
        <f t="shared" si="100"/>
        <v>49.517159524422993</v>
      </c>
      <c r="AB232" s="346">
        <f t="shared" si="101"/>
        <v>-81.008423395544142</v>
      </c>
      <c r="AD232">
        <f t="shared" si="105"/>
        <v>0</v>
      </c>
      <c r="AE232">
        <f t="shared" si="108"/>
        <v>0</v>
      </c>
    </row>
    <row r="233" spans="1:31" x14ac:dyDescent="0.25">
      <c r="A233" s="347">
        <v>13725.5</v>
      </c>
      <c r="B233" s="364">
        <f t="shared" si="102"/>
        <v>13.7255</v>
      </c>
      <c r="C233" s="337">
        <f t="shared" si="83"/>
        <v>3.2619040777207333</v>
      </c>
      <c r="D233" s="338">
        <f t="shared" si="84"/>
        <v>1.2592095344543919</v>
      </c>
      <c r="E233" s="338">
        <f t="shared" si="85"/>
        <v>1.0002141716918656</v>
      </c>
      <c r="F233" s="339">
        <f t="shared" si="86"/>
        <v>2.0694611581543766E-2</v>
      </c>
      <c r="G233" s="338">
        <f t="shared" si="87"/>
        <v>1</v>
      </c>
      <c r="H233" s="339">
        <f t="shared" si="88"/>
        <v>0</v>
      </c>
      <c r="I233" s="337">
        <f t="shared" si="89"/>
        <v>8281.1610410833291</v>
      </c>
      <c r="J233" s="340">
        <f t="shared" si="90"/>
        <v>1.5706755707804356</v>
      </c>
      <c r="K233" s="348">
        <f t="shared" si="106"/>
        <v>2.3570785528967098</v>
      </c>
      <c r="L233" s="349">
        <f t="shared" si="107"/>
        <v>1.1326584172663672</v>
      </c>
      <c r="M233" s="337">
        <f t="shared" si="91"/>
        <v>1.0078744414382272</v>
      </c>
      <c r="N233" s="340">
        <f t="shared" si="92"/>
        <v>0.12508488263197654</v>
      </c>
      <c r="O233" s="341">
        <f t="shared" si="93"/>
        <v>1.0002230094798574</v>
      </c>
      <c r="P233" s="342">
        <f t="shared" si="94"/>
        <v>0.1779358312768749</v>
      </c>
      <c r="Q233" s="343">
        <f t="shared" si="95"/>
        <v>13.957044772572431</v>
      </c>
      <c r="R233" s="344">
        <f t="shared" si="96"/>
        <v>-113.42002033689448</v>
      </c>
      <c r="S233" s="346">
        <f t="shared" si="97"/>
        <v>66.579979663105519</v>
      </c>
      <c r="U233" s="319">
        <f t="shared" si="103"/>
        <v>1000000000</v>
      </c>
      <c r="V233" s="319">
        <f t="shared" si="104"/>
        <v>188389350.25</v>
      </c>
      <c r="X233" s="345">
        <f t="shared" si="98"/>
        <v>26.72475227655778</v>
      </c>
      <c r="Y233" s="346">
        <f t="shared" si="99"/>
        <v>-32.263370143257781</v>
      </c>
      <c r="AA233" s="345">
        <f t="shared" si="100"/>
        <v>49.472033830404627</v>
      </c>
      <c r="AB233" s="346">
        <f t="shared" si="101"/>
        <v>-81.156650193636679</v>
      </c>
      <c r="AD233">
        <f t="shared" si="105"/>
        <v>0</v>
      </c>
      <c r="AE233">
        <f t="shared" si="108"/>
        <v>0</v>
      </c>
    </row>
    <row r="234" spans="1:31" x14ac:dyDescent="0.25">
      <c r="A234" s="347">
        <v>13804</v>
      </c>
      <c r="B234" s="364">
        <f t="shared" si="102"/>
        <v>13.804</v>
      </c>
      <c r="C234" s="337">
        <f t="shared" si="83"/>
        <v>3.2788109883211458</v>
      </c>
      <c r="D234" s="338">
        <f t="shared" si="84"/>
        <v>1.2608698592042</v>
      </c>
      <c r="E234" s="338">
        <f t="shared" si="85"/>
        <v>1.0002166282478548</v>
      </c>
      <c r="F234" s="339">
        <f t="shared" si="86"/>
        <v>2.0812935813310347E-2</v>
      </c>
      <c r="G234" s="338">
        <f t="shared" si="87"/>
        <v>1</v>
      </c>
      <c r="H234" s="339">
        <f t="shared" si="88"/>
        <v>0</v>
      </c>
      <c r="I234" s="337">
        <f t="shared" si="89"/>
        <v>8328.5233326044145</v>
      </c>
      <c r="J234" s="340">
        <f t="shared" si="90"/>
        <v>1.5706762574905953</v>
      </c>
      <c r="K234" s="348">
        <f t="shared" si="106"/>
        <v>2.3681385841021778</v>
      </c>
      <c r="L234" s="349">
        <f t="shared" si="107"/>
        <v>1.1348453926969724</v>
      </c>
      <c r="M234" s="337">
        <f t="shared" si="91"/>
        <v>1.0079644144232254</v>
      </c>
      <c r="N234" s="340">
        <f t="shared" si="92"/>
        <v>0.1257927763224406</v>
      </c>
      <c r="O234" s="341">
        <f t="shared" si="93"/>
        <v>1.0002269733732982</v>
      </c>
      <c r="P234" s="342">
        <f t="shared" si="94"/>
        <v>0.17896375276386131</v>
      </c>
      <c r="Q234" s="343">
        <f t="shared" si="95"/>
        <v>13.902478026696656</v>
      </c>
      <c r="R234" s="344">
        <f t="shared" si="96"/>
        <v>-113.48256022586079</v>
      </c>
      <c r="S234" s="346">
        <f t="shared" si="97"/>
        <v>66.517439774139206</v>
      </c>
      <c r="U234" s="319">
        <f t="shared" si="103"/>
        <v>1000000000</v>
      </c>
      <c r="V234" s="319">
        <f t="shared" si="104"/>
        <v>190550416</v>
      </c>
      <c r="X234" s="345">
        <f t="shared" si="98"/>
        <v>26.71510254426655</v>
      </c>
      <c r="Y234" s="346">
        <f t="shared" si="99"/>
        <v>-32.178664347489935</v>
      </c>
      <c r="AA234" s="345">
        <f t="shared" si="100"/>
        <v>49.427116816820089</v>
      </c>
      <c r="AB234" s="346">
        <f t="shared" si="101"/>
        <v>-81.303895878370838</v>
      </c>
      <c r="AD234">
        <f t="shared" si="105"/>
        <v>0</v>
      </c>
      <c r="AE234">
        <f t="shared" si="108"/>
        <v>0</v>
      </c>
    </row>
    <row r="235" spans="1:31" x14ac:dyDescent="0.25">
      <c r="A235" s="347">
        <v>13884.25</v>
      </c>
      <c r="B235" s="364">
        <f t="shared" si="102"/>
        <v>13.88425</v>
      </c>
      <c r="C235" s="337">
        <f t="shared" si="83"/>
        <v>3.2961040507597561</v>
      </c>
      <c r="D235" s="338">
        <f t="shared" si="84"/>
        <v>1.2625495862057265</v>
      </c>
      <c r="E235" s="338">
        <f t="shared" si="85"/>
        <v>1.0002191540431711</v>
      </c>
      <c r="F235" s="339">
        <f t="shared" si="86"/>
        <v>2.0933897243891469E-2</v>
      </c>
      <c r="G235" s="338">
        <f t="shared" si="87"/>
        <v>1</v>
      </c>
      <c r="H235" s="339">
        <f t="shared" si="88"/>
        <v>0</v>
      </c>
      <c r="I235" s="337">
        <f t="shared" si="89"/>
        <v>8376.9414713927217</v>
      </c>
      <c r="J235" s="340">
        <f t="shared" si="90"/>
        <v>1.5706769514828225</v>
      </c>
      <c r="K235" s="348">
        <f t="shared" si="106"/>
        <v>2.3794567744702726</v>
      </c>
      <c r="L235" s="349">
        <f t="shared" si="107"/>
        <v>1.1370600958995181</v>
      </c>
      <c r="M235" s="337">
        <f t="shared" si="91"/>
        <v>1.0080569152015109</v>
      </c>
      <c r="N235" s="340">
        <f t="shared" si="92"/>
        <v>0.12651632008890745</v>
      </c>
      <c r="O235" s="341">
        <f t="shared" si="93"/>
        <v>1.0002310822367786</v>
      </c>
      <c r="P235" s="342">
        <f t="shared" si="94"/>
        <v>0.18001476860274043</v>
      </c>
      <c r="Q235" s="343">
        <f t="shared" si="95"/>
        <v>13.847041223504579</v>
      </c>
      <c r="R235" s="344">
        <f t="shared" si="96"/>
        <v>-113.54669230672592</v>
      </c>
      <c r="S235" s="346">
        <f t="shared" si="97"/>
        <v>66.453307693274084</v>
      </c>
      <c r="U235" s="319">
        <f t="shared" si="103"/>
        <v>1000000000</v>
      </c>
      <c r="V235" s="319">
        <f t="shared" si="104"/>
        <v>192772398.0625</v>
      </c>
      <c r="X235" s="345">
        <f t="shared" si="98"/>
        <v>26.705370109836849</v>
      </c>
      <c r="Y235" s="346">
        <f t="shared" si="99"/>
        <v>-32.09326696794956</v>
      </c>
      <c r="AA235" s="345">
        <f t="shared" si="100"/>
        <v>49.381412448057702</v>
      </c>
      <c r="AB235" s="346">
        <f t="shared" si="101"/>
        <v>-81.453425338776356</v>
      </c>
      <c r="AD235">
        <f t="shared" si="105"/>
        <v>0</v>
      </c>
      <c r="AE235">
        <f t="shared" si="108"/>
        <v>0</v>
      </c>
    </row>
    <row r="236" spans="1:31" x14ac:dyDescent="0.25">
      <c r="A236" s="347">
        <v>13964.5</v>
      </c>
      <c r="B236" s="364">
        <f t="shared" si="102"/>
        <v>13.964499999999999</v>
      </c>
      <c r="C236" s="337">
        <f t="shared" si="83"/>
        <v>3.313406316009456</v>
      </c>
      <c r="D236" s="338">
        <f t="shared" si="84"/>
        <v>1.2642117751348578</v>
      </c>
      <c r="E236" s="338">
        <f t="shared" si="85"/>
        <v>1.0002216944732873</v>
      </c>
      <c r="F236" s="339">
        <f t="shared" si="86"/>
        <v>2.1054858061790541E-2</v>
      </c>
      <c r="G236" s="338">
        <f t="shared" si="87"/>
        <v>1</v>
      </c>
      <c r="H236" s="339">
        <f t="shared" si="88"/>
        <v>0</v>
      </c>
      <c r="I236" s="337">
        <f t="shared" si="89"/>
        <v>8425.3596101850162</v>
      </c>
      <c r="J236" s="340">
        <f t="shared" si="90"/>
        <v>1.5706776374986986</v>
      </c>
      <c r="K236" s="348">
        <f t="shared" si="106"/>
        <v>2.3907865253238834</v>
      </c>
      <c r="L236" s="349">
        <f t="shared" si="107"/>
        <v>1.1392538191658503</v>
      </c>
      <c r="M236" s="337">
        <f t="shared" si="91"/>
        <v>1.0081499436162953</v>
      </c>
      <c r="N236" s="340">
        <f t="shared" si="92"/>
        <v>0.1272397307020518</v>
      </c>
      <c r="O236" s="341">
        <f t="shared" si="93"/>
        <v>1.0002352489085591</v>
      </c>
      <c r="P236" s="342">
        <f t="shared" si="94"/>
        <v>0.18106596628886262</v>
      </c>
      <c r="Q236" s="343">
        <f t="shared" si="95"/>
        <v>13.791950193296378</v>
      </c>
      <c r="R236" s="344">
        <f t="shared" si="96"/>
        <v>-113.61102395991067</v>
      </c>
      <c r="S236" s="346">
        <f t="shared" si="97"/>
        <v>66.388976040089332</v>
      </c>
      <c r="U236" s="319">
        <f t="shared" si="103"/>
        <v>1000000000</v>
      </c>
      <c r="V236" s="319">
        <f t="shared" si="104"/>
        <v>195007260.25</v>
      </c>
      <c r="X236" s="345">
        <f t="shared" si="98"/>
        <v>26.695768857367128</v>
      </c>
      <c r="Y236" s="346">
        <f t="shared" si="99"/>
        <v>-32.009063564075376</v>
      </c>
      <c r="AA236" s="345">
        <f t="shared" si="100"/>
        <v>49.335922670319228</v>
      </c>
      <c r="AB236" s="346">
        <f t="shared" si="101"/>
        <v>-81.601960395835334</v>
      </c>
      <c r="AD236">
        <f t="shared" si="105"/>
        <v>0</v>
      </c>
      <c r="AE236">
        <f t="shared" si="108"/>
        <v>0</v>
      </c>
    </row>
    <row r="237" spans="1:31" x14ac:dyDescent="0.25">
      <c r="A237" s="347">
        <v>14044.75</v>
      </c>
      <c r="B237" s="364">
        <f t="shared" si="102"/>
        <v>14.044750000000001</v>
      </c>
      <c r="C237" s="337">
        <f t="shared" si="83"/>
        <v>3.3307176406511751</v>
      </c>
      <c r="D237" s="338">
        <f t="shared" si="84"/>
        <v>1.2658566901956263</v>
      </c>
      <c r="E237" s="338">
        <f t="shared" si="85"/>
        <v>1.0002242495380922</v>
      </c>
      <c r="F237" s="339">
        <f t="shared" si="86"/>
        <v>2.1175818263472562E-2</v>
      </c>
      <c r="G237" s="338">
        <f t="shared" si="87"/>
        <v>1</v>
      </c>
      <c r="H237" s="339">
        <f t="shared" si="88"/>
        <v>0</v>
      </c>
      <c r="I237" s="337">
        <f t="shared" si="89"/>
        <v>8473.7777489812324</v>
      </c>
      <c r="J237" s="340">
        <f t="shared" si="90"/>
        <v>1.5706783156749518</v>
      </c>
      <c r="K237" s="348">
        <f t="shared" si="106"/>
        <v>2.4021276730862566</v>
      </c>
      <c r="L237" s="349">
        <f t="shared" si="107"/>
        <v>1.1414268383884412</v>
      </c>
      <c r="M237" s="337">
        <f t="shared" si="91"/>
        <v>1.0082434995215277</v>
      </c>
      <c r="N237" s="340">
        <f t="shared" si="92"/>
        <v>0.12796300744168154</v>
      </c>
      <c r="O237" s="341">
        <f t="shared" si="93"/>
        <v>1.0002394739775986</v>
      </c>
      <c r="P237" s="342">
        <f t="shared" si="94"/>
        <v>0.18211734679835143</v>
      </c>
      <c r="Q237" s="343">
        <f t="shared" si="95"/>
        <v>13.737200539186517</v>
      </c>
      <c r="R237" s="344">
        <f t="shared" si="96"/>
        <v>-113.67555453841717</v>
      </c>
      <c r="S237" s="346">
        <f t="shared" si="97"/>
        <v>66.324445461582826</v>
      </c>
      <c r="U237" s="319">
        <f t="shared" si="103"/>
        <v>1000000000</v>
      </c>
      <c r="V237" s="319">
        <f t="shared" si="104"/>
        <v>197255002.5625</v>
      </c>
      <c r="X237" s="345">
        <f t="shared" si="98"/>
        <v>26.686296134317033</v>
      </c>
      <c r="Y237" s="346">
        <f t="shared" si="99"/>
        <v>-31.926038294963089</v>
      </c>
      <c r="AA237" s="345">
        <f t="shared" si="100"/>
        <v>49.29064573925946</v>
      </c>
      <c r="AB237" s="346">
        <f t="shared" si="101"/>
        <v>-81.749516243454067</v>
      </c>
      <c r="AD237">
        <f t="shared" si="105"/>
        <v>0</v>
      </c>
      <c r="AE237">
        <f t="shared" si="108"/>
        <v>0</v>
      </c>
    </row>
    <row r="238" spans="1:31" x14ac:dyDescent="0.25">
      <c r="A238" s="347">
        <v>14125</v>
      </c>
      <c r="B238" s="364">
        <f t="shared" si="102"/>
        <v>14.125</v>
      </c>
      <c r="C238" s="337">
        <f t="shared" si="83"/>
        <v>3.3480378841577649</v>
      </c>
      <c r="D238" s="338">
        <f t="shared" si="84"/>
        <v>1.2674845905031034</v>
      </c>
      <c r="E238" s="338">
        <f t="shared" si="85"/>
        <v>1.0002268192374739</v>
      </c>
      <c r="F238" s="339">
        <f t="shared" si="86"/>
        <v>2.1296777845402647E-2</v>
      </c>
      <c r="G238" s="338">
        <f t="shared" si="87"/>
        <v>1</v>
      </c>
      <c r="H238" s="339">
        <f t="shared" si="88"/>
        <v>0</v>
      </c>
      <c r="I238" s="337">
        <f t="shared" si="89"/>
        <v>8522.1958877812976</v>
      </c>
      <c r="J238" s="340">
        <f t="shared" si="90"/>
        <v>1.5706789861452022</v>
      </c>
      <c r="K238" s="348">
        <f t="shared" si="106"/>
        <v>2.4134800570922699</v>
      </c>
      <c r="L238" s="349">
        <f t="shared" si="107"/>
        <v>1.1435794250588156</v>
      </c>
      <c r="M238" s="337">
        <f t="shared" si="91"/>
        <v>1.0083375827703822</v>
      </c>
      <c r="N238" s="340">
        <f t="shared" si="92"/>
        <v>0.1286861495884313</v>
      </c>
      <c r="O238" s="341">
        <f t="shared" si="93"/>
        <v>1.0002437580362342</v>
      </c>
      <c r="P238" s="342">
        <f t="shared" si="94"/>
        <v>0.18316891110599837</v>
      </c>
      <c r="Q238" s="343">
        <f t="shared" si="95"/>
        <v>13.682787942963552</v>
      </c>
      <c r="R238" s="344">
        <f t="shared" si="96"/>
        <v>-113.74028335561998</v>
      </c>
      <c r="S238" s="346">
        <f t="shared" si="97"/>
        <v>66.259716644380021</v>
      </c>
      <c r="U238" s="319">
        <f t="shared" si="103"/>
        <v>1000000000</v>
      </c>
      <c r="V238" s="319">
        <f t="shared" si="104"/>
        <v>199515625</v>
      </c>
      <c r="X238" s="345">
        <f t="shared" si="98"/>
        <v>26.676949350994335</v>
      </c>
      <c r="Y238" s="346">
        <f t="shared" si="99"/>
        <v>-31.844175571733402</v>
      </c>
      <c r="AA238" s="345">
        <f t="shared" si="100"/>
        <v>49.245579926359191</v>
      </c>
      <c r="AB238" s="346">
        <f t="shared" si="101"/>
        <v>-81.896107783886563</v>
      </c>
      <c r="AD238">
        <f t="shared" si="105"/>
        <v>0</v>
      </c>
      <c r="AE238">
        <f t="shared" si="108"/>
        <v>0</v>
      </c>
    </row>
    <row r="239" spans="1:31" x14ac:dyDescent="0.25">
      <c r="A239" s="347">
        <v>14207.25</v>
      </c>
      <c r="B239" s="364">
        <f t="shared" si="102"/>
        <v>14.20725</v>
      </c>
      <c r="C239" s="337">
        <f t="shared" si="83"/>
        <v>3.3657988958080187</v>
      </c>
      <c r="D239" s="338">
        <f t="shared" si="84"/>
        <v>1.2691356713134738</v>
      </c>
      <c r="E239" s="338">
        <f t="shared" si="85"/>
        <v>1.0002294681652981</v>
      </c>
      <c r="F239" s="339">
        <f t="shared" si="86"/>
        <v>2.1420751349541595E-2</v>
      </c>
      <c r="G239" s="338">
        <f t="shared" si="87"/>
        <v>1</v>
      </c>
      <c r="H239" s="339">
        <f t="shared" si="88"/>
        <v>0</v>
      </c>
      <c r="I239" s="337">
        <f t="shared" si="89"/>
        <v>8571.8207091722143</v>
      </c>
      <c r="J239" s="340">
        <f t="shared" si="90"/>
        <v>1.5706796654651516</v>
      </c>
      <c r="K239" s="348">
        <f t="shared" si="106"/>
        <v>2.4251268612311487</v>
      </c>
      <c r="L239" s="349">
        <f t="shared" si="107"/>
        <v>1.1457647355308664</v>
      </c>
      <c r="M239" s="337">
        <f t="shared" si="91"/>
        <v>1.0084345578398355</v>
      </c>
      <c r="N239" s="340">
        <f t="shared" si="92"/>
        <v>0.12942717355137226</v>
      </c>
      <c r="O239" s="341">
        <f t="shared" si="93"/>
        <v>1.0002482106991479</v>
      </c>
      <c r="P239" s="342">
        <f t="shared" si="94"/>
        <v>0.18424687436852888</v>
      </c>
      <c r="Q239" s="343">
        <f t="shared" si="95"/>
        <v>13.627364595185828</v>
      </c>
      <c r="R239" s="344">
        <f t="shared" si="96"/>
        <v>-113.80683030540615</v>
      </c>
      <c r="S239" s="346">
        <f t="shared" si="97"/>
        <v>66.193169694593848</v>
      </c>
      <c r="U239" s="319">
        <f t="shared" si="103"/>
        <v>1000000000</v>
      </c>
      <c r="V239" s="319">
        <f t="shared" si="104"/>
        <v>201845952.5625</v>
      </c>
      <c r="X239" s="345">
        <f t="shared" si="98"/>
        <v>26.667497667606966</v>
      </c>
      <c r="Y239" s="346">
        <f t="shared" si="99"/>
        <v>-31.761462972425257</v>
      </c>
      <c r="AA239" s="345">
        <f t="shared" si="100"/>
        <v>49.199608261968841</v>
      </c>
      <c r="AB239" s="346">
        <f t="shared" si="101"/>
        <v>-82.045367332980916</v>
      </c>
      <c r="AD239">
        <f t="shared" si="105"/>
        <v>0</v>
      </c>
      <c r="AE239">
        <f t="shared" si="108"/>
        <v>0</v>
      </c>
    </row>
    <row r="240" spans="1:31" x14ac:dyDescent="0.25">
      <c r="A240" s="347">
        <v>14289.5</v>
      </c>
      <c r="B240" s="364">
        <f t="shared" si="102"/>
        <v>14.2895</v>
      </c>
      <c r="C240" s="337">
        <f t="shared" si="83"/>
        <v>3.3835689865130267</v>
      </c>
      <c r="D240" s="338">
        <f t="shared" si="84"/>
        <v>1.2707694139894732</v>
      </c>
      <c r="E240" s="338">
        <f t="shared" si="85"/>
        <v>1.0002321324659971</v>
      </c>
      <c r="F240" s="339">
        <f t="shared" si="86"/>
        <v>2.1544724195133851E-2</v>
      </c>
      <c r="G240" s="338">
        <f t="shared" si="87"/>
        <v>1</v>
      </c>
      <c r="H240" s="339">
        <f t="shared" si="88"/>
        <v>0</v>
      </c>
      <c r="I240" s="337">
        <f t="shared" si="89"/>
        <v>8621.4455305670399</v>
      </c>
      <c r="J240" s="340">
        <f t="shared" si="90"/>
        <v>1.5706803369648041</v>
      </c>
      <c r="K240" s="348">
        <f t="shared" si="106"/>
        <v>2.4367851360214616</v>
      </c>
      <c r="L240" s="349">
        <f t="shared" si="107"/>
        <v>1.1479291459604</v>
      </c>
      <c r="M240" s="337">
        <f t="shared" si="91"/>
        <v>1.0085320865506893</v>
      </c>
      <c r="N240" s="340">
        <f t="shared" si="92"/>
        <v>0.13016805460166786</v>
      </c>
      <c r="O240" s="341">
        <f t="shared" si="93"/>
        <v>1.0002527265994372</v>
      </c>
      <c r="P240" s="342">
        <f t="shared" si="94"/>
        <v>0.18532503277381746</v>
      </c>
      <c r="Q240" s="343">
        <f t="shared" si="95"/>
        <v>13.572286375572711</v>
      </c>
      <c r="R240" s="344">
        <f t="shared" si="96"/>
        <v>-113.87358391972339</v>
      </c>
      <c r="S240" s="346">
        <f t="shared" si="97"/>
        <v>66.126416080276613</v>
      </c>
      <c r="U240" s="319">
        <f t="shared" si="103"/>
        <v>1000000000</v>
      </c>
      <c r="V240" s="319">
        <f t="shared" si="104"/>
        <v>204189810.25</v>
      </c>
      <c r="X240" s="345">
        <f t="shared" si="98"/>
        <v>26.65817296603187</v>
      </c>
      <c r="Y240" s="346">
        <f t="shared" si="99"/>
        <v>-31.679939220984924</v>
      </c>
      <c r="AA240" s="345">
        <f t="shared" si="100"/>
        <v>49.153854743930822</v>
      </c>
      <c r="AB240" s="346">
        <f t="shared" si="101"/>
        <v>-82.193644698738453</v>
      </c>
      <c r="AD240">
        <f t="shared" si="105"/>
        <v>0</v>
      </c>
      <c r="AE240">
        <f t="shared" si="108"/>
        <v>0</v>
      </c>
    </row>
    <row r="241" spans="1:31" x14ac:dyDescent="0.25">
      <c r="A241" s="347">
        <v>14371.75</v>
      </c>
      <c r="B241" s="364">
        <f t="shared" si="102"/>
        <v>14.37175</v>
      </c>
      <c r="C241" s="337">
        <f t="shared" si="83"/>
        <v>3.4013480139742454</v>
      </c>
      <c r="D241" s="338">
        <f t="shared" si="84"/>
        <v>1.2723860816228516</v>
      </c>
      <c r="E241" s="338">
        <f t="shared" si="85"/>
        <v>1.0002348121394484</v>
      </c>
      <c r="F241" s="339">
        <f t="shared" si="86"/>
        <v>2.1668696378373951E-2</v>
      </c>
      <c r="G241" s="338">
        <f t="shared" si="87"/>
        <v>1</v>
      </c>
      <c r="H241" s="339">
        <f t="shared" si="88"/>
        <v>0</v>
      </c>
      <c r="I241" s="337">
        <f t="shared" si="89"/>
        <v>8671.0703519657091</v>
      </c>
      <c r="J241" s="340">
        <f t="shared" si="90"/>
        <v>1.5706810007784273</v>
      </c>
      <c r="K241" s="348">
        <f t="shared" si="106"/>
        <v>2.448454717611289</v>
      </c>
      <c r="L241" s="349">
        <f t="shared" si="107"/>
        <v>1.1500729347574377</v>
      </c>
      <c r="M241" s="337">
        <f t="shared" si="91"/>
        <v>1.0086301687423416</v>
      </c>
      <c r="N241" s="340">
        <f t="shared" si="92"/>
        <v>0.13090879196754682</v>
      </c>
      <c r="O241" s="341">
        <f t="shared" si="93"/>
        <v>1.0002573063858842</v>
      </c>
      <c r="P241" s="342">
        <f t="shared" si="94"/>
        <v>0.18640338736695658</v>
      </c>
      <c r="Q241" s="343">
        <f t="shared" si="95"/>
        <v>13.517548880737106</v>
      </c>
      <c r="R241" s="344">
        <f t="shared" si="96"/>
        <v>-113.94054334447044</v>
      </c>
      <c r="S241" s="346">
        <f t="shared" si="97"/>
        <v>66.059456655529559</v>
      </c>
      <c r="U241" s="319">
        <f t="shared" si="103"/>
        <v>1000000000</v>
      </c>
      <c r="V241" s="319">
        <f t="shared" si="104"/>
        <v>206547198.0625</v>
      </c>
      <c r="X241" s="345">
        <f t="shared" si="98"/>
        <v>26.648972652442108</v>
      </c>
      <c r="Y241" s="346">
        <f t="shared" si="99"/>
        <v>-31.599588329166917</v>
      </c>
      <c r="AA241" s="345">
        <f t="shared" si="100"/>
        <v>49.108317562684974</v>
      </c>
      <c r="AB241" s="346">
        <f t="shared" si="101"/>
        <v>-82.340955015303507</v>
      </c>
      <c r="AD241">
        <f t="shared" si="105"/>
        <v>0</v>
      </c>
      <c r="AE241">
        <f t="shared" si="108"/>
        <v>0</v>
      </c>
    </row>
    <row r="242" spans="1:31" x14ac:dyDescent="0.25">
      <c r="A242" s="347">
        <v>14454</v>
      </c>
      <c r="B242" s="364">
        <f t="shared" si="102"/>
        <v>14.454000000000001</v>
      </c>
      <c r="C242" s="337">
        <f t="shared" si="83"/>
        <v>3.4191358387820361</v>
      </c>
      <c r="D242" s="338">
        <f t="shared" si="84"/>
        <v>1.2739859321916527</v>
      </c>
      <c r="E242" s="338">
        <f t="shared" si="85"/>
        <v>1.0002375071855281</v>
      </c>
      <c r="F242" s="339">
        <f t="shared" si="86"/>
        <v>2.1792667895456551E-2</v>
      </c>
      <c r="G242" s="338">
        <f t="shared" si="87"/>
        <v>1</v>
      </c>
      <c r="H242" s="339">
        <f t="shared" si="88"/>
        <v>0</v>
      </c>
      <c r="I242" s="337">
        <f t="shared" si="89"/>
        <v>8720.6951733681544</v>
      </c>
      <c r="J242" s="340">
        <f t="shared" si="90"/>
        <v>1.5706816570372326</v>
      </c>
      <c r="K242" s="348">
        <f t="shared" si="106"/>
        <v>2.4601354451002027</v>
      </c>
      <c r="L242" s="349">
        <f t="shared" si="107"/>
        <v>1.1521963758103264</v>
      </c>
      <c r="M242" s="337">
        <f t="shared" si="91"/>
        <v>1.008728804253342</v>
      </c>
      <c r="N242" s="340">
        <f t="shared" si="92"/>
        <v>0.13164938487816794</v>
      </c>
      <c r="O242" s="341">
        <f t="shared" si="93"/>
        <v>1.0002619507109964</v>
      </c>
      <c r="P242" s="342">
        <f t="shared" si="94"/>
        <v>0.18748193919153017</v>
      </c>
      <c r="Q242" s="343">
        <f t="shared" si="95"/>
        <v>13.463147786511371</v>
      </c>
      <c r="R242" s="344">
        <f t="shared" si="96"/>
        <v>-114.007707691417</v>
      </c>
      <c r="S242" s="346">
        <f t="shared" si="97"/>
        <v>65.992292308583004</v>
      </c>
      <c r="U242" s="319">
        <f t="shared" si="103"/>
        <v>1000000000</v>
      </c>
      <c r="V242" s="319">
        <f t="shared" si="104"/>
        <v>208918116</v>
      </c>
      <c r="X242" s="345">
        <f t="shared" si="98"/>
        <v>26.639894195002309</v>
      </c>
      <c r="Y242" s="346">
        <f t="shared" si="99"/>
        <v>-31.520394567676789</v>
      </c>
      <c r="AA242" s="345">
        <f t="shared" si="100"/>
        <v>49.062994925899034</v>
      </c>
      <c r="AB242" s="346">
        <f t="shared" si="101"/>
        <v>-82.487313123740179</v>
      </c>
      <c r="AD242">
        <f t="shared" si="105"/>
        <v>0</v>
      </c>
      <c r="AE242">
        <f t="shared" si="108"/>
        <v>0</v>
      </c>
    </row>
    <row r="243" spans="1:31" x14ac:dyDescent="0.25">
      <c r="A243" s="347">
        <v>14622.5</v>
      </c>
      <c r="B243" s="364">
        <f t="shared" si="102"/>
        <v>14.6225</v>
      </c>
      <c r="C243" s="337">
        <f t="shared" si="83"/>
        <v>3.4556034492117691</v>
      </c>
      <c r="D243" s="338">
        <f t="shared" si="84"/>
        <v>1.2772119826624981</v>
      </c>
      <c r="E243" s="338">
        <f t="shared" si="85"/>
        <v>1.0002430763483112</v>
      </c>
      <c r="F243" s="339">
        <f t="shared" si="86"/>
        <v>2.2046637843282764E-2</v>
      </c>
      <c r="G243" s="338">
        <f t="shared" si="87"/>
        <v>1</v>
      </c>
      <c r="H243" s="339">
        <f t="shared" si="88"/>
        <v>0</v>
      </c>
      <c r="I243" s="337">
        <f t="shared" si="89"/>
        <v>8822.3581813591609</v>
      </c>
      <c r="J243" s="340">
        <f t="shared" si="90"/>
        <v>1.5706829784155196</v>
      </c>
      <c r="K243" s="348">
        <f t="shared" si="106"/>
        <v>2.4840991029918529</v>
      </c>
      <c r="L243" s="349">
        <f t="shared" si="107"/>
        <v>1.1564841151002228</v>
      </c>
      <c r="M243" s="337">
        <f t="shared" si="91"/>
        <v>1.00893259933943</v>
      </c>
      <c r="N243" s="340">
        <f t="shared" si="92"/>
        <v>0.13316613303278096</v>
      </c>
      <c r="O243" s="341">
        <f t="shared" si="93"/>
        <v>1.0002716695337053</v>
      </c>
      <c r="P243" s="342">
        <f t="shared" si="94"/>
        <v>0.18969211550598672</v>
      </c>
      <c r="Q243" s="343">
        <f t="shared" si="95"/>
        <v>13.352732638053389</v>
      </c>
      <c r="R243" s="344">
        <f t="shared" si="96"/>
        <v>-114.14593874899417</v>
      </c>
      <c r="S243" s="346">
        <f t="shared" si="97"/>
        <v>65.854061251005831</v>
      </c>
      <c r="U243" s="319">
        <f t="shared" si="103"/>
        <v>1000000000</v>
      </c>
      <c r="V243" s="319">
        <f t="shared" si="104"/>
        <v>213817506.25</v>
      </c>
      <c r="X243" s="345">
        <f t="shared" si="98"/>
        <v>26.621665951288918</v>
      </c>
      <c r="Y243" s="346">
        <f t="shared" si="99"/>
        <v>-31.361704179774545</v>
      </c>
      <c r="AA243" s="345">
        <f t="shared" si="100"/>
        <v>48.97080802115444</v>
      </c>
      <c r="AB243" s="346">
        <f t="shared" si="101"/>
        <v>-82.784234569219635</v>
      </c>
      <c r="AD243">
        <f t="shared" si="105"/>
        <v>0</v>
      </c>
      <c r="AE243">
        <f t="shared" si="108"/>
        <v>0</v>
      </c>
    </row>
    <row r="244" spans="1:31" x14ac:dyDescent="0.25">
      <c r="A244" s="347">
        <v>14706.75</v>
      </c>
      <c r="B244" s="364">
        <f t="shared" si="102"/>
        <v>14.70675</v>
      </c>
      <c r="C244" s="337">
        <f t="shared" si="83"/>
        <v>3.4738505284678607</v>
      </c>
      <c r="D244" s="338">
        <f t="shared" si="84"/>
        <v>1.2787995999467041</v>
      </c>
      <c r="E244" s="338">
        <f t="shared" si="85"/>
        <v>1.0002458851231553</v>
      </c>
      <c r="F244" s="339">
        <f t="shared" si="86"/>
        <v>2.2173621752561382E-2</v>
      </c>
      <c r="G244" s="338">
        <f t="shared" si="87"/>
        <v>1</v>
      </c>
      <c r="H244" s="339">
        <f t="shared" si="88"/>
        <v>0</v>
      </c>
      <c r="I244" s="337">
        <f t="shared" si="89"/>
        <v>8873.189685360343</v>
      </c>
      <c r="J244" s="340">
        <f t="shared" si="90"/>
        <v>1.5706836277500686</v>
      </c>
      <c r="K244" s="348">
        <f t="shared" si="106"/>
        <v>2.4960978112655496</v>
      </c>
      <c r="L244" s="349">
        <f t="shared" si="107"/>
        <v>1.1585970921811746</v>
      </c>
      <c r="M244" s="337">
        <f t="shared" si="91"/>
        <v>1.0090353670212258</v>
      </c>
      <c r="N244" s="340">
        <f t="shared" si="92"/>
        <v>0.13392427648458682</v>
      </c>
      <c r="O244" s="341">
        <f t="shared" si="93"/>
        <v>1.0002766333285398</v>
      </c>
      <c r="P244" s="342">
        <f t="shared" si="94"/>
        <v>0.19079751850704293</v>
      </c>
      <c r="Q244" s="343">
        <f t="shared" si="95"/>
        <v>13.298036696570348</v>
      </c>
      <c r="R244" s="344">
        <f t="shared" si="96"/>
        <v>-114.21537275873112</v>
      </c>
      <c r="S244" s="346">
        <f t="shared" si="97"/>
        <v>65.784627241268879</v>
      </c>
      <c r="U244" s="319">
        <f t="shared" si="103"/>
        <v>1000000000</v>
      </c>
      <c r="V244" s="319">
        <f t="shared" si="104"/>
        <v>216288495.5625</v>
      </c>
      <c r="X244" s="345">
        <f t="shared" si="98"/>
        <v>26.612733302809644</v>
      </c>
      <c r="Y244" s="346">
        <f t="shared" si="99"/>
        <v>-31.28411513492258</v>
      </c>
      <c r="AA244" s="345">
        <f t="shared" si="100"/>
        <v>48.925044728150681</v>
      </c>
      <c r="AB244" s="346">
        <f t="shared" si="101"/>
        <v>-82.931257623808548</v>
      </c>
      <c r="AD244">
        <f t="shared" si="105"/>
        <v>0</v>
      </c>
      <c r="AE244">
        <f t="shared" si="108"/>
        <v>0</v>
      </c>
    </row>
    <row r="245" spans="1:31" x14ac:dyDescent="0.25">
      <c r="A245" s="347">
        <v>14791</v>
      </c>
      <c r="B245" s="364">
        <f t="shared" si="102"/>
        <v>14.791</v>
      </c>
      <c r="C245" s="337">
        <f t="shared" si="83"/>
        <v>3.4921062721472063</v>
      </c>
      <c r="D245" s="338">
        <f t="shared" si="84"/>
        <v>1.2803706219282396</v>
      </c>
      <c r="E245" s="338">
        <f t="shared" si="85"/>
        <v>1.0002487100267865</v>
      </c>
      <c r="F245" s="339">
        <f t="shared" si="86"/>
        <v>2.2300604946631358E-2</v>
      </c>
      <c r="G245" s="338">
        <f t="shared" si="87"/>
        <v>1</v>
      </c>
      <c r="H245" s="339">
        <f t="shared" si="88"/>
        <v>0</v>
      </c>
      <c r="I245" s="337">
        <f t="shared" si="89"/>
        <v>8924.0211893652195</v>
      </c>
      <c r="J245" s="340">
        <f t="shared" si="90"/>
        <v>1.5706842696873582</v>
      </c>
      <c r="K245" s="348">
        <f t="shared" si="106"/>
        <v>2.5081075571411828</v>
      </c>
      <c r="L245" s="349">
        <f t="shared" si="107"/>
        <v>1.1606898431009163</v>
      </c>
      <c r="M245" s="337">
        <f t="shared" si="91"/>
        <v>1.0091387145595565</v>
      </c>
      <c r="N245" s="340">
        <f t="shared" si="92"/>
        <v>0.13468226508658646</v>
      </c>
      <c r="O245" s="341">
        <f t="shared" si="93"/>
        <v>1.0002816676677015</v>
      </c>
      <c r="P245" s="342">
        <f t="shared" si="94"/>
        <v>0.19190313289106703</v>
      </c>
      <c r="Q245" s="343">
        <f t="shared" si="95"/>
        <v>13.243676055844285</v>
      </c>
      <c r="R245" s="344">
        <f t="shared" si="96"/>
        <v>-114.2850176575969</v>
      </c>
      <c r="S245" s="346">
        <f t="shared" si="97"/>
        <v>65.714982342403104</v>
      </c>
      <c r="U245" s="319">
        <f t="shared" si="103"/>
        <v>1000000000</v>
      </c>
      <c r="V245" s="319">
        <f t="shared" si="104"/>
        <v>218773681</v>
      </c>
      <c r="X245" s="345">
        <f t="shared" si="98"/>
        <v>26.603918324390413</v>
      </c>
      <c r="Y245" s="346">
        <f t="shared" si="99"/>
        <v>-31.20767566767292</v>
      </c>
      <c r="AA245" s="345">
        <f t="shared" si="100"/>
        <v>48.879499065843852</v>
      </c>
      <c r="AB245" s="346">
        <f t="shared" si="101"/>
        <v>-83.077341989923966</v>
      </c>
      <c r="AD245">
        <f t="shared" si="105"/>
        <v>0</v>
      </c>
      <c r="AE245">
        <f t="shared" si="108"/>
        <v>0</v>
      </c>
    </row>
    <row r="246" spans="1:31" x14ac:dyDescent="0.25">
      <c r="A246" s="347">
        <v>14877.25</v>
      </c>
      <c r="B246" s="364">
        <f t="shared" si="102"/>
        <v>14.87725</v>
      </c>
      <c r="C246" s="337">
        <f t="shared" si="83"/>
        <v>3.5108042208654142</v>
      </c>
      <c r="D246" s="338">
        <f t="shared" si="84"/>
        <v>1.2819620095532871</v>
      </c>
      <c r="E246" s="338">
        <f t="shared" si="85"/>
        <v>1.0002516186979526</v>
      </c>
      <c r="F246" s="339">
        <f t="shared" si="86"/>
        <v>2.2430601833395892E-2</v>
      </c>
      <c r="G246" s="338">
        <f t="shared" si="87"/>
        <v>1</v>
      </c>
      <c r="H246" s="339">
        <f t="shared" si="88"/>
        <v>0</v>
      </c>
      <c r="I246" s="337">
        <f t="shared" si="89"/>
        <v>8976.0593759615185</v>
      </c>
      <c r="J246" s="340">
        <f t="shared" si="90"/>
        <v>1.5706849193319796</v>
      </c>
      <c r="K246" s="348">
        <f t="shared" si="106"/>
        <v>2.5204136698448334</v>
      </c>
      <c r="L246" s="349">
        <f t="shared" si="107"/>
        <v>1.1628116043704722</v>
      </c>
      <c r="M246" s="337">
        <f t="shared" si="91"/>
        <v>1.0092451159335498</v>
      </c>
      <c r="N246" s="340">
        <f t="shared" si="92"/>
        <v>0.13545808621632974</v>
      </c>
      <c r="O246" s="341">
        <f t="shared" si="93"/>
        <v>1.0002868953460355</v>
      </c>
      <c r="P246" s="342">
        <f t="shared" si="94"/>
        <v>0.19303521344563543</v>
      </c>
      <c r="Q246" s="343">
        <f t="shared" si="95"/>
        <v>13.188367859712901</v>
      </c>
      <c r="R246" s="344">
        <f t="shared" si="96"/>
        <v>-114.35653314945381</v>
      </c>
      <c r="S246" s="346">
        <f t="shared" si="97"/>
        <v>65.64346685054619</v>
      </c>
      <c r="U246" s="319">
        <f t="shared" si="103"/>
        <v>1000000000</v>
      </c>
      <c r="V246" s="319">
        <f t="shared" si="104"/>
        <v>221332567.5625</v>
      </c>
      <c r="X246" s="345">
        <f t="shared" si="98"/>
        <v>26.595013466019658</v>
      </c>
      <c r="Y246" s="346">
        <f t="shared" si="99"/>
        <v>-31.130596199991327</v>
      </c>
      <c r="AA246" s="345">
        <f t="shared" si="100"/>
        <v>48.833095728083222</v>
      </c>
      <c r="AB246" s="346">
        <f t="shared" si="101"/>
        <v>-83.225936949462479</v>
      </c>
      <c r="AD246">
        <f t="shared" si="105"/>
        <v>0</v>
      </c>
      <c r="AE246">
        <f t="shared" si="108"/>
        <v>0</v>
      </c>
    </row>
    <row r="247" spans="1:31" x14ac:dyDescent="0.25">
      <c r="A247" s="347">
        <v>14963.5</v>
      </c>
      <c r="B247" s="364">
        <f t="shared" si="102"/>
        <v>14.9635</v>
      </c>
      <c r="C247" s="337">
        <f t="shared" si="83"/>
        <v>3.5295109665297146</v>
      </c>
      <c r="D247" s="338">
        <f t="shared" si="84"/>
        <v>1.283536532117487</v>
      </c>
      <c r="E247" s="338">
        <f t="shared" si="85"/>
        <v>1.0002545442724631</v>
      </c>
      <c r="F247" s="339">
        <f t="shared" si="86"/>
        <v>2.2560597961919653E-2</v>
      </c>
      <c r="G247" s="338">
        <f t="shared" si="87"/>
        <v>1</v>
      </c>
      <c r="H247" s="339">
        <f t="shared" si="88"/>
        <v>0</v>
      </c>
      <c r="I247" s="337">
        <f t="shared" si="89"/>
        <v>9028.0975625615611</v>
      </c>
      <c r="J247" s="340">
        <f t="shared" si="90"/>
        <v>1.5706855614874644</v>
      </c>
      <c r="K247" s="348">
        <f t="shared" si="106"/>
        <v>2.5327310188335677</v>
      </c>
      <c r="L247" s="349">
        <f t="shared" si="107"/>
        <v>1.164912737636417</v>
      </c>
      <c r="M247" s="337">
        <f t="shared" si="91"/>
        <v>1.0093521246423038</v>
      </c>
      <c r="N247" s="340">
        <f t="shared" si="92"/>
        <v>0.13623374331205496</v>
      </c>
      <c r="O247" s="341">
        <f t="shared" si="93"/>
        <v>1.0002921984927511</v>
      </c>
      <c r="P247" s="342">
        <f t="shared" si="94"/>
        <v>0.19416751789738876</v>
      </c>
      <c r="Q247" s="343">
        <f t="shared" si="95"/>
        <v>13.133402155646948</v>
      </c>
      <c r="R247" s="344">
        <f t="shared" si="96"/>
        <v>-114.42826728630475</v>
      </c>
      <c r="S247" s="346">
        <f t="shared" si="97"/>
        <v>65.571732713695255</v>
      </c>
      <c r="U247" s="319">
        <f t="shared" si="103"/>
        <v>1000000000</v>
      </c>
      <c r="V247" s="319">
        <f t="shared" si="104"/>
        <v>223906332.25</v>
      </c>
      <c r="X247" s="345">
        <f t="shared" si="98"/>
        <v>26.58622688263852</v>
      </c>
      <c r="Y247" s="346">
        <f t="shared" si="99"/>
        <v>-31.054688802304916</v>
      </c>
      <c r="AA247" s="345">
        <f t="shared" si="100"/>
        <v>48.786916607398403</v>
      </c>
      <c r="AB247" s="346">
        <f t="shared" si="101"/>
        <v>-83.37357848399985</v>
      </c>
      <c r="AD247">
        <f t="shared" si="105"/>
        <v>0</v>
      </c>
      <c r="AE247">
        <f t="shared" si="108"/>
        <v>0</v>
      </c>
    </row>
    <row r="248" spans="1:31" x14ac:dyDescent="0.25">
      <c r="A248" s="347">
        <v>15049.75</v>
      </c>
      <c r="B248" s="364">
        <f t="shared" si="102"/>
        <v>15.04975</v>
      </c>
      <c r="C248" s="337">
        <f t="shared" si="83"/>
        <v>3.5482263700039205</v>
      </c>
      <c r="D248" s="338">
        <f t="shared" si="84"/>
        <v>1.2850944486199536</v>
      </c>
      <c r="E248" s="338">
        <f t="shared" si="85"/>
        <v>1.0002574867501695</v>
      </c>
      <c r="F248" s="339">
        <f t="shared" si="86"/>
        <v>2.26905933278157E-2</v>
      </c>
      <c r="G248" s="338">
        <f t="shared" si="87"/>
        <v>1</v>
      </c>
      <c r="H248" s="339">
        <f t="shared" si="88"/>
        <v>0</v>
      </c>
      <c r="I248" s="337">
        <f t="shared" si="89"/>
        <v>9080.1357491652834</v>
      </c>
      <c r="J248" s="340">
        <f t="shared" si="90"/>
        <v>1.5706861962825733</v>
      </c>
      <c r="K248" s="348">
        <f t="shared" si="106"/>
        <v>2.5450594409663148</v>
      </c>
      <c r="L248" s="349">
        <f t="shared" si="107"/>
        <v>1.1669935239808573</v>
      </c>
      <c r="M248" s="337">
        <f t="shared" si="91"/>
        <v>1.0094597404926755</v>
      </c>
      <c r="N248" s="340">
        <f t="shared" si="92"/>
        <v>0.13700923549273805</v>
      </c>
      <c r="O248" s="341">
        <f t="shared" si="93"/>
        <v>1.0002975778910488</v>
      </c>
      <c r="P248" s="342">
        <f t="shared" si="94"/>
        <v>0.19530004743688548</v>
      </c>
      <c r="Q248" s="343">
        <f t="shared" si="95"/>
        <v>13.078774554903678</v>
      </c>
      <c r="R248" s="344">
        <f t="shared" si="96"/>
        <v>-114.50021882825132</v>
      </c>
      <c r="S248" s="346">
        <f t="shared" si="97"/>
        <v>65.49978117174868</v>
      </c>
      <c r="U248" s="319">
        <f t="shared" si="103"/>
        <v>1000000000</v>
      </c>
      <c r="V248" s="319">
        <f t="shared" si="104"/>
        <v>226494975.0625</v>
      </c>
      <c r="X248" s="345">
        <f t="shared" si="98"/>
        <v>26.577556112805681</v>
      </c>
      <c r="Y248" s="346">
        <f t="shared" si="99"/>
        <v>-30.979937326693751</v>
      </c>
      <c r="AA248" s="345">
        <f t="shared" si="100"/>
        <v>48.740959776487969</v>
      </c>
      <c r="AB248" s="346">
        <f t="shared" si="101"/>
        <v>-83.520281501557562</v>
      </c>
      <c r="AD248">
        <f t="shared" si="105"/>
        <v>0</v>
      </c>
      <c r="AE248">
        <f t="shared" si="108"/>
        <v>0</v>
      </c>
    </row>
    <row r="249" spans="1:31" x14ac:dyDescent="0.25">
      <c r="A249" s="347">
        <v>15136</v>
      </c>
      <c r="B249" s="364">
        <f t="shared" si="102"/>
        <v>15.135999999999999</v>
      </c>
      <c r="C249" s="337">
        <f t="shared" si="83"/>
        <v>3.5669502950082492</v>
      </c>
      <c r="D249" s="338">
        <f t="shared" si="84"/>
        <v>1.2866360129477885</v>
      </c>
      <c r="E249" s="338">
        <f t="shared" si="85"/>
        <v>1.0002604461309226</v>
      </c>
      <c r="F249" s="339">
        <f t="shared" si="86"/>
        <v>2.2820587926697264E-2</v>
      </c>
      <c r="G249" s="338">
        <f t="shared" si="87"/>
        <v>1</v>
      </c>
      <c r="H249" s="339">
        <f t="shared" si="88"/>
        <v>0</v>
      </c>
      <c r="I249" s="337">
        <f t="shared" si="89"/>
        <v>9132.1739357726219</v>
      </c>
      <c r="J249" s="340">
        <f t="shared" si="90"/>
        <v>1.5706868238431315</v>
      </c>
      <c r="K249" s="348">
        <f t="shared" si="106"/>
        <v>2.5573987761025561</v>
      </c>
      <c r="L249" s="349">
        <f t="shared" si="107"/>
        <v>1.1690542397731556</v>
      </c>
      <c r="M249" s="337">
        <f t="shared" si="91"/>
        <v>1.0095679632905081</v>
      </c>
      <c r="N249" s="340">
        <f t="shared" si="92"/>
        <v>0.13778456187852314</v>
      </c>
      <c r="O249" s="341">
        <f t="shared" si="93"/>
        <v>1.0003030343286299</v>
      </c>
      <c r="P249" s="342">
        <f t="shared" si="94"/>
        <v>0.19643280325276166</v>
      </c>
      <c r="Q249" s="343">
        <f t="shared" si="95"/>
        <v>13.024480748334494</v>
      </c>
      <c r="R249" s="344">
        <f t="shared" si="96"/>
        <v>-114.57238651230718</v>
      </c>
      <c r="S249" s="346">
        <f t="shared" si="97"/>
        <v>65.427613487692824</v>
      </c>
      <c r="U249" s="319">
        <f t="shared" si="103"/>
        <v>1000000000</v>
      </c>
      <c r="V249" s="319">
        <f t="shared" si="104"/>
        <v>229098496</v>
      </c>
      <c r="X249" s="345">
        <f t="shared" si="98"/>
        <v>26.568998754793199</v>
      </c>
      <c r="Y249" s="346">
        <f t="shared" si="99"/>
        <v>-30.906325895156975</v>
      </c>
      <c r="AA249" s="345">
        <f t="shared" si="100"/>
        <v>48.695223327931274</v>
      </c>
      <c r="AB249" s="346">
        <f t="shared" si="101"/>
        <v>-83.666060617150194</v>
      </c>
      <c r="AD249">
        <f t="shared" si="105"/>
        <v>0</v>
      </c>
      <c r="AE249">
        <f t="shared" si="108"/>
        <v>0</v>
      </c>
    </row>
    <row r="250" spans="1:31" x14ac:dyDescent="0.25">
      <c r="A250" s="347">
        <v>15224</v>
      </c>
      <c r="B250" s="364">
        <f t="shared" si="102"/>
        <v>15.224</v>
      </c>
      <c r="C250" s="337">
        <f t="shared" si="83"/>
        <v>3.5860627698712313</v>
      </c>
      <c r="D250" s="338">
        <f t="shared" si="84"/>
        <v>1.2881922604086804</v>
      </c>
      <c r="E250" s="338">
        <f t="shared" si="85"/>
        <v>1.0002634829778931</v>
      </c>
      <c r="F250" s="339">
        <f t="shared" si="86"/>
        <v>2.2953219302082436E-2</v>
      </c>
      <c r="G250" s="338">
        <f t="shared" si="87"/>
        <v>1</v>
      </c>
      <c r="H250" s="339">
        <f t="shared" si="88"/>
        <v>0</v>
      </c>
      <c r="I250" s="337">
        <f t="shared" si="89"/>
        <v>9185.2679696481246</v>
      </c>
      <c r="J250" s="340">
        <f t="shared" si="90"/>
        <v>1.5706874568081657</v>
      </c>
      <c r="K250" s="348">
        <f t="shared" si="106"/>
        <v>2.5699995588425324</v>
      </c>
      <c r="L250" s="349">
        <f t="shared" si="107"/>
        <v>1.1711363636059751</v>
      </c>
      <c r="M250" s="337">
        <f t="shared" si="91"/>
        <v>1.0096790072554189</v>
      </c>
      <c r="N250" s="340">
        <f t="shared" si="92"/>
        <v>0.13857544773762839</v>
      </c>
      <c r="O250" s="341">
        <f t="shared" si="93"/>
        <v>1.0003086816983739</v>
      </c>
      <c r="P250" s="342">
        <f t="shared" si="94"/>
        <v>0.19758877696092703</v>
      </c>
      <c r="Q250" s="343">
        <f t="shared" si="95"/>
        <v>12.969424960003895</v>
      </c>
      <c r="R250" s="344">
        <f t="shared" si="96"/>
        <v>-114.64623990042817</v>
      </c>
      <c r="S250" s="346">
        <f t="shared" si="97"/>
        <v>65.353760099571829</v>
      </c>
      <c r="U250" s="319">
        <f t="shared" si="103"/>
        <v>1000000000</v>
      </c>
      <c r="V250" s="319">
        <f t="shared" si="104"/>
        <v>231770176</v>
      </c>
      <c r="X250" s="345">
        <f t="shared" si="98"/>
        <v>26.56038222450703</v>
      </c>
      <c r="Y250" s="346">
        <f t="shared" si="99"/>
        <v>-30.832379675056668</v>
      </c>
      <c r="AA250" s="345">
        <f t="shared" si="100"/>
        <v>48.648784069886844</v>
      </c>
      <c r="AB250" s="346">
        <f t="shared" si="101"/>
        <v>-83.813860225371499</v>
      </c>
      <c r="AD250">
        <f t="shared" si="105"/>
        <v>0</v>
      </c>
      <c r="AE250">
        <f t="shared" si="108"/>
        <v>0</v>
      </c>
    </row>
    <row r="251" spans="1:31" x14ac:dyDescent="0.25">
      <c r="A251" s="347">
        <v>15312</v>
      </c>
      <c r="B251" s="364">
        <f t="shared" si="102"/>
        <v>15.311999999999999</v>
      </c>
      <c r="C251" s="337">
        <f t="shared" si="83"/>
        <v>3.6051838377432968</v>
      </c>
      <c r="D251" s="338">
        <f t="shared" si="84"/>
        <v>1.2897320036068902</v>
      </c>
      <c r="E251" s="338">
        <f t="shared" si="85"/>
        <v>1.0002665374204736</v>
      </c>
      <c r="F251" s="339">
        <f t="shared" si="86"/>
        <v>2.3085849869786772E-2</v>
      </c>
      <c r="G251" s="338">
        <f t="shared" si="87"/>
        <v>1</v>
      </c>
      <c r="H251" s="339">
        <f t="shared" si="88"/>
        <v>0</v>
      </c>
      <c r="I251" s="337">
        <f t="shared" si="89"/>
        <v>9238.3620035272634</v>
      </c>
      <c r="J251" s="340">
        <f t="shared" si="90"/>
        <v>1.5706880824977396</v>
      </c>
      <c r="K251" s="348">
        <f t="shared" si="106"/>
        <v>2.5826113743971981</v>
      </c>
      <c r="L251" s="349">
        <f t="shared" si="107"/>
        <v>1.1731981607930317</v>
      </c>
      <c r="M251" s="337">
        <f t="shared" si="91"/>
        <v>1.0097906826358642</v>
      </c>
      <c r="N251" s="340">
        <f t="shared" si="92"/>
        <v>0.13936615915898082</v>
      </c>
      <c r="O251" s="341">
        <f t="shared" si="93"/>
        <v>1.0003144109362723</v>
      </c>
      <c r="P251" s="342">
        <f t="shared" si="94"/>
        <v>0.19874498871451446</v>
      </c>
      <c r="Q251" s="343">
        <f t="shared" si="95"/>
        <v>12.914707831264447</v>
      </c>
      <c r="R251" s="344">
        <f t="shared" si="96"/>
        <v>-114.72031556884215</v>
      </c>
      <c r="S251" s="346">
        <f t="shared" si="97"/>
        <v>65.279684431157847</v>
      </c>
      <c r="U251" s="319">
        <f t="shared" si="103"/>
        <v>1000000000</v>
      </c>
      <c r="V251" s="319">
        <f t="shared" si="104"/>
        <v>234457344</v>
      </c>
      <c r="X251" s="345">
        <f t="shared" si="98"/>
        <v>26.551878886601486</v>
      </c>
      <c r="Y251" s="346">
        <f t="shared" si="99"/>
        <v>-30.75958767457135</v>
      </c>
      <c r="AA251" s="345">
        <f t="shared" si="100"/>
        <v>48.602570279052941</v>
      </c>
      <c r="AB251" s="346">
        <f t="shared" si="101"/>
        <v>-83.960727894270818</v>
      </c>
      <c r="AD251">
        <f t="shared" si="105"/>
        <v>0</v>
      </c>
      <c r="AE251">
        <f t="shared" si="108"/>
        <v>0</v>
      </c>
    </row>
    <row r="252" spans="1:31" x14ac:dyDescent="0.25">
      <c r="A252" s="347">
        <v>15400</v>
      </c>
      <c r="B252" s="364">
        <f t="shared" si="102"/>
        <v>15.4</v>
      </c>
      <c r="C252" s="337">
        <f t="shared" si="83"/>
        <v>3.6243133626200574</v>
      </c>
      <c r="D252" s="338">
        <f t="shared" si="84"/>
        <v>1.2912554965171337</v>
      </c>
      <c r="E252" s="338">
        <f t="shared" si="85"/>
        <v>1.0002696094585024</v>
      </c>
      <c r="F252" s="339">
        <f t="shared" si="86"/>
        <v>2.3218479625151514E-2</v>
      </c>
      <c r="G252" s="338">
        <f t="shared" si="87"/>
        <v>1</v>
      </c>
      <c r="H252" s="339">
        <f t="shared" si="88"/>
        <v>0</v>
      </c>
      <c r="I252" s="337">
        <f t="shared" si="89"/>
        <v>9291.4560374099765</v>
      </c>
      <c r="J252" s="340">
        <f t="shared" si="90"/>
        <v>1.5706887010365758</v>
      </c>
      <c r="K252" s="348">
        <f t="shared" si="106"/>
        <v>2.5952340619211536</v>
      </c>
      <c r="L252" s="349">
        <f t="shared" si="107"/>
        <v>1.1752399102699878</v>
      </c>
      <c r="M252" s="337">
        <f t="shared" si="91"/>
        <v>1.0099029892223772</v>
      </c>
      <c r="N252" s="340">
        <f t="shared" si="92"/>
        <v>0.14015669521186891</v>
      </c>
      <c r="O252" s="341">
        <f t="shared" si="93"/>
        <v>1.0003202228934323</v>
      </c>
      <c r="P252" s="342">
        <f t="shared" si="94"/>
        <v>0.19990143976972019</v>
      </c>
      <c r="Q252" s="343">
        <f t="shared" si="95"/>
        <v>12.86032502983768</v>
      </c>
      <c r="R252" s="344">
        <f t="shared" si="96"/>
        <v>-114.79461211345421</v>
      </c>
      <c r="S252" s="346">
        <f t="shared" si="97"/>
        <v>65.205387886545793</v>
      </c>
      <c r="U252" s="319">
        <f t="shared" si="103"/>
        <v>1000000000</v>
      </c>
      <c r="V252" s="319">
        <f t="shared" si="104"/>
        <v>237160000</v>
      </c>
      <c r="X252" s="345">
        <f t="shared" si="98"/>
        <v>26.543486371672774</v>
      </c>
      <c r="Y252" s="346">
        <f t="shared" si="99"/>
        <v>-30.687933865685046</v>
      </c>
      <c r="AA252" s="345">
        <f t="shared" si="100"/>
        <v>48.55657999255488</v>
      </c>
      <c r="AB252" s="346">
        <f t="shared" si="101"/>
        <v>-84.106678247769139</v>
      </c>
      <c r="AD252">
        <f t="shared" si="105"/>
        <v>0</v>
      </c>
      <c r="AE252">
        <f t="shared" si="108"/>
        <v>0</v>
      </c>
    </row>
    <row r="253" spans="1:31" x14ac:dyDescent="0.25">
      <c r="A253" s="347">
        <v>15488</v>
      </c>
      <c r="B253" s="364">
        <f t="shared" si="102"/>
        <v>15.488</v>
      </c>
      <c r="C253" s="337">
        <f t="shared" si="83"/>
        <v>3.6434512112939017</v>
      </c>
      <c r="D253" s="338">
        <f t="shared" si="84"/>
        <v>1.2927629880832354</v>
      </c>
      <c r="E253" s="338">
        <f t="shared" si="85"/>
        <v>1.0002726990918176</v>
      </c>
      <c r="F253" s="339">
        <f t="shared" si="86"/>
        <v>2.3351108563518085E-2</v>
      </c>
      <c r="G253" s="338">
        <f t="shared" si="87"/>
        <v>1</v>
      </c>
      <c r="H253" s="339">
        <f t="shared" si="88"/>
        <v>0</v>
      </c>
      <c r="I253" s="337">
        <f t="shared" si="89"/>
        <v>9344.5500712962057</v>
      </c>
      <c r="J253" s="340">
        <f t="shared" si="90"/>
        <v>1.5706893125465615</v>
      </c>
      <c r="K253" s="348">
        <f t="shared" si="106"/>
        <v>2.6078674635457944</v>
      </c>
      <c r="L253" s="349">
        <f t="shared" si="107"/>
        <v>1.1772618862430566</v>
      </c>
      <c r="M253" s="337">
        <f t="shared" si="91"/>
        <v>1.0100159268044016</v>
      </c>
      <c r="N253" s="340">
        <f t="shared" si="92"/>
        <v>0.14094705496687074</v>
      </c>
      <c r="O253" s="341">
        <f t="shared" si="93"/>
        <v>1.000326118425835</v>
      </c>
      <c r="P253" s="342">
        <f t="shared" si="94"/>
        <v>0.20105813138060138</v>
      </c>
      <c r="Q253" s="343">
        <f t="shared" si="95"/>
        <v>12.806272302009498</v>
      </c>
      <c r="R253" s="344">
        <f t="shared" si="96"/>
        <v>-114.86912811268672</v>
      </c>
      <c r="S253" s="346">
        <f t="shared" si="97"/>
        <v>65.130871887313276</v>
      </c>
      <c r="U253" s="319">
        <f t="shared" si="103"/>
        <v>1000000000</v>
      </c>
      <c r="V253" s="319">
        <f t="shared" si="104"/>
        <v>239878144</v>
      </c>
      <c r="X253" s="345">
        <f t="shared" si="98"/>
        <v>26.535202368004143</v>
      </c>
      <c r="Y253" s="346">
        <f t="shared" si="99"/>
        <v>-30.617402491270663</v>
      </c>
      <c r="AA253" s="345">
        <f t="shared" si="100"/>
        <v>48.510811268395329</v>
      </c>
      <c r="AB253" s="346">
        <f t="shared" si="101"/>
        <v>-84.251725621416057</v>
      </c>
      <c r="AD253">
        <f t="shared" si="105"/>
        <v>0</v>
      </c>
      <c r="AE253">
        <f t="shared" si="108"/>
        <v>0</v>
      </c>
    </row>
    <row r="254" spans="1:31" x14ac:dyDescent="0.25">
      <c r="A254" s="347">
        <v>15578.25</v>
      </c>
      <c r="B254" s="364">
        <f t="shared" si="102"/>
        <v>15.578250000000001</v>
      </c>
      <c r="C254" s="337">
        <f t="shared" si="83"/>
        <v>3.6630868890517498</v>
      </c>
      <c r="D254" s="338">
        <f t="shared" si="84"/>
        <v>1.2942926588052091</v>
      </c>
      <c r="E254" s="338">
        <f t="shared" si="85"/>
        <v>1.000275885997125</v>
      </c>
      <c r="F254" s="339">
        <f t="shared" si="86"/>
        <v>2.3487127729216375E-2</v>
      </c>
      <c r="G254" s="338">
        <f t="shared" si="87"/>
        <v>1</v>
      </c>
      <c r="H254" s="339">
        <f t="shared" si="88"/>
        <v>0</v>
      </c>
      <c r="I254" s="337">
        <f t="shared" si="89"/>
        <v>9399.0016230978854</v>
      </c>
      <c r="J254" s="340">
        <f t="shared" si="90"/>
        <v>1.5706899325158032</v>
      </c>
      <c r="K254" s="348">
        <f t="shared" si="106"/>
        <v>2.6208348444898317</v>
      </c>
      <c r="L254" s="349">
        <f t="shared" si="107"/>
        <v>1.1793153044893447</v>
      </c>
      <c r="M254" s="337">
        <f t="shared" si="91"/>
        <v>1.0101324071752182</v>
      </c>
      <c r="N254" s="340">
        <f t="shared" si="92"/>
        <v>0.14175743869462051</v>
      </c>
      <c r="O254" s="341">
        <f t="shared" si="93"/>
        <v>1.0003322524059466</v>
      </c>
      <c r="P254" s="342">
        <f t="shared" si="94"/>
        <v>0.20224464866445363</v>
      </c>
      <c r="Q254" s="343">
        <f t="shared" si="95"/>
        <v>12.75117600977574</v>
      </c>
      <c r="R254" s="344">
        <f t="shared" si="96"/>
        <v>-114.9457757876644</v>
      </c>
      <c r="S254" s="346">
        <f t="shared" si="97"/>
        <v>65.054224212335598</v>
      </c>
      <c r="U254" s="319">
        <f t="shared" si="103"/>
        <v>1000000000</v>
      </c>
      <c r="V254" s="319">
        <f t="shared" si="104"/>
        <v>242681873.0625</v>
      </c>
      <c r="X254" s="345">
        <f t="shared" si="98"/>
        <v>26.526816903294311</v>
      </c>
      <c r="Y254" s="346">
        <f t="shared" si="99"/>
        <v>-30.546217381108978</v>
      </c>
      <c r="AA254" s="345">
        <f t="shared" si="100"/>
        <v>48.464100440871405</v>
      </c>
      <c r="AB254" s="346">
        <f t="shared" si="101"/>
        <v>-84.399558406555443</v>
      </c>
      <c r="AD254">
        <f t="shared" si="105"/>
        <v>0</v>
      </c>
      <c r="AE254">
        <f t="shared" si="108"/>
        <v>0</v>
      </c>
    </row>
    <row r="255" spans="1:31" x14ac:dyDescent="0.25">
      <c r="A255" s="347">
        <v>15668.5</v>
      </c>
      <c r="B255" s="364">
        <f t="shared" si="102"/>
        <v>15.6685</v>
      </c>
      <c r="C255" s="337">
        <f t="shared" si="83"/>
        <v>3.6827310466269809</v>
      </c>
      <c r="D255" s="338">
        <f t="shared" si="84"/>
        <v>1.2958060141190171</v>
      </c>
      <c r="E255" s="338">
        <f t="shared" si="85"/>
        <v>1.0002790914086321</v>
      </c>
      <c r="F255" s="339">
        <f t="shared" si="86"/>
        <v>2.3623146025679657E-2</v>
      </c>
      <c r="G255" s="338">
        <f t="shared" si="87"/>
        <v>1</v>
      </c>
      <c r="H255" s="339">
        <f t="shared" si="88"/>
        <v>0</v>
      </c>
      <c r="I255" s="337">
        <f t="shared" si="89"/>
        <v>9453.4531749031357</v>
      </c>
      <c r="J255" s="340">
        <f t="shared" si="90"/>
        <v>1.5706905453430438</v>
      </c>
      <c r="K255" s="348">
        <f t="shared" si="106"/>
        <v>2.6338131674106453</v>
      </c>
      <c r="L255" s="349">
        <f t="shared" si="107"/>
        <v>1.1813484944764052</v>
      </c>
      <c r="M255" s="337">
        <f t="shared" si="91"/>
        <v>1.0102495507687672</v>
      </c>
      <c r="N255" s="340">
        <f t="shared" si="92"/>
        <v>0.14256763501807954</v>
      </c>
      <c r="O255" s="341">
        <f t="shared" si="93"/>
        <v>1.0003384761290401</v>
      </c>
      <c r="P255" s="342">
        <f t="shared" si="94"/>
        <v>0.20343142162715269</v>
      </c>
      <c r="Q255" s="343">
        <f t="shared" si="95"/>
        <v>12.69641806902564</v>
      </c>
      <c r="R255" s="344">
        <f t="shared" si="96"/>
        <v>-115.02265120493499</v>
      </c>
      <c r="S255" s="346">
        <f t="shared" si="97"/>
        <v>64.977348795065012</v>
      </c>
      <c r="U255" s="319">
        <f t="shared" si="103"/>
        <v>1000000000</v>
      </c>
      <c r="V255" s="319">
        <f t="shared" si="104"/>
        <v>245501892.25</v>
      </c>
      <c r="X255" s="345">
        <f t="shared" si="98"/>
        <v>26.518540823760578</v>
      </c>
      <c r="Y255" s="346">
        <f t="shared" si="99"/>
        <v>-30.476180118147795</v>
      </c>
      <c r="AA255" s="345">
        <f t="shared" si="100"/>
        <v>48.417618579655041</v>
      </c>
      <c r="AB255" s="346">
        <f t="shared" si="101"/>
        <v>-84.546471086787193</v>
      </c>
      <c r="AD255">
        <f t="shared" si="105"/>
        <v>0</v>
      </c>
      <c r="AE255">
        <f t="shared" si="108"/>
        <v>0</v>
      </c>
    </row>
    <row r="256" spans="1:31" x14ac:dyDescent="0.25">
      <c r="A256" s="347">
        <v>15758.75</v>
      </c>
      <c r="B256" s="364">
        <f t="shared" si="102"/>
        <v>15.758749999999999</v>
      </c>
      <c r="C256" s="337">
        <f t="shared" si="83"/>
        <v>3.7023835490426018</v>
      </c>
      <c r="D256" s="338">
        <f t="shared" si="84"/>
        <v>1.2973033068468978</v>
      </c>
      <c r="E256" s="338">
        <f t="shared" si="85"/>
        <v>1.0002823153261609</v>
      </c>
      <c r="F256" s="339">
        <f t="shared" si="86"/>
        <v>2.3759163447883366E-2</v>
      </c>
      <c r="G256" s="338">
        <f t="shared" si="87"/>
        <v>1</v>
      </c>
      <c r="H256" s="339">
        <f t="shared" si="88"/>
        <v>0</v>
      </c>
      <c r="I256" s="337">
        <f t="shared" si="89"/>
        <v>9507.9047267118967</v>
      </c>
      <c r="J256" s="340">
        <f t="shared" si="90"/>
        <v>1.5706911511509891</v>
      </c>
      <c r="K256" s="348">
        <f t="shared" si="106"/>
        <v>2.6468022713496637</v>
      </c>
      <c r="L256" s="349">
        <f t="shared" si="107"/>
        <v>1.1833617370784504</v>
      </c>
      <c r="M256" s="337">
        <f t="shared" si="91"/>
        <v>1.0103673573543628</v>
      </c>
      <c r="N256" s="340">
        <f t="shared" si="92"/>
        <v>0.14337764293896244</v>
      </c>
      <c r="O256" s="341">
        <f t="shared" si="93"/>
        <v>1.0003447905344134</v>
      </c>
      <c r="P256" s="342">
        <f t="shared" si="94"/>
        <v>0.20461845161432429</v>
      </c>
      <c r="Q256" s="343">
        <f t="shared" si="95"/>
        <v>12.641994137063454</v>
      </c>
      <c r="R256" s="344">
        <f t="shared" si="96"/>
        <v>-115.09975278445829</v>
      </c>
      <c r="S256" s="346">
        <f t="shared" si="97"/>
        <v>64.900247215541711</v>
      </c>
      <c r="U256" s="319">
        <f t="shared" si="103"/>
        <v>1000000000</v>
      </c>
      <c r="V256" s="319">
        <f t="shared" si="104"/>
        <v>248338201.5625</v>
      </c>
      <c r="X256" s="345">
        <f t="shared" si="98"/>
        <v>26.510371814273235</v>
      </c>
      <c r="Y256" s="346">
        <f t="shared" si="99"/>
        <v>-30.407274559313151</v>
      </c>
      <c r="AA256" s="345">
        <f t="shared" si="100"/>
        <v>48.371363657180204</v>
      </c>
      <c r="AB256" s="346">
        <f t="shared" si="101"/>
        <v>-84.692478225145123</v>
      </c>
      <c r="AD256">
        <f t="shared" si="105"/>
        <v>0</v>
      </c>
      <c r="AE256">
        <f t="shared" si="108"/>
        <v>0</v>
      </c>
    </row>
    <row r="257" spans="1:31" x14ac:dyDescent="0.25">
      <c r="A257" s="347">
        <v>15849</v>
      </c>
      <c r="B257" s="364">
        <f t="shared" si="102"/>
        <v>15.849</v>
      </c>
      <c r="C257" s="337">
        <f t="shared" si="83"/>
        <v>3.7220442641156115</v>
      </c>
      <c r="D257" s="338">
        <f t="shared" si="84"/>
        <v>1.2987847847607215</v>
      </c>
      <c r="E257" s="338">
        <f t="shared" si="85"/>
        <v>1.0002855577495324</v>
      </c>
      <c r="F257" s="339">
        <f t="shared" si="86"/>
        <v>2.3895179990803136E-2</v>
      </c>
      <c r="G257" s="338">
        <f t="shared" si="87"/>
        <v>1</v>
      </c>
      <c r="H257" s="339">
        <f t="shared" si="88"/>
        <v>0</v>
      </c>
      <c r="I257" s="337">
        <f t="shared" si="89"/>
        <v>9562.3562785241083</v>
      </c>
      <c r="J257" s="340">
        <f t="shared" si="90"/>
        <v>1.5706917500595508</v>
      </c>
      <c r="K257" s="348">
        <f t="shared" si="106"/>
        <v>2.6598019983600603</v>
      </c>
      <c r="L257" s="349">
        <f t="shared" si="107"/>
        <v>1.1853553083322774</v>
      </c>
      <c r="M257" s="337">
        <f t="shared" si="91"/>
        <v>1.010485826700122</v>
      </c>
      <c r="N257" s="340">
        <f t="shared" si="92"/>
        <v>0.1441874614604369</v>
      </c>
      <c r="O257" s="341">
        <f t="shared" si="93"/>
        <v>1.0003511965667522</v>
      </c>
      <c r="P257" s="342">
        <f t="shared" si="94"/>
        <v>0.20580573996916424</v>
      </c>
      <c r="Q257" s="343">
        <f t="shared" si="95"/>
        <v>12.587899950320187</v>
      </c>
      <c r="R257" s="344">
        <f t="shared" si="96"/>
        <v>-115.1770789337767</v>
      </c>
      <c r="S257" s="346">
        <f t="shared" si="97"/>
        <v>64.822921066223302</v>
      </c>
      <c r="U257" s="319">
        <f t="shared" si="103"/>
        <v>1000000000</v>
      </c>
      <c r="V257" s="319">
        <f t="shared" si="104"/>
        <v>251190801</v>
      </c>
      <c r="X257" s="345">
        <f t="shared" si="98"/>
        <v>26.502307616549608</v>
      </c>
      <c r="Y257" s="346">
        <f t="shared" si="99"/>
        <v>-30.339484838617704</v>
      </c>
      <c r="AA257" s="345">
        <f t="shared" si="100"/>
        <v>48.325333668160553</v>
      </c>
      <c r="AB257" s="346">
        <f t="shared" si="101"/>
        <v>-84.837594095158963</v>
      </c>
      <c r="AD257">
        <f t="shared" si="105"/>
        <v>0</v>
      </c>
      <c r="AE257">
        <f t="shared" si="108"/>
        <v>0</v>
      </c>
    </row>
    <row r="258" spans="1:31" x14ac:dyDescent="0.25">
      <c r="A258" s="347">
        <v>15941.25</v>
      </c>
      <c r="B258" s="364">
        <f t="shared" si="102"/>
        <v>15.94125</v>
      </c>
      <c r="C258" s="337">
        <f t="shared" si="83"/>
        <v>3.7421490266088409</v>
      </c>
      <c r="D258" s="338">
        <f t="shared" si="84"/>
        <v>1.3002830016135625</v>
      </c>
      <c r="E258" s="338">
        <f t="shared" si="85"/>
        <v>1.0002888911525134</v>
      </c>
      <c r="F258" s="339">
        <f t="shared" si="86"/>
        <v>2.4034209836781631E-2</v>
      </c>
      <c r="G258" s="338">
        <f t="shared" si="87"/>
        <v>1</v>
      </c>
      <c r="H258" s="339">
        <f t="shared" si="88"/>
        <v>0</v>
      </c>
      <c r="I258" s="337">
        <f t="shared" si="89"/>
        <v>9618.0145129284592</v>
      </c>
      <c r="J258" s="340">
        <f t="shared" si="90"/>
        <v>1.5706923552319032</v>
      </c>
      <c r="K258" s="348">
        <f t="shared" si="106"/>
        <v>2.673100625405759</v>
      </c>
      <c r="L258" s="349">
        <f t="shared" si="107"/>
        <v>1.1873730107999614</v>
      </c>
      <c r="M258" s="337">
        <f t="shared" si="91"/>
        <v>1.0106076061163858</v>
      </c>
      <c r="N258" s="340">
        <f t="shared" si="92"/>
        <v>0.14501502932069615</v>
      </c>
      <c r="O258" s="341">
        <f t="shared" si="93"/>
        <v>1.0003578402454332</v>
      </c>
      <c r="P258" s="342">
        <f t="shared" si="94"/>
        <v>0.20701960783865761</v>
      </c>
      <c r="Q258" s="343">
        <f t="shared" si="95"/>
        <v>12.532943429697001</v>
      </c>
      <c r="R258" s="344">
        <f t="shared" si="96"/>
        <v>-115.25634910250177</v>
      </c>
      <c r="S258" s="346">
        <f t="shared" si="97"/>
        <v>64.743650897498227</v>
      </c>
      <c r="U258" s="319">
        <f t="shared" si="103"/>
        <v>1000000000</v>
      </c>
      <c r="V258" s="319">
        <f t="shared" si="104"/>
        <v>254123451.5625</v>
      </c>
      <c r="X258" s="345">
        <f t="shared" si="98"/>
        <v>26.494170739050414</v>
      </c>
      <c r="Y258" s="346">
        <f t="shared" si="99"/>
        <v>-30.271329822303613</v>
      </c>
      <c r="AA258" s="345">
        <f t="shared" si="100"/>
        <v>48.278514025036557</v>
      </c>
      <c r="AB258" s="346">
        <f t="shared" si="101"/>
        <v>-84.985019280198188</v>
      </c>
      <c r="AD258">
        <f t="shared" si="105"/>
        <v>0</v>
      </c>
      <c r="AE258">
        <f t="shared" si="108"/>
        <v>0</v>
      </c>
    </row>
    <row r="259" spans="1:31" x14ac:dyDescent="0.25">
      <c r="A259" s="347">
        <v>16033.5</v>
      </c>
      <c r="B259" s="364">
        <f t="shared" si="102"/>
        <v>16.0335</v>
      </c>
      <c r="C259" s="337">
        <f t="shared" si="83"/>
        <v>3.7622620991459921</v>
      </c>
      <c r="D259" s="338">
        <f t="shared" si="84"/>
        <v>1.3017652028138511</v>
      </c>
      <c r="E259" s="338">
        <f t="shared" si="85"/>
        <v>1.0002922438902475</v>
      </c>
      <c r="F259" s="339">
        <f t="shared" si="86"/>
        <v>2.4173238753458583E-2</v>
      </c>
      <c r="G259" s="338">
        <f t="shared" si="87"/>
        <v>1</v>
      </c>
      <c r="H259" s="339">
        <f t="shared" si="88"/>
        <v>0</v>
      </c>
      <c r="I259" s="337">
        <f t="shared" si="89"/>
        <v>9673.6727473362916</v>
      </c>
      <c r="J259" s="340">
        <f t="shared" si="90"/>
        <v>1.5706929534404428</v>
      </c>
      <c r="K259" s="348">
        <f t="shared" si="106"/>
        <v>2.6864100272036233</v>
      </c>
      <c r="L259" s="349">
        <f t="shared" si="107"/>
        <v>1.1893707285457706</v>
      </c>
      <c r="M259" s="337">
        <f t="shared" si="91"/>
        <v>1.0107300774989669</v>
      </c>
      <c r="N259" s="340">
        <f t="shared" si="92"/>
        <v>0.14584239719268788</v>
      </c>
      <c r="O259" s="341">
        <f t="shared" si="93"/>
        <v>1.0003645816702338</v>
      </c>
      <c r="P259" s="342">
        <f t="shared" si="94"/>
        <v>0.20823374848394005</v>
      </c>
      <c r="Q259" s="343">
        <f t="shared" si="95"/>
        <v>12.478322668093188</v>
      </c>
      <c r="R259" s="344">
        <f t="shared" si="96"/>
        <v>-115.33585050681369</v>
      </c>
      <c r="S259" s="346">
        <f t="shared" si="97"/>
        <v>64.664149493186315</v>
      </c>
      <c r="U259" s="319">
        <f t="shared" si="103"/>
        <v>1000000000</v>
      </c>
      <c r="V259" s="319">
        <f t="shared" si="104"/>
        <v>257073122.25</v>
      </c>
      <c r="X259" s="345">
        <f t="shared" si="98"/>
        <v>26.486138773729767</v>
      </c>
      <c r="Y259" s="346">
        <f t="shared" si="99"/>
        <v>-30.2043079887282</v>
      </c>
      <c r="AA259" s="345">
        <f t="shared" si="100"/>
        <v>48.231925228753397</v>
      </c>
      <c r="AB259" s="346">
        <f t="shared" si="101"/>
        <v>-85.131542518085482</v>
      </c>
      <c r="AD259">
        <f t="shared" si="105"/>
        <v>0</v>
      </c>
      <c r="AE259">
        <f t="shared" si="108"/>
        <v>0</v>
      </c>
    </row>
    <row r="260" spans="1:31" x14ac:dyDescent="0.25">
      <c r="A260" s="347">
        <v>16125.75</v>
      </c>
      <c r="B260" s="364">
        <f t="shared" si="102"/>
        <v>16.12575</v>
      </c>
      <c r="C260" s="337">
        <f t="shared" si="83"/>
        <v>3.7823833491594501</v>
      </c>
      <c r="D260" s="338">
        <f t="shared" si="84"/>
        <v>1.3032316373932953</v>
      </c>
      <c r="E260" s="338">
        <f t="shared" si="85"/>
        <v>1.0002956159625402</v>
      </c>
      <c r="F260" s="339">
        <f t="shared" si="86"/>
        <v>2.4312266735468782E-2</v>
      </c>
      <c r="G260" s="338">
        <f t="shared" si="87"/>
        <v>1</v>
      </c>
      <c r="H260" s="339">
        <f t="shared" si="88"/>
        <v>0</v>
      </c>
      <c r="I260" s="337">
        <f t="shared" si="89"/>
        <v>9729.3309817475456</v>
      </c>
      <c r="J260" s="340">
        <f t="shared" si="90"/>
        <v>1.5706935448046819</v>
      </c>
      <c r="K260" s="348">
        <f t="shared" si="106"/>
        <v>2.6997300443982741</v>
      </c>
      <c r="L260" s="349">
        <f t="shared" si="107"/>
        <v>1.1913487413093289</v>
      </c>
      <c r="M260" s="337">
        <f t="shared" si="91"/>
        <v>1.0108532405963571</v>
      </c>
      <c r="N260" s="340">
        <f t="shared" si="92"/>
        <v>0.14666956401657968</v>
      </c>
      <c r="O260" s="341">
        <f t="shared" si="93"/>
        <v>1.0003714218674915</v>
      </c>
      <c r="P260" s="342">
        <f t="shared" si="94"/>
        <v>0.20944816333152208</v>
      </c>
      <c r="Q260" s="343">
        <f t="shared" si="95"/>
        <v>12.424033356691025</v>
      </c>
      <c r="R260" s="344">
        <f t="shared" si="96"/>
        <v>-115.41558141544247</v>
      </c>
      <c r="S260" s="346">
        <f t="shared" si="97"/>
        <v>64.584418584557525</v>
      </c>
      <c r="U260" s="319">
        <f t="shared" si="103"/>
        <v>1000000000</v>
      </c>
      <c r="V260" s="319">
        <f t="shared" si="104"/>
        <v>260039813.0625</v>
      </c>
      <c r="X260" s="345">
        <f t="shared" si="98"/>
        <v>26.478209482579498</v>
      </c>
      <c r="Y260" s="346">
        <f t="shared" si="99"/>
        <v>-30.138403256115289</v>
      </c>
      <c r="AA260" s="345">
        <f t="shared" si="100"/>
        <v>48.185565208501508</v>
      </c>
      <c r="AB260" s="346">
        <f t="shared" si="101"/>
        <v>-85.277178159327164</v>
      </c>
      <c r="AD260">
        <f t="shared" si="105"/>
        <v>0</v>
      </c>
      <c r="AE260">
        <f t="shared" si="108"/>
        <v>0</v>
      </c>
    </row>
    <row r="261" spans="1:31" x14ac:dyDescent="0.25">
      <c r="A261" s="347">
        <v>16218</v>
      </c>
      <c r="B261" s="364">
        <f t="shared" si="102"/>
        <v>16.218</v>
      </c>
      <c r="C261" s="337">
        <f t="shared" si="83"/>
        <v>3.802512646834229</v>
      </c>
      <c r="D261" s="338">
        <f t="shared" si="84"/>
        <v>1.3046825493848895</v>
      </c>
      <c r="E261" s="338">
        <f t="shared" si="85"/>
        <v>1.0002990073691962</v>
      </c>
      <c r="F261" s="339">
        <f t="shared" si="86"/>
        <v>2.4451293777447224E-2</v>
      </c>
      <c r="G261" s="338">
        <f t="shared" si="87"/>
        <v>1</v>
      </c>
      <c r="H261" s="339">
        <f t="shared" si="88"/>
        <v>0</v>
      </c>
      <c r="I261" s="337">
        <f t="shared" si="89"/>
        <v>9784.9892161621665</v>
      </c>
      <c r="J261" s="340">
        <f t="shared" si="90"/>
        <v>1.5706941294414147</v>
      </c>
      <c r="K261" s="348">
        <f t="shared" si="106"/>
        <v>2.7130605206379497</v>
      </c>
      <c r="L261" s="349">
        <f t="shared" si="107"/>
        <v>1.1933073239556793</v>
      </c>
      <c r="M261" s="337">
        <f t="shared" si="91"/>
        <v>1.0109770951557493</v>
      </c>
      <c r="N261" s="340">
        <f t="shared" si="92"/>
        <v>0.14749652873415456</v>
      </c>
      <c r="O261" s="341">
        <f t="shared" si="93"/>
        <v>1.00037836186942</v>
      </c>
      <c r="P261" s="342">
        <f t="shared" si="94"/>
        <v>0.21066285380519012</v>
      </c>
      <c r="Q261" s="343">
        <f t="shared" si="95"/>
        <v>12.370071265269793</v>
      </c>
      <c r="R261" s="344">
        <f t="shared" si="96"/>
        <v>-115.49554008978663</v>
      </c>
      <c r="S261" s="346">
        <f t="shared" si="97"/>
        <v>64.50445991021337</v>
      </c>
      <c r="U261" s="319">
        <f t="shared" si="103"/>
        <v>1000000000</v>
      </c>
      <c r="V261" s="319">
        <f t="shared" si="104"/>
        <v>263023524</v>
      </c>
      <c r="X261" s="345">
        <f t="shared" si="98"/>
        <v>26.470380682821958</v>
      </c>
      <c r="Y261" s="346">
        <f t="shared" si="99"/>
        <v>-30.07359982191841</v>
      </c>
      <c r="AA261" s="345">
        <f t="shared" si="100"/>
        <v>48.139431916837822</v>
      </c>
      <c r="AB261" s="346">
        <f t="shared" si="101"/>
        <v>-85.421940267868194</v>
      </c>
      <c r="AD261">
        <f t="shared" si="105"/>
        <v>0</v>
      </c>
      <c r="AE261">
        <f t="shared" si="108"/>
        <v>0</v>
      </c>
    </row>
    <row r="262" spans="1:31" x14ac:dyDescent="0.25">
      <c r="A262" s="347">
        <v>16312.5</v>
      </c>
      <c r="B262" s="364">
        <f t="shared" si="102"/>
        <v>16.3125</v>
      </c>
      <c r="C262" s="337">
        <f t="shared" si="83"/>
        <v>3.8231411145945486</v>
      </c>
      <c r="D262" s="338">
        <f t="shared" si="84"/>
        <v>1.3061530043310412</v>
      </c>
      <c r="E262" s="338">
        <f t="shared" si="85"/>
        <v>1.0003025015403506</v>
      </c>
      <c r="F262" s="339">
        <f t="shared" si="86"/>
        <v>2.4593710742577903E-2</v>
      </c>
      <c r="G262" s="338">
        <f t="shared" si="87"/>
        <v>1</v>
      </c>
      <c r="H262" s="339">
        <f t="shared" si="88"/>
        <v>0</v>
      </c>
      <c r="I262" s="337">
        <f t="shared" si="89"/>
        <v>9842.0049684927635</v>
      </c>
      <c r="J262" s="340">
        <f t="shared" si="90"/>
        <v>1.5706947214812514</v>
      </c>
      <c r="K262" s="348">
        <f t="shared" si="106"/>
        <v>2.7267268148996493</v>
      </c>
      <c r="L262" s="349">
        <f t="shared" si="107"/>
        <v>1.1952938124522619</v>
      </c>
      <c r="M262" s="337">
        <f t="shared" si="91"/>
        <v>1.0111046872574931</v>
      </c>
      <c r="N262" s="340">
        <f t="shared" si="92"/>
        <v>0.14834345265786344</v>
      </c>
      <c r="O262" s="341">
        <f t="shared" si="93"/>
        <v>1.0003855757106004</v>
      </c>
      <c r="P262" s="342">
        <f t="shared" si="94"/>
        <v>0.21190745815314457</v>
      </c>
      <c r="Q262" s="343">
        <f t="shared" si="95"/>
        <v>12.315127972869451</v>
      </c>
      <c r="R262" s="344">
        <f t="shared" si="96"/>
        <v>-115.57768331840312</v>
      </c>
      <c r="S262" s="346">
        <f t="shared" si="97"/>
        <v>64.422316681596882</v>
      </c>
      <c r="U262" s="319">
        <f t="shared" si="103"/>
        <v>1000000000</v>
      </c>
      <c r="V262" s="319">
        <f t="shared" si="104"/>
        <v>266097656.25</v>
      </c>
      <c r="X262" s="345">
        <f t="shared" si="98"/>
        <v>26.462462909249254</v>
      </c>
      <c r="Y262" s="346">
        <f t="shared" si="99"/>
        <v>-30.008341502719503</v>
      </c>
      <c r="AA262" s="345">
        <f t="shared" si="100"/>
        <v>48.092406398010169</v>
      </c>
      <c r="AB262" s="346">
        <f t="shared" si="101"/>
        <v>-85.569341815683643</v>
      </c>
      <c r="AD262">
        <f t="shared" si="105"/>
        <v>0</v>
      </c>
      <c r="AE262">
        <f t="shared" si="108"/>
        <v>0</v>
      </c>
    </row>
    <row r="263" spans="1:31" x14ac:dyDescent="0.25">
      <c r="A263" s="347">
        <v>16407</v>
      </c>
      <c r="B263" s="364">
        <f t="shared" si="102"/>
        <v>16.407</v>
      </c>
      <c r="C263" s="337">
        <f t="shared" si="83"/>
        <v>3.8437777601561809</v>
      </c>
      <c r="D263" s="338">
        <f t="shared" si="84"/>
        <v>1.3076076731061899</v>
      </c>
      <c r="E263" s="338">
        <f t="shared" si="85"/>
        <v>1.0003060160000905</v>
      </c>
      <c r="F263" s="339">
        <f t="shared" si="86"/>
        <v>2.4736126709865996E-2</v>
      </c>
      <c r="G263" s="338">
        <f t="shared" si="87"/>
        <v>1</v>
      </c>
      <c r="H263" s="339">
        <f t="shared" si="88"/>
        <v>0</v>
      </c>
      <c r="I263" s="337">
        <f t="shared" si="89"/>
        <v>9899.020720826773</v>
      </c>
      <c r="J263" s="340">
        <f t="shared" si="90"/>
        <v>1.5706953067011011</v>
      </c>
      <c r="K263" s="348">
        <f t="shared" si="106"/>
        <v>2.740403761853238</v>
      </c>
      <c r="L263" s="349">
        <f t="shared" si="107"/>
        <v>1.1972604801088385</v>
      </c>
      <c r="M263" s="337">
        <f t="shared" si="91"/>
        <v>1.0112330044212221</v>
      </c>
      <c r="N263" s="340">
        <f t="shared" si="92"/>
        <v>0.14919016225339066</v>
      </c>
      <c r="O263" s="341">
        <f t="shared" si="93"/>
        <v>1.00039289649602</v>
      </c>
      <c r="P263" s="342">
        <f t="shared" si="94"/>
        <v>0.2131523547520974</v>
      </c>
      <c r="Q263" s="343">
        <f t="shared" si="95"/>
        <v>12.260519315571639</v>
      </c>
      <c r="R263" s="344">
        <f t="shared" si="96"/>
        <v>-115.66006184758976</v>
      </c>
      <c r="S263" s="346">
        <f t="shared" si="97"/>
        <v>64.339938152410241</v>
      </c>
      <c r="U263" s="319">
        <f t="shared" si="103"/>
        <v>1000000000</v>
      </c>
      <c r="V263" s="319">
        <f t="shared" si="104"/>
        <v>269189649</v>
      </c>
      <c r="X263" s="345">
        <f t="shared" si="98"/>
        <v>26.454646122756252</v>
      </c>
      <c r="Y263" s="346">
        <f t="shared" si="99"/>
        <v>-29.944206163143903</v>
      </c>
      <c r="AA263" s="345">
        <f t="shared" si="100"/>
        <v>48.045614527205352</v>
      </c>
      <c r="AB263" s="346">
        <f t="shared" si="101"/>
        <v>-85.715855684445856</v>
      </c>
      <c r="AD263">
        <f t="shared" si="105"/>
        <v>0</v>
      </c>
      <c r="AE263">
        <f t="shared" si="108"/>
        <v>0</v>
      </c>
    </row>
    <row r="264" spans="1:31" x14ac:dyDescent="0.25">
      <c r="A264" s="347">
        <v>16501.5</v>
      </c>
      <c r="B264" s="364">
        <f t="shared" si="102"/>
        <v>16.5015</v>
      </c>
      <c r="C264" s="337">
        <f t="shared" si="83"/>
        <v>3.8644224525067519</v>
      </c>
      <c r="D264" s="338">
        <f t="shared" si="84"/>
        <v>1.3090468025049697</v>
      </c>
      <c r="E264" s="338">
        <f t="shared" si="85"/>
        <v>1.0003095507482023</v>
      </c>
      <c r="F264" s="339">
        <f t="shared" si="86"/>
        <v>2.4878541673544991E-2</v>
      </c>
      <c r="G264" s="338">
        <f t="shared" si="87"/>
        <v>1</v>
      </c>
      <c r="H264" s="339">
        <f t="shared" si="88"/>
        <v>0</v>
      </c>
      <c r="I264" s="337">
        <f t="shared" si="89"/>
        <v>9956.0364731641312</v>
      </c>
      <c r="J264" s="340">
        <f t="shared" si="90"/>
        <v>1.570695885218133</v>
      </c>
      <c r="K264" s="348">
        <f t="shared" si="106"/>
        <v>2.7540912027934095</v>
      </c>
      <c r="L264" s="349">
        <f t="shared" si="107"/>
        <v>1.1992076071180642</v>
      </c>
      <c r="M264" s="337">
        <f t="shared" si="91"/>
        <v>1.0113620463709587</v>
      </c>
      <c r="N264" s="340">
        <f t="shared" si="92"/>
        <v>0.15003665638850619</v>
      </c>
      <c r="O264" s="341">
        <f t="shared" si="93"/>
        <v>1.0004003253544513</v>
      </c>
      <c r="P264" s="342">
        <f t="shared" si="94"/>
        <v>0.21439754512356329</v>
      </c>
      <c r="Q264" s="343">
        <f t="shared" si="95"/>
        <v>12.2062409907178</v>
      </c>
      <c r="R264" s="344">
        <f t="shared" si="96"/>
        <v>-115.74267379312887</v>
      </c>
      <c r="S264" s="346">
        <f t="shared" si="97"/>
        <v>64.257326206871127</v>
      </c>
      <c r="U264" s="319">
        <f t="shared" si="103"/>
        <v>1000000000</v>
      </c>
      <c r="V264" s="319">
        <f t="shared" si="104"/>
        <v>272299502.25</v>
      </c>
      <c r="X264" s="345">
        <f t="shared" si="98"/>
        <v>26.446928146972706</v>
      </c>
      <c r="Y264" s="346">
        <f t="shared" si="99"/>
        <v>-29.881177691176322</v>
      </c>
      <c r="AA264" s="345">
        <f t="shared" si="100"/>
        <v>47.999054178135069</v>
      </c>
      <c r="AB264" s="346">
        <f t="shared" si="101"/>
        <v>-85.861496101952554</v>
      </c>
      <c r="AD264">
        <f t="shared" si="105"/>
        <v>0</v>
      </c>
      <c r="AE264">
        <f t="shared" si="108"/>
        <v>0</v>
      </c>
    </row>
    <row r="265" spans="1:31" x14ac:dyDescent="0.25">
      <c r="A265" s="347">
        <v>16596</v>
      </c>
      <c r="B265" s="364">
        <f t="shared" si="102"/>
        <v>16.596</v>
      </c>
      <c r="C265" s="337">
        <f t="shared" si="83"/>
        <v>3.8850750633680615</v>
      </c>
      <c r="D265" s="338">
        <f t="shared" si="84"/>
        <v>1.3104706343348349</v>
      </c>
      <c r="E265" s="338">
        <f t="shared" si="85"/>
        <v>1.0003131057844703</v>
      </c>
      <c r="F265" s="339">
        <f t="shared" si="86"/>
        <v>2.5020955627848639E-2</v>
      </c>
      <c r="G265" s="338">
        <f t="shared" si="87"/>
        <v>1</v>
      </c>
      <c r="H265" s="339">
        <f t="shared" si="88"/>
        <v>0</v>
      </c>
      <c r="I265" s="337">
        <f t="shared" si="89"/>
        <v>10013.052225504787</v>
      </c>
      <c r="J265" s="340">
        <f t="shared" si="90"/>
        <v>1.5706964571468471</v>
      </c>
      <c r="K265" s="348">
        <f t="shared" si="106"/>
        <v>2.7677889820336361</v>
      </c>
      <c r="L265" s="349">
        <f t="shared" si="107"/>
        <v>1.2011354687249767</v>
      </c>
      <c r="M265" s="337">
        <f t="shared" si="91"/>
        <v>1.0114918128293067</v>
      </c>
      <c r="N265" s="340">
        <f t="shared" si="92"/>
        <v>0.15088293393279112</v>
      </c>
      <c r="O265" s="341">
        <f t="shared" si="93"/>
        <v>1.0004078634211324</v>
      </c>
      <c r="P265" s="342">
        <f t="shared" si="94"/>
        <v>0.21564303078597546</v>
      </c>
      <c r="Q265" s="343">
        <f t="shared" si="95"/>
        <v>12.15228877436795</v>
      </c>
      <c r="R265" s="344">
        <f t="shared" si="96"/>
        <v>-115.82551726831046</v>
      </c>
      <c r="S265" s="346">
        <f t="shared" si="97"/>
        <v>64.174482731689537</v>
      </c>
      <c r="U265" s="319">
        <f t="shared" si="103"/>
        <v>1000000000</v>
      </c>
      <c r="V265" s="319">
        <f t="shared" si="104"/>
        <v>275427216</v>
      </c>
      <c r="X265" s="345">
        <f t="shared" si="98"/>
        <v>26.439306859615705</v>
      </c>
      <c r="Y265" s="346">
        <f t="shared" si="99"/>
        <v>-29.819240258229872</v>
      </c>
      <c r="AA265" s="345">
        <f t="shared" si="100"/>
        <v>47.952723249142224</v>
      </c>
      <c r="AB265" s="346">
        <f t="shared" si="101"/>
        <v>-86.006277010080566</v>
      </c>
      <c r="AD265">
        <f t="shared" si="105"/>
        <v>0</v>
      </c>
      <c r="AE265">
        <f t="shared" si="108"/>
        <v>0</v>
      </c>
    </row>
    <row r="266" spans="1:31" x14ac:dyDescent="0.25">
      <c r="A266" s="347">
        <v>16692.5</v>
      </c>
      <c r="B266" s="364">
        <f t="shared" si="102"/>
        <v>16.692499999999999</v>
      </c>
      <c r="C266" s="337">
        <f t="shared" si="83"/>
        <v>3.9061728076584998</v>
      </c>
      <c r="D266" s="338">
        <f t="shared" si="84"/>
        <v>1.3119090597555401</v>
      </c>
      <c r="E266" s="338">
        <f t="shared" si="85"/>
        <v>1.0003167569961453</v>
      </c>
      <c r="F266" s="339">
        <f t="shared" si="86"/>
        <v>2.5166382586457821E-2</v>
      </c>
      <c r="G266" s="338">
        <f t="shared" si="87"/>
        <v>1</v>
      </c>
      <c r="H266" s="339">
        <f t="shared" si="88"/>
        <v>0</v>
      </c>
      <c r="I266" s="337">
        <f t="shared" si="89"/>
        <v>10071.274660438003</v>
      </c>
      <c r="J266" s="340">
        <f t="shared" si="90"/>
        <v>1.5706970344972124</v>
      </c>
      <c r="K266" s="348">
        <f t="shared" si="106"/>
        <v>2.7817871714638156</v>
      </c>
      <c r="L266" s="349">
        <f t="shared" si="107"/>
        <v>1.2030845313037715</v>
      </c>
      <c r="M266" s="337">
        <f t="shared" si="91"/>
        <v>1.0116250730491088</v>
      </c>
      <c r="N266" s="340">
        <f t="shared" si="92"/>
        <v>0.15174689742480951</v>
      </c>
      <c r="O266" s="341">
        <f t="shared" si="93"/>
        <v>1.0004156749098019</v>
      </c>
      <c r="P266" s="342">
        <f t="shared" si="94"/>
        <v>0.21691518223949227</v>
      </c>
      <c r="Q266" s="343">
        <f t="shared" si="95"/>
        <v>12.097526936933608</v>
      </c>
      <c r="R266" s="344">
        <f t="shared" si="96"/>
        <v>-115.91035101410374</v>
      </c>
      <c r="S266" s="346">
        <f t="shared" si="97"/>
        <v>64.089648985896261</v>
      </c>
      <c r="U266" s="319">
        <f t="shared" si="103"/>
        <v>1000000000</v>
      </c>
      <c r="V266" s="319">
        <f t="shared" si="104"/>
        <v>278639556.25</v>
      </c>
      <c r="X266" s="345">
        <f t="shared" si="98"/>
        <v>26.431621904008455</v>
      </c>
      <c r="Y266" s="346">
        <f t="shared" si="99"/>
        <v>-29.757101739872315</v>
      </c>
      <c r="AA266" s="345">
        <f t="shared" si="100"/>
        <v>47.905646367315128</v>
      </c>
      <c r="AB266" s="346">
        <f t="shared" si="101"/>
        <v>-86.153249274231456</v>
      </c>
      <c r="AD266">
        <f t="shared" si="105"/>
        <v>0</v>
      </c>
      <c r="AE266">
        <f t="shared" si="108"/>
        <v>0</v>
      </c>
    </row>
    <row r="267" spans="1:31" x14ac:dyDescent="0.25">
      <c r="A267" s="347">
        <v>16789</v>
      </c>
      <c r="B267" s="364">
        <f t="shared" si="102"/>
        <v>16.789000000000001</v>
      </c>
      <c r="C267" s="337">
        <f t="shared" si="83"/>
        <v>3.9272785472390654</v>
      </c>
      <c r="D267" s="338">
        <f t="shared" si="84"/>
        <v>1.3133320274987446</v>
      </c>
      <c r="E267" s="338">
        <f t="shared" si="85"/>
        <v>1.000320429363365</v>
      </c>
      <c r="F267" s="339">
        <f t="shared" si="86"/>
        <v>2.5311808480362352E-2</v>
      </c>
      <c r="G267" s="338">
        <f t="shared" si="87"/>
        <v>1</v>
      </c>
      <c r="H267" s="339">
        <f t="shared" si="88"/>
        <v>0</v>
      </c>
      <c r="I267" s="337">
        <f t="shared" si="89"/>
        <v>10129.497095374538</v>
      </c>
      <c r="J267" s="340">
        <f t="shared" si="90"/>
        <v>1.5706976052105761</v>
      </c>
      <c r="K267" s="348">
        <f t="shared" si="106"/>
        <v>2.7957958226278192</v>
      </c>
      <c r="L267" s="349">
        <f t="shared" si="107"/>
        <v>1.2050140691545448</v>
      </c>
      <c r="M267" s="337">
        <f t="shared" si="91"/>
        <v>1.0117590881799214</v>
      </c>
      <c r="N267" s="340">
        <f t="shared" si="92"/>
        <v>0.15261063268443015</v>
      </c>
      <c r="O267" s="341">
        <f t="shared" si="93"/>
        <v>1.0004236026914615</v>
      </c>
      <c r="P267" s="342">
        <f t="shared" si="94"/>
        <v>0.21818764480568026</v>
      </c>
      <c r="Q267" s="343">
        <f t="shared" si="95"/>
        <v>12.043096498213639</v>
      </c>
      <c r="R267" s="344">
        <f t="shared" si="96"/>
        <v>-115.99542221414806</v>
      </c>
      <c r="S267" s="346">
        <f t="shared" si="97"/>
        <v>64.004577785851936</v>
      </c>
      <c r="U267" s="319">
        <f t="shared" si="103"/>
        <v>1000000000</v>
      </c>
      <c r="V267" s="319">
        <f t="shared" si="104"/>
        <v>281870521</v>
      </c>
      <c r="X267" s="345">
        <f t="shared" si="98"/>
        <v>26.424033465557073</v>
      </c>
      <c r="Y267" s="346">
        <f t="shared" si="99"/>
        <v>-29.696068449002464</v>
      </c>
      <c r="AA267" s="345">
        <f t="shared" si="100"/>
        <v>47.858804367046545</v>
      </c>
      <c r="AB267" s="346">
        <f t="shared" si="101"/>
        <v>-86.299353765145597</v>
      </c>
      <c r="AD267">
        <f t="shared" si="105"/>
        <v>0</v>
      </c>
      <c r="AE267">
        <f t="shared" si="108"/>
        <v>0</v>
      </c>
    </row>
    <row r="268" spans="1:31" x14ac:dyDescent="0.25">
      <c r="A268" s="347">
        <v>16885.5</v>
      </c>
      <c r="B268" s="364">
        <f t="shared" si="102"/>
        <v>16.8855</v>
      </c>
      <c r="C268" s="337">
        <f t="shared" si="83"/>
        <v>3.9483921538956617</v>
      </c>
      <c r="D268" s="338">
        <f t="shared" si="84"/>
        <v>1.3147397797300664</v>
      </c>
      <c r="E268" s="338">
        <f t="shared" si="85"/>
        <v>1.0003241228858963</v>
      </c>
      <c r="F268" s="339">
        <f t="shared" si="86"/>
        <v>2.5457233303422859E-2</v>
      </c>
      <c r="G268" s="338">
        <f t="shared" si="87"/>
        <v>1</v>
      </c>
      <c r="H268" s="339">
        <f t="shared" si="88"/>
        <v>0</v>
      </c>
      <c r="I268" s="337">
        <f t="shared" si="89"/>
        <v>10187.719530314333</v>
      </c>
      <c r="J268" s="340">
        <f t="shared" si="90"/>
        <v>1.5706981694007291</v>
      </c>
      <c r="K268" s="348">
        <f t="shared" si="106"/>
        <v>2.8098147790511598</v>
      </c>
      <c r="L268" s="349">
        <f t="shared" si="107"/>
        <v>1.206924360044193</v>
      </c>
      <c r="M268" s="337">
        <f t="shared" si="91"/>
        <v>1.011893857921804</v>
      </c>
      <c r="N268" s="340">
        <f t="shared" si="92"/>
        <v>0.15347413851383165</v>
      </c>
      <c r="O268" s="341">
        <f t="shared" si="93"/>
        <v>1.0004316479958271</v>
      </c>
      <c r="P268" s="342">
        <f t="shared" si="94"/>
        <v>0.21946042009135289</v>
      </c>
      <c r="Q268" s="343">
        <f t="shared" si="95"/>
        <v>11.988993202701344</v>
      </c>
      <c r="R268" s="344">
        <f t="shared" si="96"/>
        <v>-116.08072885894533</v>
      </c>
      <c r="S268" s="346">
        <f t="shared" si="97"/>
        <v>63.919271141054665</v>
      </c>
      <c r="U268" s="319">
        <f t="shared" si="103"/>
        <v>1000000000</v>
      </c>
      <c r="V268" s="319">
        <f t="shared" si="104"/>
        <v>285120110.25</v>
      </c>
      <c r="X268" s="345">
        <f t="shared" si="98"/>
        <v>26.416539448997419</v>
      </c>
      <c r="Y268" s="346">
        <f t="shared" si="99"/>
        <v>-29.636124408639098</v>
      </c>
      <c r="AA268" s="345">
        <f t="shared" si="100"/>
        <v>47.812195088093901</v>
      </c>
      <c r="AB268" s="346">
        <f t="shared" si="101"/>
        <v>-86.444604450306215</v>
      </c>
      <c r="AD268">
        <f t="shared" si="105"/>
        <v>0</v>
      </c>
      <c r="AE268">
        <f t="shared" si="108"/>
        <v>0</v>
      </c>
    </row>
    <row r="269" spans="1:31" x14ac:dyDescent="0.25">
      <c r="A269" s="347">
        <v>16982</v>
      </c>
      <c r="B269" s="364">
        <f t="shared" si="102"/>
        <v>16.981999999999999</v>
      </c>
      <c r="C269" s="337">
        <f t="shared" ref="C269:C332" si="109">SQRT(1+(A269/pole1)^2)</f>
        <v>3.9695135020947609</v>
      </c>
      <c r="D269" s="338">
        <f t="shared" ref="D269:D332" si="110">ATAN(A269/pole1)</f>
        <v>1.3161325537050959</v>
      </c>
      <c r="E269" s="338">
        <f t="shared" ref="E269:E332" si="111">SQRT(1+(A269/Zero1)^2)</f>
        <v>1.000327837563505</v>
      </c>
      <c r="F269" s="339">
        <f t="shared" ref="F269:F332" si="112">ATAN(A269/Zero1)</f>
        <v>2.5602657049500245E-2</v>
      </c>
      <c r="G269" s="338">
        <f t="shared" ref="G269:G332" si="113">IF(VIN_nom&gt;Vout, 1, SQRT(1+(A269/z_RHP)^2))</f>
        <v>1</v>
      </c>
      <c r="H269" s="339">
        <f t="shared" ref="H269:H332" si="114">IF(VIN_nom&gt;Vout, 0, -ATAN(A269/z_RHP))</f>
        <v>0</v>
      </c>
      <c r="I269" s="337">
        <f t="shared" ref="I269:I332" si="115">SQRT(1+(A269/Pole2)^2)</f>
        <v>10245.941965257334</v>
      </c>
      <c r="J269" s="340">
        <f t="shared" ref="J269:J332" si="116">ATAN(A269/Pole2)</f>
        <v>1.570698727178875</v>
      </c>
      <c r="K269" s="348">
        <f t="shared" si="106"/>
        <v>2.8238438872526426</v>
      </c>
      <c r="L269" s="349">
        <f t="shared" si="107"/>
        <v>1.2088156767877229</v>
      </c>
      <c r="M269" s="337">
        <f t="shared" ref="M269:M332" si="117">SQRT(1+(A269/pole4)^2)</f>
        <v>1.0120293819732862</v>
      </c>
      <c r="N269" s="340">
        <f t="shared" ref="N269:N332" si="118">ATAN(A269/pole4)</f>
        <v>0.15433741371719764</v>
      </c>
      <c r="O269" s="341">
        <f t="shared" ref="O269:O332" si="119">SQRT((1-(V269/pterm2))^2+(A269/pterm1)^2)</f>
        <v>1.0004398120596374</v>
      </c>
      <c r="P269" s="342">
        <f t="shared" ref="P269:P332" si="120">IF((ATAN((A269/pterm1)/(1-A269^2/pterm2))&gt;0),ATAN((A269/pterm1)/(1-A269^2/pterm2)),PI()+ATAN((A269/pterm1)/(1-A269^2/pterm2)))</f>
        <v>0.22073350969988145</v>
      </c>
      <c r="Q269" s="343">
        <f t="shared" ref="Q269:Q332" si="121">20*LOG10(((E269*K269*G269)/(C269*I269*O269*M269))*Adc)</f>
        <v>11.935212872712807</v>
      </c>
      <c r="R269" s="344">
        <f t="shared" ref="R269:R332" si="122">((F269+L269+H269)-(D269+J269+P269+N269))*radconv</f>
        <v>-116.16626894116553</v>
      </c>
      <c r="S269" s="346">
        <f t="shared" ref="S269:S332" si="123">IF(R269&gt;0,R269,R269+180)</f>
        <v>63.833731058834474</v>
      </c>
      <c r="U269" s="319">
        <f t="shared" si="103"/>
        <v>1000000000</v>
      </c>
      <c r="V269" s="319">
        <f t="shared" si="104"/>
        <v>288388324</v>
      </c>
      <c r="X269" s="345">
        <f t="shared" ref="X269:X332" si="124">20*LOG10((K269/(I269*M269))*AEA)</f>
        <v>26.409137811332446</v>
      </c>
      <c r="Y269" s="346">
        <f t="shared" ref="Y269:Y332" si="125">(L269-(J269+N269))*radconv</f>
        <v>-29.577253925489966</v>
      </c>
      <c r="AA269" s="345">
        <f t="shared" ref="AA269:AA332" si="126">20*LOG10((E269*G269/(C269*O269))*Acs*Am)</f>
        <v>47.765816395770329</v>
      </c>
      <c r="AB269" s="346">
        <f t="shared" ref="AB269:AB332" si="127">(F269+H269-(D269+P269))*radconv</f>
        <v>-86.589015015675514</v>
      </c>
      <c r="AD269">
        <f t="shared" si="105"/>
        <v>0</v>
      </c>
      <c r="AE269">
        <f t="shared" si="108"/>
        <v>0</v>
      </c>
    </row>
    <row r="270" spans="1:31" x14ac:dyDescent="0.25">
      <c r="A270" s="347">
        <v>17081</v>
      </c>
      <c r="B270" s="364">
        <f t="shared" ref="B270:B333" si="128">A270/1000</f>
        <v>17.081</v>
      </c>
      <c r="C270" s="337">
        <f t="shared" si="109"/>
        <v>3.9911899516327698</v>
      </c>
      <c r="D270" s="338">
        <f t="shared" si="110"/>
        <v>1.3175460882002217</v>
      </c>
      <c r="E270" s="338">
        <f t="shared" si="111"/>
        <v>1.0003316704603027</v>
      </c>
      <c r="F270" s="339">
        <f t="shared" si="112"/>
        <v>2.5751847124508467E-2</v>
      </c>
      <c r="G270" s="338">
        <f t="shared" si="113"/>
        <v>1</v>
      </c>
      <c r="H270" s="339">
        <f t="shared" si="114"/>
        <v>0</v>
      </c>
      <c r="I270" s="337">
        <f t="shared" si="115"/>
        <v>10305.672753440474</v>
      </c>
      <c r="J270" s="340">
        <f t="shared" si="116"/>
        <v>1.5706992928578123</v>
      </c>
      <c r="K270" s="348">
        <f t="shared" si="106"/>
        <v>2.8382468357480795</v>
      </c>
      <c r="L270" s="349">
        <f t="shared" si="107"/>
        <v>1.2107365543644162</v>
      </c>
      <c r="M270" s="337">
        <f t="shared" si="117"/>
        <v>1.0121692005682377</v>
      </c>
      <c r="N270" s="340">
        <f t="shared" si="118"/>
        <v>0.15522281264626311</v>
      </c>
      <c r="O270" s="341">
        <f t="shared" si="119"/>
        <v>1.0004483123457151</v>
      </c>
      <c r="P270" s="342">
        <f t="shared" si="120"/>
        <v>0.22203990922439035</v>
      </c>
      <c r="Q270" s="343">
        <f t="shared" si="121"/>
        <v>11.880370595544052</v>
      </c>
      <c r="R270" s="344">
        <f t="shared" si="122"/>
        <v>-116.25426557423265</v>
      </c>
      <c r="S270" s="346">
        <f t="shared" si="123"/>
        <v>63.745734425767353</v>
      </c>
      <c r="U270" s="319">
        <f t="shared" ref="U270:U333" si="129">IF(Q270&lt;0,A270,1000000000)</f>
        <v>1000000000</v>
      </c>
      <c r="V270" s="319">
        <f t="shared" ref="V270:V333" si="130">A270^2</f>
        <v>291760561</v>
      </c>
      <c r="X270" s="345">
        <f t="shared" si="124"/>
        <v>26.401638333265794</v>
      </c>
      <c r="Y270" s="346">
        <f t="shared" si="125"/>
        <v>-29.517957780152894</v>
      </c>
      <c r="AA270" s="345">
        <f t="shared" si="126"/>
        <v>47.718473596668233</v>
      </c>
      <c r="AB270" s="346">
        <f t="shared" si="127"/>
        <v>-86.736307794079735</v>
      </c>
      <c r="AD270">
        <f t="shared" ref="AD270:AD333" si="131">SUM((Q271&lt;0)*(Q270&gt;0))*A270</f>
        <v>0</v>
      </c>
      <c r="AE270">
        <f t="shared" si="108"/>
        <v>0</v>
      </c>
    </row>
    <row r="271" spans="1:31" x14ac:dyDescent="0.25">
      <c r="A271" s="347">
        <v>17180</v>
      </c>
      <c r="B271" s="364">
        <f t="shared" si="128"/>
        <v>17.18</v>
      </c>
      <c r="C271" s="337">
        <f t="shared" si="109"/>
        <v>4.0128742897229701</v>
      </c>
      <c r="D271" s="338">
        <f t="shared" si="110"/>
        <v>1.3189443488530126</v>
      </c>
      <c r="E271" s="338">
        <f t="shared" si="111"/>
        <v>1.0003355256219906</v>
      </c>
      <c r="F271" s="339">
        <f t="shared" si="112"/>
        <v>2.5901036052919373E-2</v>
      </c>
      <c r="G271" s="338">
        <f t="shared" si="113"/>
        <v>1</v>
      </c>
      <c r="H271" s="339">
        <f t="shared" si="114"/>
        <v>0</v>
      </c>
      <c r="I271" s="337">
        <f t="shared" si="115"/>
        <v>10365.403541626878</v>
      </c>
      <c r="J271" s="340">
        <f t="shared" si="116"/>
        <v>1.5706998520172832</v>
      </c>
      <c r="K271" s="348">
        <f t="shared" si="106"/>
        <v>2.8526601509508924</v>
      </c>
      <c r="L271" s="349">
        <f t="shared" si="107"/>
        <v>1.2126380280938569</v>
      </c>
      <c r="M271" s="337">
        <f t="shared" si="117"/>
        <v>1.0123098124147205</v>
      </c>
      <c r="N271" s="340">
        <f t="shared" si="118"/>
        <v>0.15610796630172324</v>
      </c>
      <c r="O271" s="341">
        <f t="shared" si="119"/>
        <v>1.000456940283986</v>
      </c>
      <c r="P271" s="342">
        <f t="shared" si="120"/>
        <v>0.22334664297641885</v>
      </c>
      <c r="Q271" s="343">
        <f t="shared" si="121"/>
        <v>11.8258595703478</v>
      </c>
      <c r="R271" s="344">
        <f t="shared" si="122"/>
        <v>-116.34250362799236</v>
      </c>
      <c r="S271" s="346">
        <f t="shared" si="123"/>
        <v>63.657496372007643</v>
      </c>
      <c r="U271" s="319">
        <f t="shared" si="129"/>
        <v>1000000000</v>
      </c>
      <c r="V271" s="319">
        <f t="shared" si="130"/>
        <v>295152400</v>
      </c>
      <c r="X271" s="345">
        <f t="shared" si="124"/>
        <v>26.394231888724736</v>
      </c>
      <c r="Y271" s="346">
        <f t="shared" si="125"/>
        <v>-29.459758966690643</v>
      </c>
      <c r="AA271" s="345">
        <f t="shared" si="126"/>
        <v>47.671369016013045</v>
      </c>
      <c r="AB271" s="346">
        <f t="shared" si="127"/>
        <v>-86.8827446613017</v>
      </c>
      <c r="AD271">
        <f t="shared" si="131"/>
        <v>0</v>
      </c>
      <c r="AE271">
        <f t="shared" si="108"/>
        <v>0</v>
      </c>
    </row>
    <row r="272" spans="1:31" x14ac:dyDescent="0.25">
      <c r="A272" s="347">
        <v>17279</v>
      </c>
      <c r="B272" s="364">
        <f t="shared" si="128"/>
        <v>17.279</v>
      </c>
      <c r="C272" s="337">
        <f t="shared" si="109"/>
        <v>4.0345663891710011</v>
      </c>
      <c r="D272" s="338">
        <f t="shared" si="110"/>
        <v>1.3203275765136775</v>
      </c>
      <c r="E272" s="338">
        <f t="shared" si="111"/>
        <v>1.0003394030483106</v>
      </c>
      <c r="F272" s="339">
        <f t="shared" si="112"/>
        <v>2.6050223828105158E-2</v>
      </c>
      <c r="G272" s="338">
        <f t="shared" si="113"/>
        <v>1</v>
      </c>
      <c r="H272" s="339">
        <f t="shared" si="114"/>
        <v>0</v>
      </c>
      <c r="I272" s="337">
        <f t="shared" si="115"/>
        <v>10425.134329816485</v>
      </c>
      <c r="J272" s="340">
        <f t="shared" si="116"/>
        <v>1.5707004047693478</v>
      </c>
      <c r="K272" s="348">
        <f t="shared" si="106"/>
        <v>2.8670836765155054</v>
      </c>
      <c r="L272" s="349">
        <f t="shared" si="107"/>
        <v>1.2145203769680657</v>
      </c>
      <c r="M272" s="337">
        <f t="shared" si="117"/>
        <v>1.0124512171822289</v>
      </c>
      <c r="N272" s="340">
        <f t="shared" si="118"/>
        <v>0.15699287339903056</v>
      </c>
      <c r="O272" s="341">
        <f t="shared" si="119"/>
        <v>1.0004656972328554</v>
      </c>
      <c r="P272" s="342">
        <f t="shared" si="120"/>
        <v>0.2246537126757602</v>
      </c>
      <c r="Q272" s="343">
        <f t="shared" si="121"/>
        <v>11.771675529720509</v>
      </c>
      <c r="R272" s="344">
        <f t="shared" si="122"/>
        <v>-116.43098094881782</v>
      </c>
      <c r="S272" s="346">
        <f t="shared" si="123"/>
        <v>63.569019051182181</v>
      </c>
      <c r="U272" s="319">
        <f t="shared" si="129"/>
        <v>1000000000</v>
      </c>
      <c r="V272" s="319">
        <f t="shared" si="130"/>
        <v>298563841</v>
      </c>
      <c r="X272" s="345">
        <f t="shared" si="124"/>
        <v>26.386916433426308</v>
      </c>
      <c r="Y272" s="346">
        <f t="shared" si="125"/>
        <v>-29.402641432859316</v>
      </c>
      <c r="AA272" s="345">
        <f t="shared" si="126"/>
        <v>47.624500430684179</v>
      </c>
      <c r="AB272" s="346">
        <f t="shared" si="127"/>
        <v>-87.028339515958521</v>
      </c>
      <c r="AD272">
        <f t="shared" si="131"/>
        <v>0</v>
      </c>
      <c r="AE272">
        <f t="shared" si="108"/>
        <v>0</v>
      </c>
    </row>
    <row r="273" spans="1:31" x14ac:dyDescent="0.25">
      <c r="A273" s="347">
        <v>17378</v>
      </c>
      <c r="B273" s="364">
        <f t="shared" si="128"/>
        <v>17.378</v>
      </c>
      <c r="C273" s="337">
        <f t="shared" si="109"/>
        <v>4.0562661254582988</v>
      </c>
      <c r="D273" s="338">
        <f t="shared" si="110"/>
        <v>1.3216960071114163</v>
      </c>
      <c r="E273" s="338">
        <f t="shared" si="111"/>
        <v>1.0003433027390041</v>
      </c>
      <c r="F273" s="339">
        <f t="shared" si="112"/>
        <v>2.6199410443438331E-2</v>
      </c>
      <c r="G273" s="338">
        <f t="shared" si="113"/>
        <v>1</v>
      </c>
      <c r="H273" s="339">
        <f t="shared" si="114"/>
        <v>0</v>
      </c>
      <c r="I273" s="337">
        <f t="shared" si="115"/>
        <v>10484.865118009237</v>
      </c>
      <c r="J273" s="340">
        <f t="shared" si="116"/>
        <v>1.5707009512235124</v>
      </c>
      <c r="K273" s="348">
        <f t="shared" si="106"/>
        <v>2.8815172591170573</v>
      </c>
      <c r="L273" s="349">
        <f t="shared" si="107"/>
        <v>1.2163838749372204</v>
      </c>
      <c r="M273" s="337">
        <f t="shared" si="117"/>
        <v>1.0125934145385771</v>
      </c>
      <c r="N273" s="340">
        <f t="shared" si="118"/>
        <v>0.1578775326558976</v>
      </c>
      <c r="O273" s="341">
        <f t="shared" si="119"/>
        <v>1.000474584558501</v>
      </c>
      <c r="P273" s="342">
        <f t="shared" si="120"/>
        <v>0.22596112003829008</v>
      </c>
      <c r="Q273" s="343">
        <f t="shared" si="121"/>
        <v>11.717814284602547</v>
      </c>
      <c r="R273" s="344">
        <f t="shared" si="122"/>
        <v>-116.51969538976427</v>
      </c>
      <c r="S273" s="346">
        <f t="shared" si="123"/>
        <v>63.480304610235734</v>
      </c>
      <c r="U273" s="319">
        <f t="shared" si="129"/>
        <v>1000000000</v>
      </c>
      <c r="V273" s="319">
        <f t="shared" si="130"/>
        <v>301994884</v>
      </c>
      <c r="X273" s="345">
        <f t="shared" si="124"/>
        <v>26.379689974501012</v>
      </c>
      <c r="Y273" s="346">
        <f t="shared" si="125"/>
        <v>-29.346589415274483</v>
      </c>
      <c r="AA273" s="345">
        <f t="shared" si="126"/>
        <v>47.577865644491517</v>
      </c>
      <c r="AB273" s="346">
        <f t="shared" si="127"/>
        <v>-87.173105974489786</v>
      </c>
      <c r="AD273">
        <f t="shared" si="131"/>
        <v>0</v>
      </c>
      <c r="AE273">
        <f t="shared" si="108"/>
        <v>0</v>
      </c>
    </row>
    <row r="274" spans="1:31" x14ac:dyDescent="0.25">
      <c r="A274" s="347">
        <v>17479.25</v>
      </c>
      <c r="B274" s="364">
        <f t="shared" si="128"/>
        <v>17.47925</v>
      </c>
      <c r="C274" s="337">
        <f t="shared" si="109"/>
        <v>4.0784668096893695</v>
      </c>
      <c r="D274" s="338">
        <f t="shared" si="110"/>
        <v>1.3230804739272388</v>
      </c>
      <c r="E274" s="338">
        <f t="shared" si="111"/>
        <v>1.0003473140878965</v>
      </c>
      <c r="F274" s="339">
        <f t="shared" si="112"/>
        <v>2.6351986457066101E-2</v>
      </c>
      <c r="G274" s="338">
        <f t="shared" si="113"/>
        <v>1</v>
      </c>
      <c r="H274" s="339">
        <f t="shared" si="114"/>
        <v>0</v>
      </c>
      <c r="I274" s="337">
        <f t="shared" si="115"/>
        <v>10545.953424118665</v>
      </c>
      <c r="J274" s="340">
        <f t="shared" si="116"/>
        <v>1.5707015036943877</v>
      </c>
      <c r="K274" s="348">
        <f t="shared" si="106"/>
        <v>2.8962891234742694</v>
      </c>
      <c r="L274" s="349">
        <f t="shared" si="107"/>
        <v>1.2182705070489017</v>
      </c>
      <c r="M274" s="337">
        <f t="shared" si="117"/>
        <v>1.0127396631186822</v>
      </c>
      <c r="N274" s="340">
        <f t="shared" si="118"/>
        <v>0.15878204011740973</v>
      </c>
      <c r="O274" s="341">
        <f t="shared" si="119"/>
        <v>1.0004838101558851</v>
      </c>
      <c r="P274" s="342">
        <f t="shared" si="120"/>
        <v>0.22729859225027998</v>
      </c>
      <c r="Q274" s="343">
        <f t="shared" si="121"/>
        <v>11.663058517932596</v>
      </c>
      <c r="R274" s="344">
        <f t="shared" si="122"/>
        <v>-116.61066910345704</v>
      </c>
      <c r="S274" s="346">
        <f t="shared" si="123"/>
        <v>63.389330896542958</v>
      </c>
      <c r="U274" s="319">
        <f t="shared" si="129"/>
        <v>1000000000</v>
      </c>
      <c r="V274" s="319">
        <f t="shared" si="130"/>
        <v>305524180.5625</v>
      </c>
      <c r="X274" s="345">
        <f t="shared" si="124"/>
        <v>26.37238930655862</v>
      </c>
      <c r="Y274" s="346">
        <f t="shared" si="125"/>
        <v>-29.290349472049225</v>
      </c>
      <c r="AA274" s="345">
        <f t="shared" si="126"/>
        <v>47.530410545763957</v>
      </c>
      <c r="AB274" s="346">
        <f t="shared" si="127"/>
        <v>-87.320319631407799</v>
      </c>
      <c r="AD274">
        <f t="shared" si="131"/>
        <v>0</v>
      </c>
      <c r="AE274">
        <f t="shared" si="108"/>
        <v>0</v>
      </c>
    </row>
    <row r="275" spans="1:31" x14ac:dyDescent="0.25">
      <c r="A275" s="347">
        <v>17580.5</v>
      </c>
      <c r="B275" s="364">
        <f t="shared" si="128"/>
        <v>17.580500000000001</v>
      </c>
      <c r="C275" s="337">
        <f t="shared" si="109"/>
        <v>4.100675226661008</v>
      </c>
      <c r="D275" s="338">
        <f t="shared" si="110"/>
        <v>1.3244499473670479</v>
      </c>
      <c r="E275" s="338">
        <f t="shared" si="111"/>
        <v>1.0003513487241269</v>
      </c>
      <c r="F275" s="339">
        <f t="shared" si="112"/>
        <v>2.6504561243500695E-2</v>
      </c>
      <c r="G275" s="338">
        <f t="shared" si="113"/>
        <v>1</v>
      </c>
      <c r="H275" s="339">
        <f t="shared" si="114"/>
        <v>0</v>
      </c>
      <c r="I275" s="337">
        <f t="shared" si="115"/>
        <v>10607.041730231274</v>
      </c>
      <c r="J275" s="340">
        <f t="shared" si="116"/>
        <v>1.5707020498016582</v>
      </c>
      <c r="K275" s="348">
        <f t="shared" si="106"/>
        <v>2.9110711921824795</v>
      </c>
      <c r="L275" s="349">
        <f t="shared" si="107"/>
        <v>1.2201379855705068</v>
      </c>
      <c r="M275" s="337">
        <f t="shared" si="117"/>
        <v>1.0128867400156214</v>
      </c>
      <c r="N275" s="340">
        <f t="shared" si="118"/>
        <v>0.15968628563931456</v>
      </c>
      <c r="O275" s="341">
        <f t="shared" si="119"/>
        <v>1.0004931750389221</v>
      </c>
      <c r="P275" s="342">
        <f t="shared" si="120"/>
        <v>0.22863642126584346</v>
      </c>
      <c r="Q275" s="343">
        <f t="shared" si="121"/>
        <v>11.608631766096009</v>
      </c>
      <c r="R275" s="344">
        <f t="shared" si="122"/>
        <v>-116.7018863208679</v>
      </c>
      <c r="S275" s="346">
        <f t="shared" si="123"/>
        <v>63.298113679132101</v>
      </c>
      <c r="U275" s="319">
        <f t="shared" si="129"/>
        <v>1000000000</v>
      </c>
      <c r="V275" s="319">
        <f t="shared" si="130"/>
        <v>309073980.25</v>
      </c>
      <c r="X275" s="345">
        <f t="shared" si="124"/>
        <v>26.365177668085991</v>
      </c>
      <c r="Y275" s="346">
        <f t="shared" si="125"/>
        <v>-29.23519157605741</v>
      </c>
      <c r="AA275" s="345">
        <f t="shared" si="126"/>
        <v>47.483195432399995</v>
      </c>
      <c r="AB275" s="346">
        <f t="shared" si="127"/>
        <v>-87.466694744810496</v>
      </c>
      <c r="AD275">
        <f t="shared" si="131"/>
        <v>0</v>
      </c>
      <c r="AE275">
        <f t="shared" si="108"/>
        <v>0</v>
      </c>
    </row>
    <row r="276" spans="1:31" x14ac:dyDescent="0.25">
      <c r="A276" s="347">
        <v>17681.75</v>
      </c>
      <c r="B276" s="364">
        <f t="shared" si="128"/>
        <v>17.681750000000001</v>
      </c>
      <c r="C276" s="337">
        <f t="shared" si="109"/>
        <v>4.122891251413388</v>
      </c>
      <c r="D276" s="338">
        <f t="shared" si="110"/>
        <v>1.3258046646256409</v>
      </c>
      <c r="E276" s="338">
        <f t="shared" si="111"/>
        <v>1.0003554066474138</v>
      </c>
      <c r="F276" s="339">
        <f t="shared" si="112"/>
        <v>2.665713479565341E-2</v>
      </c>
      <c r="G276" s="338">
        <f t="shared" si="113"/>
        <v>1</v>
      </c>
      <c r="H276" s="339">
        <f t="shared" si="114"/>
        <v>0</v>
      </c>
      <c r="I276" s="337">
        <f t="shared" si="115"/>
        <v>10668.130036347011</v>
      </c>
      <c r="J276" s="340">
        <f t="shared" si="116"/>
        <v>1.5707025896546427</v>
      </c>
      <c r="K276" s="348">
        <f t="shared" si="106"/>
        <v>2.9258633105781957</v>
      </c>
      <c r="L276" s="349">
        <f t="shared" si="107"/>
        <v>1.221986587877955</v>
      </c>
      <c r="M276" s="337">
        <f t="shared" si="117"/>
        <v>1.0130346448686181</v>
      </c>
      <c r="N276" s="340">
        <f t="shared" si="118"/>
        <v>0.16059026785729344</v>
      </c>
      <c r="O276" s="341">
        <f t="shared" si="119"/>
        <v>1.0005026806942836</v>
      </c>
      <c r="P276" s="342">
        <f t="shared" si="120"/>
        <v>0.22997460890763671</v>
      </c>
      <c r="Q276" s="343">
        <f t="shared" si="121"/>
        <v>11.554529790248928</v>
      </c>
      <c r="R276" s="344">
        <f t="shared" si="122"/>
        <v>-116.79334477271867</v>
      </c>
      <c r="S276" s="346">
        <f t="shared" si="123"/>
        <v>63.206655227281331</v>
      </c>
      <c r="U276" s="319">
        <f t="shared" si="129"/>
        <v>1000000000</v>
      </c>
      <c r="V276" s="319">
        <f t="shared" si="130"/>
        <v>312644283.0625</v>
      </c>
      <c r="X276" s="345">
        <f t="shared" si="124"/>
        <v>26.358053084440819</v>
      </c>
      <c r="Y276" s="346">
        <f t="shared" si="125"/>
        <v>-29.181099762923306</v>
      </c>
      <c r="AA276" s="345">
        <f t="shared" si="126"/>
        <v>47.436218040198092</v>
      </c>
      <c r="AB276" s="346">
        <f t="shared" si="127"/>
        <v>-87.612245009795373</v>
      </c>
      <c r="AD276">
        <f t="shared" si="131"/>
        <v>0</v>
      </c>
      <c r="AE276">
        <f t="shared" si="108"/>
        <v>0</v>
      </c>
    </row>
    <row r="277" spans="1:31" x14ac:dyDescent="0.25">
      <c r="A277" s="347">
        <v>17783</v>
      </c>
      <c r="B277" s="364">
        <f t="shared" si="128"/>
        <v>17.783000000000001</v>
      </c>
      <c r="C277" s="337">
        <f t="shared" si="109"/>
        <v>4.1451147616232547</v>
      </c>
      <c r="D277" s="338">
        <f t="shared" si="110"/>
        <v>1.3271448580303291</v>
      </c>
      <c r="E277" s="338">
        <f t="shared" si="111"/>
        <v>1.0003594878574738</v>
      </c>
      <c r="F277" s="339">
        <f t="shared" si="112"/>
        <v>2.680970710643589E-2</v>
      </c>
      <c r="G277" s="338">
        <f t="shared" si="113"/>
        <v>1</v>
      </c>
      <c r="H277" s="339">
        <f t="shared" si="114"/>
        <v>0</v>
      </c>
      <c r="I277" s="337">
        <f t="shared" si="115"/>
        <v>10729.21834246582</v>
      </c>
      <c r="J277" s="340">
        <f t="shared" si="116"/>
        <v>1.5707031233601703</v>
      </c>
      <c r="K277" s="348">
        <f t="shared" si="106"/>
        <v>2.9406653270057745</v>
      </c>
      <c r="L277" s="349">
        <f t="shared" si="107"/>
        <v>1.2238165862841708</v>
      </c>
      <c r="M277" s="337">
        <f t="shared" si="117"/>
        <v>1.0131833773150765</v>
      </c>
      <c r="N277" s="340">
        <f t="shared" si="118"/>
        <v>0.1614939854095436</v>
      </c>
      <c r="O277" s="341">
        <f t="shared" si="119"/>
        <v>1.0005123286171356</v>
      </c>
      <c r="P277" s="342">
        <f t="shared" si="120"/>
        <v>0.23131315699391147</v>
      </c>
      <c r="Q277" s="343">
        <f t="shared" si="121"/>
        <v>11.500748429407333</v>
      </c>
      <c r="R277" s="344">
        <f t="shared" si="122"/>
        <v>-116.88504220068202</v>
      </c>
      <c r="S277" s="346">
        <f t="shared" si="123"/>
        <v>63.114957799317978</v>
      </c>
      <c r="U277" s="319">
        <f t="shared" si="129"/>
        <v>1000000000</v>
      </c>
      <c r="V277" s="319">
        <f t="shared" si="130"/>
        <v>316235089</v>
      </c>
      <c r="X277" s="345">
        <f t="shared" si="124"/>
        <v>26.351013630888755</v>
      </c>
      <c r="Y277" s="346">
        <f t="shared" si="125"/>
        <v>-29.128058358360924</v>
      </c>
      <c r="AA277" s="345">
        <f t="shared" si="126"/>
        <v>47.389476132908555</v>
      </c>
      <c r="AB277" s="346">
        <f t="shared" si="127"/>
        <v>-87.756983842321134</v>
      </c>
      <c r="AD277">
        <f t="shared" si="131"/>
        <v>0</v>
      </c>
      <c r="AE277">
        <f t="shared" si="108"/>
        <v>0</v>
      </c>
    </row>
    <row r="278" spans="1:31" x14ac:dyDescent="0.25">
      <c r="A278" s="347">
        <v>17886.5</v>
      </c>
      <c r="B278" s="364">
        <f t="shared" si="128"/>
        <v>17.886500000000002</v>
      </c>
      <c r="C278" s="337">
        <f t="shared" si="109"/>
        <v>4.1678397397581115</v>
      </c>
      <c r="D278" s="338">
        <f t="shared" si="110"/>
        <v>1.3285000588809706</v>
      </c>
      <c r="E278" s="338">
        <f t="shared" si="111"/>
        <v>1.0003636838295422</v>
      </c>
      <c r="F278" s="339">
        <f t="shared" si="112"/>
        <v>2.6965668622577481E-2</v>
      </c>
      <c r="G278" s="338">
        <f t="shared" si="113"/>
        <v>1</v>
      </c>
      <c r="H278" s="339">
        <f t="shared" si="114"/>
        <v>0</v>
      </c>
      <c r="I278" s="337">
        <f t="shared" si="115"/>
        <v>10791.664166501505</v>
      </c>
      <c r="J278" s="340">
        <f t="shared" si="116"/>
        <v>1.5707036626806319</v>
      </c>
      <c r="K278" s="348">
        <f t="shared" si="106"/>
        <v>2.9558063527080982</v>
      </c>
      <c r="L278" s="349">
        <f t="shared" si="107"/>
        <v>1.2256683010514187</v>
      </c>
      <c r="M278" s="337">
        <f t="shared" si="117"/>
        <v>1.0133362699318174</v>
      </c>
      <c r="N278" s="340">
        <f t="shared" si="118"/>
        <v>0.1624175106054834</v>
      </c>
      <c r="O278" s="341">
        <f t="shared" si="119"/>
        <v>1.0005223395488523</v>
      </c>
      <c r="P278" s="342">
        <f t="shared" si="120"/>
        <v>0.23268182503009768</v>
      </c>
      <c r="Q278" s="343">
        <f t="shared" si="121"/>
        <v>11.446099055561572</v>
      </c>
      <c r="R278" s="344">
        <f t="shared" si="122"/>
        <v>-116.97902201107252</v>
      </c>
      <c r="S278" s="346">
        <f t="shared" si="123"/>
        <v>63.020977988927484</v>
      </c>
      <c r="U278" s="319">
        <f t="shared" si="129"/>
        <v>1000000000</v>
      </c>
      <c r="V278" s="319">
        <f t="shared" si="130"/>
        <v>319926882.25</v>
      </c>
      <c r="X278" s="345">
        <f t="shared" si="124"/>
        <v>26.343903780422615</v>
      </c>
      <c r="Y278" s="346">
        <f t="shared" si="125"/>
        <v>-29.07490791406244</v>
      </c>
      <c r="AA278" s="345">
        <f t="shared" si="126"/>
        <v>47.341936609528936</v>
      </c>
      <c r="AB278" s="346">
        <f t="shared" si="127"/>
        <v>-87.904114097010094</v>
      </c>
      <c r="AD278">
        <f t="shared" si="131"/>
        <v>0</v>
      </c>
      <c r="AE278">
        <f t="shared" si="108"/>
        <v>0</v>
      </c>
    </row>
    <row r="279" spans="1:31" x14ac:dyDescent="0.25">
      <c r="A279" s="347">
        <v>17990</v>
      </c>
      <c r="B279" s="364">
        <f t="shared" si="128"/>
        <v>17.989999999999998</v>
      </c>
      <c r="C279" s="337">
        <f t="shared" si="109"/>
        <v>4.1905722893923354</v>
      </c>
      <c r="D279" s="338">
        <f t="shared" si="110"/>
        <v>1.3298405590861753</v>
      </c>
      <c r="E279" s="338">
        <f t="shared" si="111"/>
        <v>1.000367904134247</v>
      </c>
      <c r="F279" s="339">
        <f t="shared" si="112"/>
        <v>2.7121628826586513E-2</v>
      </c>
      <c r="G279" s="338">
        <f t="shared" si="113"/>
        <v>1</v>
      </c>
      <c r="H279" s="339">
        <f t="shared" si="114"/>
        <v>0</v>
      </c>
      <c r="I279" s="337">
        <f t="shared" si="115"/>
        <v>10854.10999054029</v>
      </c>
      <c r="J279" s="340">
        <f t="shared" si="116"/>
        <v>1.5707041957954608</v>
      </c>
      <c r="K279" s="348">
        <f t="shared" ref="K279:K342" si="132">SQRT(1+(A279/Zero2)^2)</f>
        <v>2.9709574100967053</v>
      </c>
      <c r="L279" s="349">
        <f t="shared" ref="L279:L342" si="133">ATAN(A279/Zero2)</f>
        <v>1.2275011355881615</v>
      </c>
      <c r="M279" s="337">
        <f t="shared" si="117"/>
        <v>1.0134900265606399</v>
      </c>
      <c r="N279" s="340">
        <f t="shared" si="118"/>
        <v>0.1633407563725412</v>
      </c>
      <c r="O279" s="341">
        <f t="shared" si="119"/>
        <v>1.000532502327889</v>
      </c>
      <c r="P279" s="342">
        <f t="shared" si="120"/>
        <v>0.2340508735364504</v>
      </c>
      <c r="Q279" s="343">
        <f t="shared" si="121"/>
        <v>11.391776153093549</v>
      </c>
      <c r="R279" s="344">
        <f t="shared" si="122"/>
        <v>-117.07324680291009</v>
      </c>
      <c r="S279" s="346">
        <f t="shared" si="123"/>
        <v>62.926753197089909</v>
      </c>
      <c r="U279" s="319">
        <f t="shared" si="129"/>
        <v>1000000000</v>
      </c>
      <c r="V279" s="319">
        <f t="shared" si="130"/>
        <v>323640100</v>
      </c>
      <c r="X279" s="345">
        <f t="shared" si="124"/>
        <v>26.336878971794917</v>
      </c>
      <c r="Y279" s="346">
        <f t="shared" si="125"/>
        <v>-29.02282286163717</v>
      </c>
      <c r="AA279" s="345">
        <f t="shared" si="126"/>
        <v>47.294638515688618</v>
      </c>
      <c r="AB279" s="346">
        <f t="shared" si="127"/>
        <v>-88.050423941272911</v>
      </c>
      <c r="AD279">
        <f t="shared" si="131"/>
        <v>0</v>
      </c>
      <c r="AE279">
        <f t="shared" si="108"/>
        <v>0</v>
      </c>
    </row>
    <row r="280" spans="1:31" x14ac:dyDescent="0.25">
      <c r="A280" s="347">
        <v>18093.5</v>
      </c>
      <c r="B280" s="364">
        <f t="shared" si="128"/>
        <v>18.093499999999999</v>
      </c>
      <c r="C280" s="337">
        <f t="shared" si="109"/>
        <v>4.2133122879718847</v>
      </c>
      <c r="D280" s="338">
        <f t="shared" si="110"/>
        <v>1.33116659181497</v>
      </c>
      <c r="E280" s="338">
        <f t="shared" si="111"/>
        <v>1.00037214877128</v>
      </c>
      <c r="F280" s="339">
        <f t="shared" si="112"/>
        <v>2.7277587710892622E-2</v>
      </c>
      <c r="G280" s="338">
        <f t="shared" si="113"/>
        <v>1</v>
      </c>
      <c r="H280" s="339">
        <f t="shared" si="114"/>
        <v>0</v>
      </c>
      <c r="I280" s="337">
        <f t="shared" si="115"/>
        <v>10916.555814582127</v>
      </c>
      <c r="J280" s="340">
        <f t="shared" si="116"/>
        <v>1.5707047228111508</v>
      </c>
      <c r="K280" s="348">
        <f t="shared" si="132"/>
        <v>2.9861183464743828</v>
      </c>
      <c r="L280" s="349">
        <f t="shared" si="133"/>
        <v>1.2293153650584359</v>
      </c>
      <c r="M280" s="337">
        <f t="shared" si="117"/>
        <v>1.0136446468083664</v>
      </c>
      <c r="N280" s="340">
        <f t="shared" si="118"/>
        <v>0.16426372126431624</v>
      </c>
      <c r="O280" s="341">
        <f t="shared" si="119"/>
        <v>1.0005428185788245</v>
      </c>
      <c r="P280" s="342">
        <f t="shared" si="120"/>
        <v>0.23542030444068418</v>
      </c>
      <c r="Q280" s="343">
        <f t="shared" si="121"/>
        <v>11.337775517838429</v>
      </c>
      <c r="R280" s="344">
        <f t="shared" si="122"/>
        <v>-117.16771420417048</v>
      </c>
      <c r="S280" s="346">
        <f t="shared" si="123"/>
        <v>62.83228579582952</v>
      </c>
      <c r="U280" s="319">
        <f t="shared" si="129"/>
        <v>1000000000</v>
      </c>
      <c r="V280" s="319">
        <f t="shared" si="130"/>
        <v>327374742.25</v>
      </c>
      <c r="X280" s="345">
        <f t="shared" si="124"/>
        <v>26.329937301385769</v>
      </c>
      <c r="Y280" s="346">
        <f t="shared" si="125"/>
        <v>-28.971787358576108</v>
      </c>
      <c r="AA280" s="345">
        <f t="shared" si="126"/>
        <v>47.247579550842637</v>
      </c>
      <c r="AB280" s="346">
        <f t="shared" si="127"/>
        <v>-88.1959268455944</v>
      </c>
      <c r="AD280">
        <f t="shared" si="131"/>
        <v>0</v>
      </c>
      <c r="AE280">
        <f t="shared" si="108"/>
        <v>0</v>
      </c>
    </row>
    <row r="281" spans="1:31" x14ac:dyDescent="0.25">
      <c r="A281" s="347">
        <v>18197</v>
      </c>
      <c r="B281" s="364">
        <f t="shared" si="128"/>
        <v>18.196999999999999</v>
      </c>
      <c r="C281" s="337">
        <f t="shared" si="109"/>
        <v>4.2360596155345664</v>
      </c>
      <c r="D281" s="338">
        <f t="shared" si="110"/>
        <v>1.3324783854339621</v>
      </c>
      <c r="E281" s="338">
        <f t="shared" si="111"/>
        <v>1.0003764177403318</v>
      </c>
      <c r="F281" s="339">
        <f t="shared" si="112"/>
        <v>2.7433545267925824E-2</v>
      </c>
      <c r="G281" s="338">
        <f t="shared" si="113"/>
        <v>1</v>
      </c>
      <c r="H281" s="339">
        <f t="shared" si="114"/>
        <v>0</v>
      </c>
      <c r="I281" s="337">
        <f t="shared" si="115"/>
        <v>10979.00163862696</v>
      </c>
      <c r="J281" s="340">
        <f t="shared" si="116"/>
        <v>1.5707052438317732</v>
      </c>
      <c r="K281" s="348">
        <f t="shared" si="132"/>
        <v>3.001289012130735</v>
      </c>
      <c r="L281" s="349">
        <f t="shared" si="133"/>
        <v>1.2311112595581257</v>
      </c>
      <c r="M281" s="337">
        <f t="shared" si="117"/>
        <v>1.0138001302798509</v>
      </c>
      <c r="N281" s="340">
        <f t="shared" si="118"/>
        <v>0.16518640383720185</v>
      </c>
      <c r="O281" s="341">
        <f t="shared" si="119"/>
        <v>1.0005532899355005</v>
      </c>
      <c r="P281" s="342">
        <f t="shared" si="120"/>
        <v>0.23679011966557115</v>
      </c>
      <c r="Q281" s="343">
        <f t="shared" si="121"/>
        <v>11.284093022837837</v>
      </c>
      <c r="R281" s="344">
        <f t="shared" si="122"/>
        <v>-117.26242185779313</v>
      </c>
      <c r="S281" s="346">
        <f t="shared" si="123"/>
        <v>62.737578142206871</v>
      </c>
      <c r="U281" s="319">
        <f t="shared" si="129"/>
        <v>1000000000</v>
      </c>
      <c r="V281" s="319">
        <f t="shared" si="130"/>
        <v>331130809</v>
      </c>
      <c r="X281" s="345">
        <f t="shared" si="124"/>
        <v>26.323076913897321</v>
      </c>
      <c r="Y281" s="346">
        <f t="shared" si="125"/>
        <v>-28.921785852775297</v>
      </c>
      <c r="AA281" s="345">
        <f t="shared" si="126"/>
        <v>47.200757443330502</v>
      </c>
      <c r="AB281" s="346">
        <f t="shared" si="127"/>
        <v>-88.340636005017814</v>
      </c>
      <c r="AD281">
        <f t="shared" si="131"/>
        <v>0</v>
      </c>
      <c r="AE281">
        <f t="shared" si="108"/>
        <v>0</v>
      </c>
    </row>
    <row r="282" spans="1:31" x14ac:dyDescent="0.25">
      <c r="A282" s="347">
        <v>18303</v>
      </c>
      <c r="B282" s="364">
        <f t="shared" si="128"/>
        <v>18.303000000000001</v>
      </c>
      <c r="C282" s="337">
        <f t="shared" si="109"/>
        <v>4.2593638694266662</v>
      </c>
      <c r="D282" s="338">
        <f t="shared" si="110"/>
        <v>1.3338073394077266</v>
      </c>
      <c r="E282" s="338">
        <f t="shared" si="111"/>
        <v>1.0003808150449642</v>
      </c>
      <c r="F282" s="339">
        <f t="shared" si="112"/>
        <v>2.7593268532049679E-2</v>
      </c>
      <c r="G282" s="338">
        <f t="shared" si="113"/>
        <v>1</v>
      </c>
      <c r="H282" s="339">
        <f t="shared" si="114"/>
        <v>0</v>
      </c>
      <c r="I282" s="337">
        <f t="shared" si="115"/>
        <v>11042.955815912646</v>
      </c>
      <c r="J282" s="340">
        <f t="shared" si="116"/>
        <v>1.5707057713296719</v>
      </c>
      <c r="K282" s="348">
        <f t="shared" si="132"/>
        <v>3.0168360502512996</v>
      </c>
      <c r="L282" s="349">
        <f t="shared" si="133"/>
        <v>1.2329318055251615</v>
      </c>
      <c r="M282" s="337">
        <f t="shared" si="117"/>
        <v>1.0139602637276066</v>
      </c>
      <c r="N282" s="340">
        <f t="shared" si="118"/>
        <v>0.16613107929313212</v>
      </c>
      <c r="O282" s="341">
        <f t="shared" si="119"/>
        <v>1.0005641767111435</v>
      </c>
      <c r="P282" s="342">
        <f t="shared" si="120"/>
        <v>0.2381934225759742</v>
      </c>
      <c r="Q282" s="343">
        <f t="shared" si="121"/>
        <v>11.22943937618615</v>
      </c>
      <c r="R282" s="344">
        <f t="shared" si="122"/>
        <v>-117.3596637167052</v>
      </c>
      <c r="S282" s="346">
        <f t="shared" si="123"/>
        <v>62.640336283294801</v>
      </c>
      <c r="U282" s="319">
        <f t="shared" si="129"/>
        <v>1000000000</v>
      </c>
      <c r="V282" s="319">
        <f t="shared" si="130"/>
        <v>334999809</v>
      </c>
      <c r="X282" s="345">
        <f t="shared" si="124"/>
        <v>26.316133178972642</v>
      </c>
      <c r="Y282" s="346">
        <f t="shared" si="125"/>
        <v>-28.871632392434979</v>
      </c>
      <c r="AA282" s="345">
        <f t="shared" si="126"/>
        <v>47.153047531603491</v>
      </c>
      <c r="AB282" s="346">
        <f t="shared" si="127"/>
        <v>-88.488031324270239</v>
      </c>
      <c r="AD282">
        <f t="shared" si="131"/>
        <v>0</v>
      </c>
      <c r="AE282">
        <f t="shared" ref="AE282:AE345" si="134">IF(AD282&gt;0,S282,0)</f>
        <v>0</v>
      </c>
    </row>
    <row r="283" spans="1:31" x14ac:dyDescent="0.25">
      <c r="A283" s="347">
        <v>18409</v>
      </c>
      <c r="B283" s="364">
        <f t="shared" si="128"/>
        <v>18.408999999999999</v>
      </c>
      <c r="C283" s="337">
        <f t="shared" si="109"/>
        <v>4.2826755639850065</v>
      </c>
      <c r="D283" s="338">
        <f t="shared" si="110"/>
        <v>1.3351218280116803</v>
      </c>
      <c r="E283" s="338">
        <f t="shared" si="111"/>
        <v>1.0003852378706082</v>
      </c>
      <c r="F283" s="339">
        <f t="shared" si="112"/>
        <v>2.7752990387936039E-2</v>
      </c>
      <c r="G283" s="338">
        <f t="shared" si="113"/>
        <v>1</v>
      </c>
      <c r="H283" s="339">
        <f t="shared" si="114"/>
        <v>0</v>
      </c>
      <c r="I283" s="337">
        <f t="shared" si="115"/>
        <v>11106.909993201369</v>
      </c>
      <c r="J283" s="340">
        <f t="shared" si="116"/>
        <v>1.5707062927528486</v>
      </c>
      <c r="K283" s="348">
        <f t="shared" si="132"/>
        <v>3.032392984787589</v>
      </c>
      <c r="L283" s="349">
        <f t="shared" si="133"/>
        <v>1.2347336777009492</v>
      </c>
      <c r="M283" s="337">
        <f t="shared" si="117"/>
        <v>1.0141213017591466</v>
      </c>
      <c r="N283" s="340">
        <f t="shared" si="118"/>
        <v>0.16707545557094308</v>
      </c>
      <c r="O283" s="341">
        <f t="shared" si="119"/>
        <v>1.0005752296746604</v>
      </c>
      <c r="P283" s="342">
        <f t="shared" si="120"/>
        <v>0.23959713266371804</v>
      </c>
      <c r="Q283" s="343">
        <f t="shared" si="121"/>
        <v>11.175110902790104</v>
      </c>
      <c r="R283" s="344">
        <f t="shared" si="122"/>
        <v>-117.45715262093408</v>
      </c>
      <c r="S283" s="346">
        <f t="shared" si="123"/>
        <v>62.542847379065918</v>
      </c>
      <c r="U283" s="319">
        <f t="shared" si="129"/>
        <v>1000000000</v>
      </c>
      <c r="V283" s="319">
        <f t="shared" si="130"/>
        <v>338891281</v>
      </c>
      <c r="X283" s="345">
        <f t="shared" si="124"/>
        <v>26.309270911292121</v>
      </c>
      <c r="Y283" s="346">
        <f t="shared" si="125"/>
        <v>-28.822531371822386</v>
      </c>
      <c r="AA283" s="345">
        <f t="shared" si="126"/>
        <v>47.105581325887968</v>
      </c>
      <c r="AB283" s="346">
        <f t="shared" si="127"/>
        <v>-88.634621249111717</v>
      </c>
      <c r="AD283">
        <f t="shared" si="131"/>
        <v>0</v>
      </c>
      <c r="AE283">
        <f t="shared" si="134"/>
        <v>0</v>
      </c>
    </row>
    <row r="284" spans="1:31" x14ac:dyDescent="0.25">
      <c r="A284" s="347">
        <v>18515</v>
      </c>
      <c r="B284" s="364">
        <f t="shared" si="128"/>
        <v>18.515000000000001</v>
      </c>
      <c r="C284" s="337">
        <f t="shared" si="109"/>
        <v>4.3059945783632632</v>
      </c>
      <c r="D284" s="338">
        <f t="shared" si="110"/>
        <v>1.3364220816766188</v>
      </c>
      <c r="E284" s="338">
        <f t="shared" si="111"/>
        <v>1.0003896862169253</v>
      </c>
      <c r="F284" s="339">
        <f t="shared" si="112"/>
        <v>2.7912710827454272E-2</v>
      </c>
      <c r="G284" s="338">
        <f t="shared" si="113"/>
        <v>1</v>
      </c>
      <c r="H284" s="339">
        <f t="shared" si="114"/>
        <v>0</v>
      </c>
      <c r="I284" s="337">
        <f t="shared" si="115"/>
        <v>11170.864170493078</v>
      </c>
      <c r="J284" s="340">
        <f t="shared" si="116"/>
        <v>1.5707068082056386</v>
      </c>
      <c r="K284" s="348">
        <f t="shared" si="132"/>
        <v>3.0479596642042441</v>
      </c>
      <c r="L284" s="349">
        <f t="shared" si="133"/>
        <v>1.2365171504095729</v>
      </c>
      <c r="M284" s="337">
        <f t="shared" si="117"/>
        <v>1.014283243943608</v>
      </c>
      <c r="N284" s="340">
        <f t="shared" si="118"/>
        <v>0.16801953112906196</v>
      </c>
      <c r="O284" s="341">
        <f t="shared" si="119"/>
        <v>1.0005864506113622</v>
      </c>
      <c r="P284" s="342">
        <f t="shared" si="120"/>
        <v>0.24100125197795452</v>
      </c>
      <c r="Q284" s="343">
        <f t="shared" si="121"/>
        <v>11.121103409314978</v>
      </c>
      <c r="R284" s="344">
        <f t="shared" si="122"/>
        <v>-117.5548860911055</v>
      </c>
      <c r="S284" s="346">
        <f t="shared" si="123"/>
        <v>62.445113908894498</v>
      </c>
      <c r="U284" s="319">
        <f t="shared" si="129"/>
        <v>1000000000</v>
      </c>
      <c r="V284" s="319">
        <f t="shared" si="130"/>
        <v>342805225</v>
      </c>
      <c r="X284" s="345">
        <f t="shared" si="124"/>
        <v>26.302488266237162</v>
      </c>
      <c r="Y284" s="346">
        <f t="shared" si="125"/>
        <v>-28.77446699097764</v>
      </c>
      <c r="AA284" s="345">
        <f t="shared" si="126"/>
        <v>47.058356477467797</v>
      </c>
      <c r="AB284" s="346">
        <f t="shared" si="127"/>
        <v>-88.780419100127901</v>
      </c>
      <c r="AD284">
        <f t="shared" si="131"/>
        <v>0</v>
      </c>
      <c r="AE284">
        <f t="shared" si="134"/>
        <v>0</v>
      </c>
    </row>
    <row r="285" spans="1:31" x14ac:dyDescent="0.25">
      <c r="A285" s="347">
        <v>18621</v>
      </c>
      <c r="B285" s="364">
        <f t="shared" si="128"/>
        <v>18.620999999999999</v>
      </c>
      <c r="C285" s="337">
        <f t="shared" si="109"/>
        <v>4.3293207942812311</v>
      </c>
      <c r="D285" s="338">
        <f t="shared" si="110"/>
        <v>1.3377083260620057</v>
      </c>
      <c r="E285" s="338">
        <f t="shared" si="111"/>
        <v>1.0003941600835748</v>
      </c>
      <c r="F285" s="339">
        <f t="shared" si="112"/>
        <v>2.8072429842474194E-2</v>
      </c>
      <c r="G285" s="338">
        <f t="shared" si="113"/>
        <v>1</v>
      </c>
      <c r="H285" s="339">
        <f t="shared" si="114"/>
        <v>0</v>
      </c>
      <c r="I285" s="337">
        <f t="shared" si="115"/>
        <v>11234.818347787719</v>
      </c>
      <c r="J285" s="340">
        <f t="shared" si="116"/>
        <v>1.5707073177900008</v>
      </c>
      <c r="K285" s="348">
        <f t="shared" si="132"/>
        <v>3.0635359399519144</v>
      </c>
      <c r="L285" s="349">
        <f t="shared" si="133"/>
        <v>1.2382824928694629</v>
      </c>
      <c r="M285" s="337">
        <f t="shared" si="117"/>
        <v>1.0144460898479848</v>
      </c>
      <c r="N285" s="340">
        <f t="shared" si="118"/>
        <v>0.16896330442904178</v>
      </c>
      <c r="O285" s="341">
        <f t="shared" si="119"/>
        <v>1.0005978413167371</v>
      </c>
      <c r="P285" s="342">
        <f t="shared" si="120"/>
        <v>0.24240578256224615</v>
      </c>
      <c r="Q285" s="343">
        <f t="shared" si="121"/>
        <v>11.067412779542479</v>
      </c>
      <c r="R285" s="344">
        <f t="shared" si="122"/>
        <v>-117.6528616667232</v>
      </c>
      <c r="S285" s="346">
        <f t="shared" si="123"/>
        <v>62.347138333276803</v>
      </c>
      <c r="U285" s="319">
        <f t="shared" si="129"/>
        <v>1000000000</v>
      </c>
      <c r="V285" s="319">
        <f t="shared" si="130"/>
        <v>346741641</v>
      </c>
      <c r="X285" s="345">
        <f t="shared" si="124"/>
        <v>26.295783446299232</v>
      </c>
      <c r="Y285" s="346">
        <f t="shared" si="125"/>
        <v>-28.72742374251618</v>
      </c>
      <c r="AA285" s="345">
        <f t="shared" si="126"/>
        <v>47.011370667633223</v>
      </c>
      <c r="AB285" s="346">
        <f t="shared" si="127"/>
        <v>-88.925437924206989</v>
      </c>
      <c r="AD285">
        <f t="shared" si="131"/>
        <v>0</v>
      </c>
      <c r="AE285">
        <f t="shared" si="134"/>
        <v>0</v>
      </c>
    </row>
    <row r="286" spans="1:31" x14ac:dyDescent="0.25">
      <c r="A286" s="347">
        <v>18729.5</v>
      </c>
      <c r="B286" s="364">
        <f t="shared" si="128"/>
        <v>18.729500000000002</v>
      </c>
      <c r="C286" s="337">
        <f t="shared" si="109"/>
        <v>4.3532044942784269</v>
      </c>
      <c r="D286" s="338">
        <f t="shared" si="110"/>
        <v>1.3390106282726153</v>
      </c>
      <c r="E286" s="338">
        <f t="shared" si="111"/>
        <v>1.0003987658958622</v>
      </c>
      <c r="F286" s="339">
        <f t="shared" si="112"/>
        <v>2.8235914331620243E-2</v>
      </c>
      <c r="G286" s="338">
        <f t="shared" si="113"/>
        <v>1</v>
      </c>
      <c r="H286" s="339">
        <f t="shared" si="114"/>
        <v>0</v>
      </c>
      <c r="I286" s="337">
        <f t="shared" si="115"/>
        <v>11300.28087832343</v>
      </c>
      <c r="J286" s="340">
        <f t="shared" si="116"/>
        <v>1.5707078334191944</v>
      </c>
      <c r="K286" s="348">
        <f t="shared" si="132"/>
        <v>3.0794893671915013</v>
      </c>
      <c r="L286" s="349">
        <f t="shared" si="133"/>
        <v>1.2400709698400352</v>
      </c>
      <c r="M286" s="337">
        <f t="shared" si="117"/>
        <v>1.0146137119459229</v>
      </c>
      <c r="N286" s="340">
        <f t="shared" si="118"/>
        <v>0.16992902189543618</v>
      </c>
      <c r="O286" s="341">
        <f t="shared" si="119"/>
        <v>1.0006096783774885</v>
      </c>
      <c r="P286" s="342">
        <f t="shared" si="120"/>
        <v>0.24384386692910925</v>
      </c>
      <c r="Q286" s="343">
        <f t="shared" si="121"/>
        <v>11.012779805492823</v>
      </c>
      <c r="R286" s="344">
        <f t="shared" si="122"/>
        <v>-117.75339617695057</v>
      </c>
      <c r="S286" s="346">
        <f t="shared" si="123"/>
        <v>62.246603823049426</v>
      </c>
      <c r="U286" s="319">
        <f t="shared" si="129"/>
        <v>1000000000</v>
      </c>
      <c r="V286" s="319">
        <f t="shared" si="130"/>
        <v>350794170.25</v>
      </c>
      <c r="X286" s="345">
        <f t="shared" si="124"/>
        <v>26.288999265572748</v>
      </c>
      <c r="Y286" s="346">
        <f t="shared" si="125"/>
        <v>-28.680312638695266</v>
      </c>
      <c r="AA286" s="345">
        <f t="shared" si="126"/>
        <v>46.963521874310047</v>
      </c>
      <c r="AB286" s="346">
        <f t="shared" si="127"/>
        <v>-89.073083538255261</v>
      </c>
      <c r="AD286">
        <f t="shared" si="131"/>
        <v>0</v>
      </c>
      <c r="AE286">
        <f t="shared" si="134"/>
        <v>0</v>
      </c>
    </row>
    <row r="287" spans="1:31" x14ac:dyDescent="0.25">
      <c r="A287" s="347">
        <v>18838</v>
      </c>
      <c r="B287" s="364">
        <f t="shared" si="128"/>
        <v>18.838000000000001</v>
      </c>
      <c r="C287" s="337">
        <f t="shared" si="109"/>
        <v>4.3770954966933191</v>
      </c>
      <c r="D287" s="338">
        <f t="shared" si="110"/>
        <v>1.3402987162319688</v>
      </c>
      <c r="E287" s="338">
        <f t="shared" si="111"/>
        <v>1.000403398445739</v>
      </c>
      <c r="F287" s="339">
        <f t="shared" si="112"/>
        <v>2.8399397311046373E-2</v>
      </c>
      <c r="G287" s="338">
        <f t="shared" si="113"/>
        <v>1</v>
      </c>
      <c r="H287" s="339">
        <f t="shared" si="114"/>
        <v>0</v>
      </c>
      <c r="I287" s="337">
        <f t="shared" si="115"/>
        <v>11365.74340886211</v>
      </c>
      <c r="J287" s="340">
        <f t="shared" si="116"/>
        <v>1.5707083431087163</v>
      </c>
      <c r="K287" s="348">
        <f t="shared" si="132"/>
        <v>3.0954525430885549</v>
      </c>
      <c r="L287" s="349">
        <f t="shared" si="133"/>
        <v>1.241841006156513</v>
      </c>
      <c r="M287" s="337">
        <f t="shared" si="117"/>
        <v>1.014782279969868</v>
      </c>
      <c r="N287" s="340">
        <f t="shared" si="118"/>
        <v>0.1708944194264316</v>
      </c>
      <c r="O287" s="341">
        <f t="shared" si="119"/>
        <v>1.0006216971486768</v>
      </c>
      <c r="P287" s="342">
        <f t="shared" si="120"/>
        <v>0.24528238650890738</v>
      </c>
      <c r="Q287" s="343">
        <f t="shared" si="121"/>
        <v>10.958470330375111</v>
      </c>
      <c r="R287" s="344">
        <f t="shared" si="122"/>
        <v>-117.8541791933221</v>
      </c>
      <c r="S287" s="346">
        <f t="shared" si="123"/>
        <v>62.145820806677904</v>
      </c>
      <c r="U287" s="319">
        <f t="shared" si="129"/>
        <v>1000000000</v>
      </c>
      <c r="V287" s="319">
        <f t="shared" si="130"/>
        <v>354870244</v>
      </c>
      <c r="X287" s="345">
        <f t="shared" si="124"/>
        <v>26.282292958436081</v>
      </c>
      <c r="Y287" s="346">
        <f t="shared" si="125"/>
        <v>-28.634239435260419</v>
      </c>
      <c r="AA287" s="345">
        <f t="shared" si="126"/>
        <v>46.915918706329009</v>
      </c>
      <c r="AB287" s="346">
        <f t="shared" si="127"/>
        <v>-89.21993975806167</v>
      </c>
      <c r="AD287">
        <f t="shared" si="131"/>
        <v>0</v>
      </c>
      <c r="AE287">
        <f t="shared" si="134"/>
        <v>0</v>
      </c>
    </row>
    <row r="288" spans="1:31" x14ac:dyDescent="0.25">
      <c r="A288" s="347">
        <v>18946.5</v>
      </c>
      <c r="B288" s="364">
        <f t="shared" si="128"/>
        <v>18.9465</v>
      </c>
      <c r="C288" s="337">
        <f t="shared" si="109"/>
        <v>4.4009936826013467</v>
      </c>
      <c r="D288" s="338">
        <f t="shared" si="110"/>
        <v>1.3415728171883867</v>
      </c>
      <c r="E288" s="338">
        <f t="shared" si="111"/>
        <v>1.000408057732834</v>
      </c>
      <c r="F288" s="339">
        <f t="shared" si="112"/>
        <v>2.8562878772034908E-2</v>
      </c>
      <c r="G288" s="338">
        <f t="shared" si="113"/>
        <v>1</v>
      </c>
      <c r="H288" s="339">
        <f t="shared" si="114"/>
        <v>0</v>
      </c>
      <c r="I288" s="337">
        <f t="shared" si="115"/>
        <v>11431.20593940371</v>
      </c>
      <c r="J288" s="340">
        <f t="shared" si="116"/>
        <v>1.5707088469606101</v>
      </c>
      <c r="K288" s="348">
        <f t="shared" si="132"/>
        <v>3.1114253175965398</v>
      </c>
      <c r="L288" s="349">
        <f t="shared" si="133"/>
        <v>1.2435928746417313</v>
      </c>
      <c r="M288" s="337">
        <f t="shared" si="117"/>
        <v>1.0149517934485086</v>
      </c>
      <c r="N288" s="340">
        <f t="shared" si="118"/>
        <v>0.17185949538240122</v>
      </c>
      <c r="O288" s="341">
        <f t="shared" si="119"/>
        <v>1.0006338995889548</v>
      </c>
      <c r="P288" s="342">
        <f t="shared" si="120"/>
        <v>0.24672134347478367</v>
      </c>
      <c r="Q288" s="343">
        <f t="shared" si="121"/>
        <v>10.904480178979256</v>
      </c>
      <c r="R288" s="344">
        <f t="shared" si="122"/>
        <v>-117.95520814152489</v>
      </c>
      <c r="S288" s="346">
        <f t="shared" si="123"/>
        <v>62.044791858475108</v>
      </c>
      <c r="U288" s="319">
        <f t="shared" si="129"/>
        <v>1000000000</v>
      </c>
      <c r="V288" s="319">
        <f t="shared" si="130"/>
        <v>358969862.25</v>
      </c>
      <c r="X288" s="345">
        <f t="shared" si="124"/>
        <v>26.275662741513763</v>
      </c>
      <c r="Y288" s="346">
        <f t="shared" si="125"/>
        <v>-28.589188412517583</v>
      </c>
      <c r="AA288" s="345">
        <f t="shared" si="126"/>
        <v>46.868558771855469</v>
      </c>
      <c r="AB288" s="346">
        <f t="shared" si="127"/>
        <v>-89.366019729007306</v>
      </c>
      <c r="AD288">
        <f t="shared" si="131"/>
        <v>0</v>
      </c>
      <c r="AE288">
        <f t="shared" si="134"/>
        <v>0</v>
      </c>
    </row>
    <row r="289" spans="1:31" x14ac:dyDescent="0.25">
      <c r="A289" s="347">
        <v>19055</v>
      </c>
      <c r="B289" s="364">
        <f t="shared" si="128"/>
        <v>19.055</v>
      </c>
      <c r="C289" s="337">
        <f t="shared" si="109"/>
        <v>4.4248989356117505</v>
      </c>
      <c r="D289" s="338">
        <f t="shared" si="110"/>
        <v>1.3428331536632747</v>
      </c>
      <c r="E289" s="338">
        <f t="shared" si="111"/>
        <v>1.0004127437567734</v>
      </c>
      <c r="F289" s="339">
        <f t="shared" si="112"/>
        <v>2.8726358705868652E-2</v>
      </c>
      <c r="G289" s="338">
        <f t="shared" si="113"/>
        <v>1</v>
      </c>
      <c r="H289" s="339">
        <f t="shared" si="114"/>
        <v>0</v>
      </c>
      <c r="I289" s="337">
        <f t="shared" si="115"/>
        <v>11496.668469948178</v>
      </c>
      <c r="J289" s="340">
        <f t="shared" si="116"/>
        <v>1.5707093450745944</v>
      </c>
      <c r="K289" s="348">
        <f t="shared" si="132"/>
        <v>3.1274075436449746</v>
      </c>
      <c r="L289" s="349">
        <f t="shared" si="133"/>
        <v>1.2453268429927224</v>
      </c>
      <c r="M289" s="337">
        <f t="shared" si="117"/>
        <v>1.0151222519082053</v>
      </c>
      <c r="N289" s="340">
        <f t="shared" si="118"/>
        <v>0.17282424812720626</v>
      </c>
      <c r="O289" s="341">
        <f t="shared" si="119"/>
        <v>1.0006462876681301</v>
      </c>
      <c r="P289" s="342">
        <f t="shared" si="120"/>
        <v>0.24816073999357396</v>
      </c>
      <c r="Q289" s="343">
        <f t="shared" si="121"/>
        <v>10.850805252925117</v>
      </c>
      <c r="R289" s="344">
        <f t="shared" si="122"/>
        <v>-118.05648046980581</v>
      </c>
      <c r="S289" s="346">
        <f t="shared" si="123"/>
        <v>61.943519530194195</v>
      </c>
      <c r="U289" s="319">
        <f t="shared" si="129"/>
        <v>1000000000</v>
      </c>
      <c r="V289" s="319">
        <f t="shared" si="130"/>
        <v>363093025</v>
      </c>
      <c r="X289" s="345">
        <f t="shared" si="124"/>
        <v>26.269106877223702</v>
      </c>
      <c r="Y289" s="346">
        <f t="shared" si="125"/>
        <v>-28.545144144526201</v>
      </c>
      <c r="AA289" s="345">
        <f t="shared" si="126"/>
        <v>46.82143971009139</v>
      </c>
      <c r="AB289" s="346">
        <f t="shared" si="127"/>
        <v>-89.511336325279586</v>
      </c>
      <c r="AD289">
        <f t="shared" si="131"/>
        <v>0</v>
      </c>
      <c r="AE289">
        <f t="shared" si="134"/>
        <v>0</v>
      </c>
    </row>
    <row r="290" spans="1:31" x14ac:dyDescent="0.25">
      <c r="A290" s="347">
        <v>19165.75</v>
      </c>
      <c r="B290" s="364">
        <f t="shared" si="128"/>
        <v>19.165749999999999</v>
      </c>
      <c r="C290" s="337">
        <f t="shared" si="109"/>
        <v>4.4493070898360276</v>
      </c>
      <c r="D290" s="338">
        <f t="shared" si="110"/>
        <v>1.344105656817794</v>
      </c>
      <c r="E290" s="338">
        <f t="shared" si="111"/>
        <v>1.0004175545302034</v>
      </c>
      <c r="F290" s="339">
        <f t="shared" si="112"/>
        <v>2.8893227192540456E-2</v>
      </c>
      <c r="G290" s="338">
        <f t="shared" si="113"/>
        <v>1</v>
      </c>
      <c r="H290" s="339">
        <f t="shared" si="114"/>
        <v>0</v>
      </c>
      <c r="I290" s="337">
        <f t="shared" si="115"/>
        <v>11563.488518410069</v>
      </c>
      <c r="J290" s="340">
        <f t="shared" si="116"/>
        <v>1.5707098477017014</v>
      </c>
      <c r="K290" s="348">
        <f t="shared" si="132"/>
        <v>3.1437307962230134</v>
      </c>
      <c r="L290" s="349">
        <f t="shared" si="133"/>
        <v>1.2470785811869463</v>
      </c>
      <c r="M290" s="337">
        <f t="shared" si="117"/>
        <v>1.0152972193052954</v>
      </c>
      <c r="N290" s="340">
        <f t="shared" si="118"/>
        <v>0.17380867223548011</v>
      </c>
      <c r="O290" s="341">
        <f t="shared" si="119"/>
        <v>1.0006591261534388</v>
      </c>
      <c r="P290" s="342">
        <f t="shared" si="120"/>
        <v>0.24963044131260476</v>
      </c>
      <c r="Q290" s="343">
        <f t="shared" si="121"/>
        <v>10.796338173193643</v>
      </c>
      <c r="R290" s="344">
        <f t="shared" si="122"/>
        <v>-118.16010129252652</v>
      </c>
      <c r="S290" s="346">
        <f t="shared" si="123"/>
        <v>61.83989870747348</v>
      </c>
      <c r="U290" s="319">
        <f t="shared" si="129"/>
        <v>1000000000</v>
      </c>
      <c r="V290" s="319">
        <f t="shared" si="130"/>
        <v>367325973.0625</v>
      </c>
      <c r="X290" s="345">
        <f t="shared" si="124"/>
        <v>26.262489985233479</v>
      </c>
      <c r="Y290" s="346">
        <f t="shared" si="125"/>
        <v>-28.501209084202035</v>
      </c>
      <c r="AA290" s="345">
        <f t="shared" si="126"/>
        <v>46.773589522350143</v>
      </c>
      <c r="AB290" s="346">
        <f t="shared" si="127"/>
        <v>-89.658892208324488</v>
      </c>
      <c r="AD290">
        <f t="shared" si="131"/>
        <v>0</v>
      </c>
      <c r="AE290">
        <f t="shared" si="134"/>
        <v>0</v>
      </c>
    </row>
    <row r="291" spans="1:31" x14ac:dyDescent="0.25">
      <c r="A291" s="347">
        <v>19276.5</v>
      </c>
      <c r="B291" s="364">
        <f t="shared" si="128"/>
        <v>19.276499999999999</v>
      </c>
      <c r="C291" s="337">
        <f t="shared" si="109"/>
        <v>4.4737223700424682</v>
      </c>
      <c r="D291" s="338">
        <f t="shared" si="110"/>
        <v>1.34536427265384</v>
      </c>
      <c r="E291" s="338">
        <f t="shared" si="111"/>
        <v>1.0004223931600842</v>
      </c>
      <c r="F291" s="339">
        <f t="shared" si="112"/>
        <v>2.9060094069710753E-2</v>
      </c>
      <c r="G291" s="338">
        <f t="shared" si="113"/>
        <v>1</v>
      </c>
      <c r="H291" s="339">
        <f t="shared" si="114"/>
        <v>0</v>
      </c>
      <c r="I291" s="337">
        <f t="shared" si="115"/>
        <v>11630.30856687485</v>
      </c>
      <c r="J291" s="340">
        <f t="shared" si="116"/>
        <v>1.5707103445532835</v>
      </c>
      <c r="K291" s="348">
        <f t="shared" si="132"/>
        <v>3.1600635959335426</v>
      </c>
      <c r="L291" s="349">
        <f t="shared" si="133"/>
        <v>1.2488122169253371</v>
      </c>
      <c r="M291" s="337">
        <f t="shared" si="117"/>
        <v>1.0154731702779891</v>
      </c>
      <c r="N291" s="340">
        <f t="shared" si="118"/>
        <v>0.17479275615493864</v>
      </c>
      <c r="O291" s="341">
        <f t="shared" si="119"/>
        <v>1.0006721622395462</v>
      </c>
      <c r="P291" s="342">
        <f t="shared" si="120"/>
        <v>0.25110060514570159</v>
      </c>
      <c r="Q291" s="343">
        <f t="shared" si="121"/>
        <v>10.742191136229922</v>
      </c>
      <c r="R291" s="344">
        <f t="shared" si="122"/>
        <v>-118.26397039485335</v>
      </c>
      <c r="S291" s="346">
        <f t="shared" si="123"/>
        <v>61.736029605146655</v>
      </c>
      <c r="U291" s="319">
        <f t="shared" si="129"/>
        <v>1000000000</v>
      </c>
      <c r="V291" s="319">
        <f t="shared" si="130"/>
        <v>371583452.25</v>
      </c>
      <c r="X291" s="345">
        <f t="shared" si="124"/>
        <v>26.255947043244255</v>
      </c>
      <c r="Y291" s="346">
        <f t="shared" si="125"/>
        <v>-28.45829139590052</v>
      </c>
      <c r="AA291" s="345">
        <f t="shared" si="126"/>
        <v>46.72598542737564</v>
      </c>
      <c r="AB291" s="346">
        <f t="shared" si="127"/>
        <v>-89.805678998952814</v>
      </c>
      <c r="AD291">
        <f t="shared" si="131"/>
        <v>0</v>
      </c>
      <c r="AE291">
        <f t="shared" si="134"/>
        <v>0</v>
      </c>
    </row>
    <row r="292" spans="1:31" x14ac:dyDescent="0.25">
      <c r="A292" s="347">
        <v>19387.25</v>
      </c>
      <c r="B292" s="364">
        <f t="shared" si="128"/>
        <v>19.387250000000002</v>
      </c>
      <c r="C292" s="337">
        <f t="shared" si="109"/>
        <v>4.4981446601946633</v>
      </c>
      <c r="D292" s="338">
        <f t="shared" si="110"/>
        <v>1.3466092233510296</v>
      </c>
      <c r="E292" s="338">
        <f t="shared" si="111"/>
        <v>1.0004272596460109</v>
      </c>
      <c r="F292" s="339">
        <f t="shared" si="112"/>
        <v>2.922695932811031E-2</v>
      </c>
      <c r="G292" s="338">
        <f t="shared" si="113"/>
        <v>1</v>
      </c>
      <c r="H292" s="339">
        <f t="shared" si="114"/>
        <v>0</v>
      </c>
      <c r="I292" s="337">
        <f t="shared" si="115"/>
        <v>11697.12861534247</v>
      </c>
      <c r="J292" s="340">
        <f t="shared" si="116"/>
        <v>1.5707108357283193</v>
      </c>
      <c r="K292" s="348">
        <f t="shared" si="132"/>
        <v>3.1764057955050156</v>
      </c>
      <c r="L292" s="349">
        <f t="shared" si="133"/>
        <v>1.2505280191103245</v>
      </c>
      <c r="M292" s="337">
        <f t="shared" si="117"/>
        <v>1.0156501043151036</v>
      </c>
      <c r="N292" s="340">
        <f t="shared" si="118"/>
        <v>0.17577649815686658</v>
      </c>
      <c r="O292" s="341">
        <f t="shared" si="119"/>
        <v>1.0006853980572974</v>
      </c>
      <c r="P292" s="342">
        <f t="shared" si="120"/>
        <v>0.2525712337767006</v>
      </c>
      <c r="Q292" s="343">
        <f t="shared" si="121"/>
        <v>10.688360019310588</v>
      </c>
      <c r="R292" s="344">
        <f t="shared" si="122"/>
        <v>-118.3680851377745</v>
      </c>
      <c r="S292" s="346">
        <f t="shared" si="123"/>
        <v>61.6319148622255</v>
      </c>
      <c r="U292" s="319">
        <f t="shared" si="129"/>
        <v>1000000000</v>
      </c>
      <c r="V292" s="319">
        <f t="shared" si="130"/>
        <v>375865462.5625</v>
      </c>
      <c r="X292" s="345">
        <f t="shared" si="124"/>
        <v>26.249476342222778</v>
      </c>
      <c r="Y292" s="346">
        <f t="shared" si="125"/>
        <v>-28.416375579270287</v>
      </c>
      <c r="AA292" s="345">
        <f t="shared" si="126"/>
        <v>46.678625011477777</v>
      </c>
      <c r="AB292" s="346">
        <f t="shared" si="127"/>
        <v>-89.951709558504206</v>
      </c>
      <c r="AD292">
        <f t="shared" si="131"/>
        <v>0</v>
      </c>
      <c r="AE292">
        <f t="shared" si="134"/>
        <v>0</v>
      </c>
    </row>
    <row r="293" spans="1:31" x14ac:dyDescent="0.25">
      <c r="A293" s="347">
        <v>19498</v>
      </c>
      <c r="B293" s="364">
        <f t="shared" si="128"/>
        <v>19.498000000000001</v>
      </c>
      <c r="C293" s="337">
        <f t="shared" si="109"/>
        <v>4.5225738467296734</v>
      </c>
      <c r="D293" s="338">
        <f t="shared" si="110"/>
        <v>1.3478407264599794</v>
      </c>
      <c r="E293" s="338">
        <f t="shared" si="111"/>
        <v>1.0004321539875771</v>
      </c>
      <c r="F293" s="339">
        <f t="shared" si="112"/>
        <v>2.9393822958470407E-2</v>
      </c>
      <c r="G293" s="338">
        <f t="shared" si="113"/>
        <v>1</v>
      </c>
      <c r="H293" s="339">
        <f t="shared" si="114"/>
        <v>0</v>
      </c>
      <c r="I293" s="337">
        <f t="shared" si="115"/>
        <v>11763.948663812878</v>
      </c>
      <c r="J293" s="340">
        <f t="shared" si="116"/>
        <v>1.5707113213235382</v>
      </c>
      <c r="K293" s="348">
        <f t="shared" si="132"/>
        <v>3.1927572505972384</v>
      </c>
      <c r="L293" s="349">
        <f t="shared" si="133"/>
        <v>1.2522262515604683</v>
      </c>
      <c r="M293" s="337">
        <f t="shared" si="117"/>
        <v>1.0158280209029567</v>
      </c>
      <c r="N293" s="340">
        <f t="shared" si="118"/>
        <v>0.17675989651639684</v>
      </c>
      <c r="O293" s="341">
        <f t="shared" si="119"/>
        <v>1.0006988357496278</v>
      </c>
      <c r="P293" s="342">
        <f t="shared" si="120"/>
        <v>0.25404232948239824</v>
      </c>
      <c r="Q293" s="343">
        <f t="shared" si="121"/>
        <v>10.634840775397969</v>
      </c>
      <c r="R293" s="344">
        <f t="shared" si="122"/>
        <v>-118.4724429080286</v>
      </c>
      <c r="S293" s="346">
        <f t="shared" si="123"/>
        <v>61.527557091971403</v>
      </c>
      <c r="U293" s="319">
        <f t="shared" si="129"/>
        <v>1000000000</v>
      </c>
      <c r="V293" s="319">
        <f t="shared" si="130"/>
        <v>380172004</v>
      </c>
      <c r="X293" s="345">
        <f t="shared" si="124"/>
        <v>26.243076217134234</v>
      </c>
      <c r="Y293" s="346">
        <f t="shared" si="125"/>
        <v>-28.375446425335884</v>
      </c>
      <c r="AA293" s="345">
        <f t="shared" si="126"/>
        <v>46.631505892653713</v>
      </c>
      <c r="AB293" s="346">
        <f t="shared" si="127"/>
        <v>-90.096996482692717</v>
      </c>
      <c r="AD293">
        <f t="shared" si="131"/>
        <v>0</v>
      </c>
      <c r="AE293">
        <f t="shared" si="134"/>
        <v>0</v>
      </c>
    </row>
    <row r="294" spans="1:31" x14ac:dyDescent="0.25">
      <c r="A294" s="347">
        <v>19611.75</v>
      </c>
      <c r="B294" s="364">
        <f t="shared" si="128"/>
        <v>19.611750000000001</v>
      </c>
      <c r="C294" s="337">
        <f t="shared" si="109"/>
        <v>4.5476718343396403</v>
      </c>
      <c r="D294" s="338">
        <f t="shared" si="110"/>
        <v>1.3490918133892338</v>
      </c>
      <c r="E294" s="338">
        <f t="shared" si="111"/>
        <v>1.0004372099045062</v>
      </c>
      <c r="F294" s="339">
        <f t="shared" si="112"/>
        <v>2.9565204892353782E-2</v>
      </c>
      <c r="G294" s="338">
        <f t="shared" si="113"/>
        <v>1</v>
      </c>
      <c r="H294" s="339">
        <f t="shared" si="114"/>
        <v>0</v>
      </c>
      <c r="I294" s="337">
        <f t="shared" si="115"/>
        <v>11832.578736172474</v>
      </c>
      <c r="J294" s="340">
        <f t="shared" si="116"/>
        <v>1.5707118143632883</v>
      </c>
      <c r="K294" s="348">
        <f t="shared" si="132"/>
        <v>3.2095611208931483</v>
      </c>
      <c r="L294" s="349">
        <f t="shared" si="133"/>
        <v>1.2539524675767166</v>
      </c>
      <c r="M294" s="337">
        <f t="shared" si="117"/>
        <v>1.0160117791938341</v>
      </c>
      <c r="N294" s="340">
        <f t="shared" si="118"/>
        <v>0.17776957366712576</v>
      </c>
      <c r="O294" s="341">
        <f t="shared" si="119"/>
        <v>1.0007128498575915</v>
      </c>
      <c r="P294" s="342">
        <f t="shared" si="120"/>
        <v>0.25555376289001436</v>
      </c>
      <c r="Q294" s="343">
        <f t="shared" si="121"/>
        <v>10.580192286852606</v>
      </c>
      <c r="R294" s="344">
        <f t="shared" si="122"/>
        <v>-118.57987779902223</v>
      </c>
      <c r="S294" s="346">
        <f t="shared" si="123"/>
        <v>61.420122200977772</v>
      </c>
      <c r="U294" s="319">
        <f t="shared" si="129"/>
        <v>1000000000</v>
      </c>
      <c r="V294" s="319">
        <f t="shared" si="130"/>
        <v>384620738.0625</v>
      </c>
      <c r="X294" s="345">
        <f t="shared" si="124"/>
        <v>26.236574490871245</v>
      </c>
      <c r="Y294" s="346">
        <f t="shared" si="125"/>
        <v>-28.334420021534463</v>
      </c>
      <c r="AA294" s="345">
        <f t="shared" si="126"/>
        <v>46.583359130371342</v>
      </c>
      <c r="AB294" s="346">
        <f t="shared" si="127"/>
        <v>-90.245457777487786</v>
      </c>
      <c r="AD294">
        <f t="shared" si="131"/>
        <v>0</v>
      </c>
      <c r="AE294">
        <f t="shared" si="134"/>
        <v>0</v>
      </c>
    </row>
    <row r="295" spans="1:31" x14ac:dyDescent="0.25">
      <c r="A295" s="347">
        <v>19725.5</v>
      </c>
      <c r="B295" s="364">
        <f t="shared" si="128"/>
        <v>19.7255</v>
      </c>
      <c r="C295" s="337">
        <f t="shared" si="109"/>
        <v>4.5727768619069327</v>
      </c>
      <c r="D295" s="338">
        <f t="shared" si="110"/>
        <v>1.3503291650389793</v>
      </c>
      <c r="E295" s="338">
        <f t="shared" si="111"/>
        <v>1.000442295205747</v>
      </c>
      <c r="F295" s="339">
        <f t="shared" si="112"/>
        <v>2.9736585088983938E-2</v>
      </c>
      <c r="G295" s="338">
        <f t="shared" si="113"/>
        <v>1</v>
      </c>
      <c r="H295" s="339">
        <f t="shared" si="114"/>
        <v>0</v>
      </c>
      <c r="I295" s="337">
        <f t="shared" si="115"/>
        <v>11901.208808534911</v>
      </c>
      <c r="J295" s="340">
        <f t="shared" si="116"/>
        <v>1.570712301716666</v>
      </c>
      <c r="K295" s="348">
        <f t="shared" si="132"/>
        <v>3.226374455469323</v>
      </c>
      <c r="L295" s="349">
        <f t="shared" si="133"/>
        <v>1.2556606972696118</v>
      </c>
      <c r="M295" s="337">
        <f t="shared" si="117"/>
        <v>1.0161965728806239</v>
      </c>
      <c r="N295" s="340">
        <f t="shared" si="118"/>
        <v>0.17877888463020261</v>
      </c>
      <c r="O295" s="341">
        <f t="shared" si="119"/>
        <v>1.0007270815466447</v>
      </c>
      <c r="P295" s="342">
        <f t="shared" si="120"/>
        <v>0.25706569386498118</v>
      </c>
      <c r="Q295" s="343">
        <f t="shared" si="121"/>
        <v>10.525864379535959</v>
      </c>
      <c r="R295" s="344">
        <f t="shared" si="122"/>
        <v>-118.6875635581214</v>
      </c>
      <c r="S295" s="346">
        <f t="shared" si="123"/>
        <v>61.312436441878603</v>
      </c>
      <c r="U295" s="319">
        <f t="shared" si="129"/>
        <v>1000000000</v>
      </c>
      <c r="V295" s="319">
        <f t="shared" si="130"/>
        <v>389095350.25</v>
      </c>
      <c r="X295" s="345">
        <f t="shared" si="124"/>
        <v>26.230143792258321</v>
      </c>
      <c r="Y295" s="346">
        <f t="shared" si="125"/>
        <v>-28.294402851339175</v>
      </c>
      <c r="AA295" s="345">
        <f t="shared" si="126"/>
        <v>46.535461921667611</v>
      </c>
      <c r="AB295" s="346">
        <f t="shared" si="127"/>
        <v>-90.393160706782183</v>
      </c>
      <c r="AD295">
        <f t="shared" si="131"/>
        <v>0</v>
      </c>
      <c r="AE295">
        <f t="shared" si="134"/>
        <v>0</v>
      </c>
    </row>
    <row r="296" spans="1:31" x14ac:dyDescent="0.25">
      <c r="A296" s="347">
        <v>19839.25</v>
      </c>
      <c r="B296" s="364">
        <f t="shared" si="128"/>
        <v>19.83925</v>
      </c>
      <c r="C296" s="337">
        <f t="shared" si="109"/>
        <v>4.597888814114504</v>
      </c>
      <c r="D296" s="338">
        <f t="shared" si="110"/>
        <v>1.3515530026398919</v>
      </c>
      <c r="E296" s="338">
        <f t="shared" si="111"/>
        <v>1.0004474098908507</v>
      </c>
      <c r="F296" s="339">
        <f t="shared" si="112"/>
        <v>2.9907963538320169E-2</v>
      </c>
      <c r="G296" s="338">
        <f t="shared" si="113"/>
        <v>1</v>
      </c>
      <c r="H296" s="339">
        <f t="shared" si="114"/>
        <v>0</v>
      </c>
      <c r="I296" s="337">
        <f t="shared" si="115"/>
        <v>11969.838880900144</v>
      </c>
      <c r="J296" s="340">
        <f t="shared" si="116"/>
        <v>1.5707127834814809</v>
      </c>
      <c r="K296" s="348">
        <f t="shared" si="132"/>
        <v>3.24319710713202</v>
      </c>
      <c r="L296" s="349">
        <f t="shared" si="133"/>
        <v>1.2573512104797997</v>
      </c>
      <c r="M296" s="337">
        <f t="shared" si="117"/>
        <v>1.0163824013985743</v>
      </c>
      <c r="N296" s="340">
        <f t="shared" si="118"/>
        <v>0.1797878275495384</v>
      </c>
      <c r="O296" s="341">
        <f t="shared" si="119"/>
        <v>1.0007415331784235</v>
      </c>
      <c r="P296" s="342">
        <f t="shared" si="120"/>
        <v>0.25857812485065473</v>
      </c>
      <c r="Q296" s="343">
        <f t="shared" si="121"/>
        <v>10.471852906058675</v>
      </c>
      <c r="R296" s="344">
        <f t="shared" si="122"/>
        <v>-118.79549744000713</v>
      </c>
      <c r="S296" s="346">
        <f t="shared" si="123"/>
        <v>61.204502559992875</v>
      </c>
      <c r="U296" s="319">
        <f t="shared" si="129"/>
        <v>1000000000</v>
      </c>
      <c r="V296" s="319">
        <f t="shared" si="130"/>
        <v>393595840.5625</v>
      </c>
      <c r="X296" s="345">
        <f t="shared" si="124"/>
        <v>26.223782453606105</v>
      </c>
      <c r="Y296" s="346">
        <f t="shared" si="125"/>
        <v>-28.255379353277871</v>
      </c>
      <c r="AA296" s="345">
        <f t="shared" si="126"/>
        <v>46.487811786842556</v>
      </c>
      <c r="AB296" s="346">
        <f t="shared" si="127"/>
        <v>-90.540118086729265</v>
      </c>
      <c r="AD296">
        <f t="shared" si="131"/>
        <v>0</v>
      </c>
      <c r="AE296">
        <f t="shared" si="134"/>
        <v>0</v>
      </c>
    </row>
    <row r="297" spans="1:31" x14ac:dyDescent="0.25">
      <c r="A297" s="347">
        <v>19953</v>
      </c>
      <c r="B297" s="364">
        <f t="shared" si="128"/>
        <v>19.952999999999999</v>
      </c>
      <c r="C297" s="337">
        <f t="shared" si="109"/>
        <v>4.6230075781194273</v>
      </c>
      <c r="D297" s="338">
        <f t="shared" si="110"/>
        <v>1.3527635427784108</v>
      </c>
      <c r="E297" s="338">
        <f t="shared" si="111"/>
        <v>1.0004525539593672</v>
      </c>
      <c r="F297" s="339">
        <f t="shared" si="112"/>
        <v>3.0079340230322379E-2</v>
      </c>
      <c r="G297" s="338">
        <f t="shared" si="113"/>
        <v>1</v>
      </c>
      <c r="H297" s="339">
        <f t="shared" si="114"/>
        <v>0</v>
      </c>
      <c r="I297" s="337">
        <f t="shared" si="115"/>
        <v>12038.468953268122</v>
      </c>
      <c r="J297" s="340">
        <f t="shared" si="116"/>
        <v>1.5707132597533124</v>
      </c>
      <c r="K297" s="348">
        <f t="shared" si="132"/>
        <v>3.2600289316450062</v>
      </c>
      <c r="L297" s="349">
        <f t="shared" si="133"/>
        <v>1.2590242718847702</v>
      </c>
      <c r="M297" s="337">
        <f t="shared" si="117"/>
        <v>1.0165692641801847</v>
      </c>
      <c r="N297" s="340">
        <f t="shared" si="118"/>
        <v>0.1807964005733948</v>
      </c>
      <c r="O297" s="341">
        <f t="shared" si="119"/>
        <v>1.0007562071279958</v>
      </c>
      <c r="P297" s="342">
        <f t="shared" si="120"/>
        <v>0.26009105828233509</v>
      </c>
      <c r="Q297" s="343">
        <f t="shared" si="121"/>
        <v>10.418153795441093</v>
      </c>
      <c r="R297" s="344">
        <f t="shared" si="122"/>
        <v>-118.90367672875247</v>
      </c>
      <c r="S297" s="346">
        <f t="shared" si="123"/>
        <v>61.096323271247527</v>
      </c>
      <c r="U297" s="319">
        <f t="shared" si="129"/>
        <v>1000000000</v>
      </c>
      <c r="V297" s="319">
        <f t="shared" si="130"/>
        <v>398122209</v>
      </c>
      <c r="X297" s="345">
        <f t="shared" si="124"/>
        <v>26.217488850531289</v>
      </c>
      <c r="Y297" s="346">
        <f t="shared" si="125"/>
        <v>-28.217334261826934</v>
      </c>
      <c r="AA297" s="345">
        <f t="shared" si="126"/>
        <v>46.440406279299779</v>
      </c>
      <c r="AB297" s="346">
        <f t="shared" si="127"/>
        <v>-90.686342466925552</v>
      </c>
      <c r="AD297">
        <f t="shared" si="131"/>
        <v>0</v>
      </c>
      <c r="AE297">
        <f t="shared" si="134"/>
        <v>0</v>
      </c>
    </row>
    <row r="298" spans="1:31" x14ac:dyDescent="0.25">
      <c r="A298" s="347">
        <v>20069</v>
      </c>
      <c r="B298" s="364">
        <f t="shared" si="128"/>
        <v>20.068999999999999</v>
      </c>
      <c r="C298" s="337">
        <f t="shared" si="109"/>
        <v>4.648630097565202</v>
      </c>
      <c r="D298" s="338">
        <f t="shared" si="110"/>
        <v>1.3539845528749417</v>
      </c>
      <c r="E298" s="338">
        <f t="shared" si="111"/>
        <v>1.0004578300391962</v>
      </c>
      <c r="F298" s="339">
        <f t="shared" si="112"/>
        <v>3.0254104970731641E-2</v>
      </c>
      <c r="G298" s="338">
        <f t="shared" si="113"/>
        <v>1</v>
      </c>
      <c r="H298" s="339">
        <f t="shared" si="114"/>
        <v>0</v>
      </c>
      <c r="I298" s="337">
        <f t="shared" si="115"/>
        <v>12108.456543553853</v>
      </c>
      <c r="J298" s="340">
        <f t="shared" si="116"/>
        <v>1.5707137398856947</v>
      </c>
      <c r="K298" s="348">
        <f t="shared" si="132"/>
        <v>3.2772029936349623</v>
      </c>
      <c r="L298" s="349">
        <f t="shared" si="133"/>
        <v>1.2607127229153858</v>
      </c>
      <c r="M298" s="337">
        <f t="shared" si="117"/>
        <v>1.0167608877104621</v>
      </c>
      <c r="N298" s="340">
        <f t="shared" si="118"/>
        <v>0.18182454053549912</v>
      </c>
      <c r="O298" s="341">
        <f t="shared" si="119"/>
        <v>1.0007714027651586</v>
      </c>
      <c r="P298" s="342">
        <f t="shared" si="120"/>
        <v>0.26163443783796292</v>
      </c>
      <c r="Q298" s="343">
        <f t="shared" si="121"/>
        <v>10.363710053962215</v>
      </c>
      <c r="R298" s="344">
        <f t="shared" si="122"/>
        <v>-119.01424577901167</v>
      </c>
      <c r="S298" s="346">
        <f t="shared" si="123"/>
        <v>60.985754220988326</v>
      </c>
      <c r="U298" s="319">
        <f t="shared" si="129"/>
        <v>1000000000</v>
      </c>
      <c r="V298" s="319">
        <f t="shared" si="130"/>
        <v>402764761</v>
      </c>
      <c r="X298" s="345">
        <f t="shared" si="124"/>
        <v>26.21113887698646</v>
      </c>
      <c r="Y298" s="346">
        <f t="shared" si="125"/>
        <v>-28.179528733951365</v>
      </c>
      <c r="AA298" s="345">
        <f t="shared" si="126"/>
        <v>46.392312511365731</v>
      </c>
      <c r="AB298" s="346">
        <f t="shared" si="127"/>
        <v>-90.834717045060273</v>
      </c>
      <c r="AD298">
        <f t="shared" si="131"/>
        <v>0</v>
      </c>
      <c r="AE298">
        <f t="shared" si="134"/>
        <v>0</v>
      </c>
    </row>
    <row r="299" spans="1:31" x14ac:dyDescent="0.25">
      <c r="A299" s="347">
        <v>20185</v>
      </c>
      <c r="B299" s="364">
        <f t="shared" si="128"/>
        <v>20.184999999999999</v>
      </c>
      <c r="C299" s="337">
        <f t="shared" si="109"/>
        <v>4.6742594715073835</v>
      </c>
      <c r="D299" s="338">
        <f t="shared" si="110"/>
        <v>1.3551921749449276</v>
      </c>
      <c r="E299" s="338">
        <f t="shared" si="111"/>
        <v>1.0004631366754</v>
      </c>
      <c r="F299" s="339">
        <f t="shared" si="112"/>
        <v>3.0428867862511439E-2</v>
      </c>
      <c r="G299" s="338">
        <f t="shared" si="113"/>
        <v>1</v>
      </c>
      <c r="H299" s="339">
        <f t="shared" si="114"/>
        <v>0</v>
      </c>
      <c r="I299" s="337">
        <f t="shared" si="115"/>
        <v>12178.444133842344</v>
      </c>
      <c r="J299" s="340">
        <f t="shared" si="116"/>
        <v>1.5707142144995876</v>
      </c>
      <c r="K299" s="348">
        <f t="shared" si="132"/>
        <v>3.294386301067783</v>
      </c>
      <c r="L299" s="349">
        <f t="shared" si="133"/>
        <v>1.2623835649636972</v>
      </c>
      <c r="M299" s="337">
        <f t="shared" si="117"/>
        <v>1.0169535856242773</v>
      </c>
      <c r="N299" s="340">
        <f t="shared" si="118"/>
        <v>0.18285229194852937</v>
      </c>
      <c r="O299" s="341">
        <f t="shared" si="119"/>
        <v>1.000786834633473</v>
      </c>
      <c r="P299" s="342">
        <f t="shared" si="120"/>
        <v>0.26317834500263454</v>
      </c>
      <c r="Q299" s="343">
        <f t="shared" si="121"/>
        <v>10.309582838606136</v>
      </c>
      <c r="R299" s="344">
        <f t="shared" si="122"/>
        <v>-119.12506442950348</v>
      </c>
      <c r="S299" s="346">
        <f t="shared" si="123"/>
        <v>60.874935570496518</v>
      </c>
      <c r="U299" s="319">
        <f t="shared" si="129"/>
        <v>1000000000</v>
      </c>
      <c r="V299" s="319">
        <f t="shared" si="130"/>
        <v>407434225</v>
      </c>
      <c r="X299" s="345">
        <f t="shared" si="124"/>
        <v>26.204856065152313</v>
      </c>
      <c r="Y299" s="346">
        <f t="shared" si="125"/>
        <v>-28.142709548036262</v>
      </c>
      <c r="AA299" s="345">
        <f t="shared" si="126"/>
        <v>46.344468107843809</v>
      </c>
      <c r="AB299" s="346">
        <f t="shared" si="127"/>
        <v>-90.982354881467231</v>
      </c>
      <c r="AD299">
        <f t="shared" si="131"/>
        <v>0</v>
      </c>
      <c r="AE299">
        <f t="shared" si="134"/>
        <v>0</v>
      </c>
    </row>
    <row r="300" spans="1:31" x14ac:dyDescent="0.25">
      <c r="A300" s="347">
        <v>20301</v>
      </c>
      <c r="B300" s="364">
        <f t="shared" si="128"/>
        <v>20.300999999999998</v>
      </c>
      <c r="C300" s="337">
        <f t="shared" si="109"/>
        <v>4.6998955878095767</v>
      </c>
      <c r="D300" s="338">
        <f t="shared" si="110"/>
        <v>1.3563866245165261</v>
      </c>
      <c r="E300" s="338">
        <f t="shared" si="111"/>
        <v>1.0004684738674927</v>
      </c>
      <c r="F300" s="339">
        <f t="shared" si="112"/>
        <v>3.060362889501602E-2</v>
      </c>
      <c r="G300" s="338">
        <f t="shared" si="113"/>
        <v>1</v>
      </c>
      <c r="H300" s="339">
        <f t="shared" si="114"/>
        <v>0</v>
      </c>
      <c r="I300" s="337">
        <f t="shared" si="115"/>
        <v>12248.431724133545</v>
      </c>
      <c r="J300" s="340">
        <f t="shared" si="116"/>
        <v>1.5707146836895887</v>
      </c>
      <c r="K300" s="348">
        <f t="shared" si="132"/>
        <v>3.3115787100236371</v>
      </c>
      <c r="L300" s="349">
        <f t="shared" si="133"/>
        <v>1.2640370628840165</v>
      </c>
      <c r="M300" s="337">
        <f t="shared" si="117"/>
        <v>1.0171473573110064</v>
      </c>
      <c r="N300" s="340">
        <f t="shared" si="118"/>
        <v>0.18387965286276411</v>
      </c>
      <c r="O300" s="341">
        <f t="shared" si="119"/>
        <v>1.000802505294865</v>
      </c>
      <c r="P300" s="342">
        <f t="shared" si="120"/>
        <v>0.26472278233278917</v>
      </c>
      <c r="Q300" s="343">
        <f t="shared" si="121"/>
        <v>10.25576806583719</v>
      </c>
      <c r="R300" s="344">
        <f t="shared" si="122"/>
        <v>-119.23612989483991</v>
      </c>
      <c r="S300" s="346">
        <f t="shared" si="123"/>
        <v>60.763870105160095</v>
      </c>
      <c r="U300" s="319">
        <f t="shared" si="129"/>
        <v>1000000000</v>
      </c>
      <c r="V300" s="319">
        <f t="shared" si="130"/>
        <v>412130601</v>
      </c>
      <c r="X300" s="345">
        <f t="shared" si="124"/>
        <v>26.198638823177951</v>
      </c>
      <c r="Y300" s="346">
        <f t="shared" si="125"/>
        <v>-28.106861422756552</v>
      </c>
      <c r="AA300" s="345">
        <f t="shared" si="126"/>
        <v>46.296870577049212</v>
      </c>
      <c r="AB300" s="346">
        <f t="shared" si="127"/>
        <v>-91.129268472083368</v>
      </c>
      <c r="AD300">
        <f t="shared" si="131"/>
        <v>0</v>
      </c>
      <c r="AE300">
        <f t="shared" si="134"/>
        <v>0</v>
      </c>
    </row>
    <row r="301" spans="1:31" x14ac:dyDescent="0.25">
      <c r="A301" s="347">
        <v>20417</v>
      </c>
      <c r="B301" s="364">
        <f t="shared" si="128"/>
        <v>20.417000000000002</v>
      </c>
      <c r="C301" s="337">
        <f t="shared" si="109"/>
        <v>4.7255383367395707</v>
      </c>
      <c r="D301" s="338">
        <f t="shared" si="110"/>
        <v>1.3575681125919097</v>
      </c>
      <c r="E301" s="338">
        <f t="shared" si="111"/>
        <v>1.0004738416149852</v>
      </c>
      <c r="F301" s="339">
        <f t="shared" si="112"/>
        <v>3.0778388057600338E-2</v>
      </c>
      <c r="G301" s="338">
        <f t="shared" si="113"/>
        <v>1</v>
      </c>
      <c r="H301" s="339">
        <f t="shared" si="114"/>
        <v>0</v>
      </c>
      <c r="I301" s="337">
        <f t="shared" si="115"/>
        <v>12318.41931442741</v>
      </c>
      <c r="J301" s="340">
        <f t="shared" si="116"/>
        <v>1.5707151475481465</v>
      </c>
      <c r="K301" s="348">
        <f t="shared" si="132"/>
        <v>3.3287800794804987</v>
      </c>
      <c r="L301" s="349">
        <f t="shared" si="133"/>
        <v>1.2656734764398698</v>
      </c>
      <c r="M301" s="337">
        <f t="shared" si="117"/>
        <v>1.0173422021570893</v>
      </c>
      <c r="N301" s="340">
        <f t="shared" si="118"/>
        <v>0.18490662133326072</v>
      </c>
      <c r="O301" s="341">
        <f t="shared" si="119"/>
        <v>1.0008184173257588</v>
      </c>
      <c r="P301" s="342">
        <f t="shared" si="120"/>
        <v>0.2662677523759055</v>
      </c>
      <c r="Q301" s="343">
        <f t="shared" si="121"/>
        <v>10.202261727072511</v>
      </c>
      <c r="R301" s="344">
        <f t="shared" si="122"/>
        <v>-119.34743942163072</v>
      </c>
      <c r="S301" s="346">
        <f t="shared" si="123"/>
        <v>60.652560578369275</v>
      </c>
      <c r="U301" s="319">
        <f t="shared" si="129"/>
        <v>1000000000</v>
      </c>
      <c r="V301" s="319">
        <f t="shared" si="130"/>
        <v>416853889</v>
      </c>
      <c r="X301" s="345">
        <f t="shared" si="124"/>
        <v>26.192485600611928</v>
      </c>
      <c r="Y301" s="346">
        <f t="shared" si="125"/>
        <v>-28.071969368618397</v>
      </c>
      <c r="AA301" s="345">
        <f t="shared" si="126"/>
        <v>46.249517460850562</v>
      </c>
      <c r="AB301" s="346">
        <f t="shared" si="127"/>
        <v>-91.275470053012342</v>
      </c>
      <c r="AD301">
        <f t="shared" si="131"/>
        <v>0</v>
      </c>
      <c r="AE301">
        <f t="shared" si="134"/>
        <v>0</v>
      </c>
    </row>
    <row r="302" spans="1:31" x14ac:dyDescent="0.25">
      <c r="A302" s="347">
        <v>20536</v>
      </c>
      <c r="B302" s="364">
        <f t="shared" si="128"/>
        <v>20.536000000000001</v>
      </c>
      <c r="C302" s="337">
        <f t="shared" si="109"/>
        <v>4.7518510398171934</v>
      </c>
      <c r="D302" s="338">
        <f t="shared" si="110"/>
        <v>1.3587669042430235</v>
      </c>
      <c r="E302" s="338">
        <f t="shared" si="111"/>
        <v>1.0004793799339751</v>
      </c>
      <c r="F302" s="339">
        <f t="shared" si="112"/>
        <v>3.0957664899457935E-2</v>
      </c>
      <c r="G302" s="338">
        <f t="shared" si="113"/>
        <v>1</v>
      </c>
      <c r="H302" s="339">
        <f t="shared" si="114"/>
        <v>0</v>
      </c>
      <c r="I302" s="337">
        <f t="shared" si="115"/>
        <v>12390.216928610911</v>
      </c>
      <c r="J302" s="340">
        <f t="shared" si="116"/>
        <v>1.5707156179576869</v>
      </c>
      <c r="K302" s="348">
        <f t="shared" si="132"/>
        <v>3.3464354782225567</v>
      </c>
      <c r="L302" s="349">
        <f t="shared" si="133"/>
        <v>1.2673347252104659</v>
      </c>
      <c r="M302" s="337">
        <f t="shared" si="117"/>
        <v>1.0175432005972938</v>
      </c>
      <c r="N302" s="340">
        <f t="shared" si="118"/>
        <v>0.18595973950066941</v>
      </c>
      <c r="O302" s="341">
        <f t="shared" si="119"/>
        <v>1.0008349944039856</v>
      </c>
      <c r="P302" s="342">
        <f t="shared" si="120"/>
        <v>0.26785323475798589</v>
      </c>
      <c r="Q302" s="343">
        <f t="shared" si="121"/>
        <v>10.147687981766811</v>
      </c>
      <c r="R302" s="344">
        <f t="shared" si="122"/>
        <v>-119.46187840199448</v>
      </c>
      <c r="S302" s="346">
        <f t="shared" si="123"/>
        <v>60.538121598005517</v>
      </c>
      <c r="U302" s="319">
        <f t="shared" si="129"/>
        <v>1000000000</v>
      </c>
      <c r="V302" s="319">
        <f t="shared" si="130"/>
        <v>421727296</v>
      </c>
      <c r="X302" s="345">
        <f t="shared" si="124"/>
        <v>26.186238184643088</v>
      </c>
      <c r="Y302" s="346">
        <f t="shared" si="125"/>
        <v>-28.037153004104546</v>
      </c>
      <c r="AA302" s="345">
        <f t="shared" si="126"/>
        <v>46.201191131513696</v>
      </c>
      <c r="AB302" s="346">
        <f t="shared" si="127"/>
        <v>-91.424725397889901</v>
      </c>
      <c r="AD302">
        <f t="shared" si="131"/>
        <v>0</v>
      </c>
      <c r="AE302">
        <f t="shared" si="134"/>
        <v>0</v>
      </c>
    </row>
    <row r="303" spans="1:31" x14ac:dyDescent="0.25">
      <c r="A303" s="347">
        <v>20655</v>
      </c>
      <c r="B303" s="364">
        <f t="shared" si="128"/>
        <v>20.655000000000001</v>
      </c>
      <c r="C303" s="337">
        <f t="shared" si="109"/>
        <v>4.778170496569552</v>
      </c>
      <c r="D303" s="338">
        <f t="shared" si="110"/>
        <v>1.3599524910443823</v>
      </c>
      <c r="E303" s="338">
        <f t="shared" si="111"/>
        <v>1.0004849504082016</v>
      </c>
      <c r="F303" s="339">
        <f t="shared" si="112"/>
        <v>3.1136939750731476E-2</v>
      </c>
      <c r="G303" s="338">
        <f t="shared" si="113"/>
        <v>1</v>
      </c>
      <c r="H303" s="339">
        <f t="shared" si="114"/>
        <v>0</v>
      </c>
      <c r="I303" s="337">
        <f t="shared" si="115"/>
        <v>12462.014542797122</v>
      </c>
      <c r="J303" s="340">
        <f t="shared" si="116"/>
        <v>1.5707160829468703</v>
      </c>
      <c r="K303" s="348">
        <f t="shared" si="132"/>
        <v>3.3641000153295177</v>
      </c>
      <c r="L303" s="349">
        <f t="shared" si="133"/>
        <v>1.2689785323910772</v>
      </c>
      <c r="M303" s="337">
        <f t="shared" si="117"/>
        <v>1.0177453271053183</v>
      </c>
      <c r="N303" s="340">
        <f t="shared" si="118"/>
        <v>0.18701244053193183</v>
      </c>
      <c r="O303" s="341">
        <f t="shared" si="119"/>
        <v>1.0008518310375263</v>
      </c>
      <c r="P303" s="342">
        <f t="shared" si="120"/>
        <v>0.2694392831654655</v>
      </c>
      <c r="Q303" s="343">
        <f t="shared" si="121"/>
        <v>10.093430518282441</v>
      </c>
      <c r="R303" s="344">
        <f t="shared" si="122"/>
        <v>-119.57656846390681</v>
      </c>
      <c r="S303" s="346">
        <f t="shared" si="123"/>
        <v>60.42343153609319</v>
      </c>
      <c r="U303" s="319">
        <f t="shared" si="129"/>
        <v>1000000000</v>
      </c>
      <c r="V303" s="319">
        <f t="shared" si="130"/>
        <v>426629025</v>
      </c>
      <c r="X303" s="345">
        <f t="shared" si="124"/>
        <v>26.180054965007994</v>
      </c>
      <c r="Y303" s="346">
        <f t="shared" si="125"/>
        <v>-28.003311758381681</v>
      </c>
      <c r="AA303" s="345">
        <f t="shared" si="126"/>
        <v>46.153116887664424</v>
      </c>
      <c r="AB303" s="346">
        <f t="shared" si="127"/>
        <v>-91.573256705525111</v>
      </c>
      <c r="AD303">
        <f t="shared" si="131"/>
        <v>0</v>
      </c>
      <c r="AE303">
        <f t="shared" si="134"/>
        <v>0</v>
      </c>
    </row>
    <row r="304" spans="1:31" x14ac:dyDescent="0.25">
      <c r="A304" s="347">
        <v>20774</v>
      </c>
      <c r="B304" s="364">
        <f t="shared" si="128"/>
        <v>20.774000000000001</v>
      </c>
      <c r="C304" s="337">
        <f t="shared" si="109"/>
        <v>4.8044965960049666</v>
      </c>
      <c r="D304" s="338">
        <f t="shared" si="110"/>
        <v>1.3611250867021145</v>
      </c>
      <c r="E304" s="338">
        <f t="shared" si="111"/>
        <v>1.000490553037128</v>
      </c>
      <c r="F304" s="339">
        <f t="shared" si="112"/>
        <v>3.1316212599930719E-2</v>
      </c>
      <c r="G304" s="338">
        <f t="shared" si="113"/>
        <v>1</v>
      </c>
      <c r="H304" s="339">
        <f t="shared" si="114"/>
        <v>0</v>
      </c>
      <c r="I304" s="337">
        <f t="shared" si="115"/>
        <v>12533.812156985996</v>
      </c>
      <c r="J304" s="340">
        <f t="shared" si="116"/>
        <v>1.5707165426088456</v>
      </c>
      <c r="K304" s="348">
        <f t="shared" si="132"/>
        <v>3.3817735475999102</v>
      </c>
      <c r="L304" s="349">
        <f t="shared" si="133"/>
        <v>1.2706051624831347</v>
      </c>
      <c r="M304" s="337">
        <f t="shared" si="117"/>
        <v>1.0179485810091871</v>
      </c>
      <c r="N304" s="340">
        <f t="shared" si="118"/>
        <v>0.18806472234306557</v>
      </c>
      <c r="O304" s="341">
        <f t="shared" si="119"/>
        <v>1.000868930055429</v>
      </c>
      <c r="P304" s="342">
        <f t="shared" si="120"/>
        <v>0.27102590031881352</v>
      </c>
      <c r="Q304" s="343">
        <f t="shared" si="121"/>
        <v>10.039485243104584</v>
      </c>
      <c r="R304" s="344">
        <f t="shared" si="122"/>
        <v>-119.69150673947473</v>
      </c>
      <c r="S304" s="346">
        <f t="shared" si="123"/>
        <v>60.308493260525267</v>
      </c>
      <c r="U304" s="319">
        <f t="shared" si="129"/>
        <v>1000000000</v>
      </c>
      <c r="V304" s="319">
        <f t="shared" si="130"/>
        <v>431559076</v>
      </c>
      <c r="X304" s="345">
        <f t="shared" si="124"/>
        <v>26.173934395512639</v>
      </c>
      <c r="Y304" s="346">
        <f t="shared" si="125"/>
        <v>-27.970430362567775</v>
      </c>
      <c r="AA304" s="345">
        <f t="shared" si="126"/>
        <v>46.105292181981923</v>
      </c>
      <c r="AB304" s="346">
        <f t="shared" si="127"/>
        <v>-91.72107637690695</v>
      </c>
      <c r="AD304">
        <f t="shared" si="131"/>
        <v>0</v>
      </c>
      <c r="AE304">
        <f t="shared" si="134"/>
        <v>0</v>
      </c>
    </row>
    <row r="305" spans="1:31" x14ac:dyDescent="0.25">
      <c r="A305" s="347">
        <v>20893</v>
      </c>
      <c r="B305" s="364">
        <f t="shared" si="128"/>
        <v>20.893000000000001</v>
      </c>
      <c r="C305" s="337">
        <f t="shared" si="109"/>
        <v>4.8308292295234914</v>
      </c>
      <c r="D305" s="338">
        <f t="shared" si="110"/>
        <v>1.3622849004074098</v>
      </c>
      <c r="E305" s="338">
        <f t="shared" si="111"/>
        <v>1.0004961878202139</v>
      </c>
      <c r="F305" s="339">
        <f t="shared" si="112"/>
        <v>3.1495483435566171E-2</v>
      </c>
      <c r="G305" s="338">
        <f t="shared" si="113"/>
        <v>1</v>
      </c>
      <c r="H305" s="339">
        <f t="shared" si="114"/>
        <v>0</v>
      </c>
      <c r="I305" s="337">
        <f t="shared" si="115"/>
        <v>12605.609771177489</v>
      </c>
      <c r="J305" s="340">
        <f t="shared" si="116"/>
        <v>1.5707169970346391</v>
      </c>
      <c r="K305" s="348">
        <f t="shared" si="132"/>
        <v>3.3994559347380728</v>
      </c>
      <c r="L305" s="349">
        <f t="shared" si="133"/>
        <v>1.272214874852627</v>
      </c>
      <c r="M305" s="337">
        <f t="shared" si="117"/>
        <v>1.018152961633713</v>
      </c>
      <c r="N305" s="340">
        <f t="shared" si="118"/>
        <v>0.18911658285546104</v>
      </c>
      <c r="O305" s="341">
        <f t="shared" si="119"/>
        <v>1.0008862943027657</v>
      </c>
      <c r="P305" s="342">
        <f t="shared" si="120"/>
        <v>0.27261308892829139</v>
      </c>
      <c r="Q305" s="343">
        <f t="shared" si="121"/>
        <v>9.9858481380019644</v>
      </c>
      <c r="R305" s="344">
        <f t="shared" si="122"/>
        <v>-119.80669039595868</v>
      </c>
      <c r="S305" s="346">
        <f t="shared" si="123"/>
        <v>60.193309604041318</v>
      </c>
      <c r="U305" s="319">
        <f t="shared" si="129"/>
        <v>1000000000</v>
      </c>
      <c r="V305" s="319">
        <f t="shared" si="130"/>
        <v>436517449</v>
      </c>
      <c r="X305" s="345">
        <f t="shared" si="124"/>
        <v>26.167874970471644</v>
      </c>
      <c r="Y305" s="346">
        <f t="shared" si="125"/>
        <v>-27.938493842206171</v>
      </c>
      <c r="AA305" s="345">
        <f t="shared" si="126"/>
        <v>46.057714501920302</v>
      </c>
      <c r="AB305" s="346">
        <f t="shared" si="127"/>
        <v>-91.868196553752526</v>
      </c>
      <c r="AD305">
        <f t="shared" si="131"/>
        <v>0</v>
      </c>
      <c r="AE305">
        <f t="shared" si="134"/>
        <v>0</v>
      </c>
    </row>
    <row r="306" spans="1:31" x14ac:dyDescent="0.25">
      <c r="A306" s="347">
        <v>21014.75</v>
      </c>
      <c r="B306" s="364">
        <f t="shared" si="128"/>
        <v>21.014749999999999</v>
      </c>
      <c r="C306" s="337">
        <f t="shared" si="109"/>
        <v>4.8577770417944004</v>
      </c>
      <c r="D306" s="338">
        <f t="shared" si="110"/>
        <v>1.363458501646112</v>
      </c>
      <c r="E306" s="338">
        <f t="shared" si="111"/>
        <v>1.0005019860956412</v>
      </c>
      <c r="F306" s="339">
        <f t="shared" si="112"/>
        <v>3.1678894988749234E-2</v>
      </c>
      <c r="G306" s="338">
        <f t="shared" si="113"/>
        <v>1</v>
      </c>
      <c r="H306" s="339">
        <f t="shared" si="114"/>
        <v>0</v>
      </c>
      <c r="I306" s="337">
        <f t="shared" si="115"/>
        <v>12679.066573934891</v>
      </c>
      <c r="J306" s="340">
        <f t="shared" si="116"/>
        <v>1.5707174566355513</v>
      </c>
      <c r="K306" s="348">
        <f t="shared" si="132"/>
        <v>3.4175559693037889</v>
      </c>
      <c r="L306" s="349">
        <f t="shared" si="133"/>
        <v>1.2738445430163061</v>
      </c>
      <c r="M306" s="337">
        <f t="shared" si="117"/>
        <v>1.0183632307103956</v>
      </c>
      <c r="N306" s="340">
        <f t="shared" si="118"/>
        <v>0.19019231289156655</v>
      </c>
      <c r="O306" s="341">
        <f t="shared" si="119"/>
        <v>1.0009043373027893</v>
      </c>
      <c r="P306" s="342">
        <f t="shared" si="120"/>
        <v>0.27423755049949428</v>
      </c>
      <c r="Q306" s="343">
        <f t="shared" si="121"/>
        <v>9.9312863411226466</v>
      </c>
      <c r="R306" s="344">
        <f t="shared" si="122"/>
        <v>-119.92478689437358</v>
      </c>
      <c r="S306" s="346">
        <f t="shared" si="123"/>
        <v>60.075213105626418</v>
      </c>
      <c r="U306" s="319">
        <f t="shared" si="129"/>
        <v>1000000000</v>
      </c>
      <c r="V306" s="319">
        <f t="shared" si="130"/>
        <v>441619717.5625</v>
      </c>
      <c r="X306" s="345">
        <f t="shared" si="124"/>
        <v>26.161737267888533</v>
      </c>
      <c r="Y306" s="346">
        <f t="shared" si="125"/>
        <v>-27.906781858541112</v>
      </c>
      <c r="AA306" s="345">
        <f t="shared" si="126"/>
        <v>46.009290407624093</v>
      </c>
      <c r="AB306" s="346">
        <f t="shared" si="127"/>
        <v>-92.018005035832459</v>
      </c>
      <c r="AD306">
        <f t="shared" si="131"/>
        <v>0</v>
      </c>
      <c r="AE306">
        <f t="shared" si="134"/>
        <v>0</v>
      </c>
    </row>
    <row r="307" spans="1:31" x14ac:dyDescent="0.25">
      <c r="A307" s="347">
        <v>21136.5</v>
      </c>
      <c r="B307" s="364">
        <f t="shared" si="128"/>
        <v>21.136500000000002</v>
      </c>
      <c r="C307" s="337">
        <f t="shared" si="109"/>
        <v>4.8847314710469858</v>
      </c>
      <c r="D307" s="338">
        <f t="shared" si="110"/>
        <v>1.3646191523743592</v>
      </c>
      <c r="E307" s="338">
        <f t="shared" si="111"/>
        <v>1.0005078180273625</v>
      </c>
      <c r="F307" s="339">
        <f t="shared" si="112"/>
        <v>3.1862304409900594E-2</v>
      </c>
      <c r="G307" s="338">
        <f t="shared" si="113"/>
        <v>1</v>
      </c>
      <c r="H307" s="339">
        <f t="shared" si="114"/>
        <v>0</v>
      </c>
      <c r="I307" s="337">
        <f t="shared" si="115"/>
        <v>12752.523376694944</v>
      </c>
      <c r="J307" s="340">
        <f t="shared" si="116"/>
        <v>1.5707179109416975</v>
      </c>
      <c r="K307" s="348">
        <f t="shared" si="132"/>
        <v>3.435664984629236</v>
      </c>
      <c r="L307" s="349">
        <f t="shared" si="133"/>
        <v>1.2754570358187305</v>
      </c>
      <c r="M307" s="337">
        <f t="shared" si="117"/>
        <v>1.0185746777446905</v>
      </c>
      <c r="N307" s="340">
        <f t="shared" si="118"/>
        <v>0.1912675975476012</v>
      </c>
      <c r="O307" s="341">
        <f t="shared" si="119"/>
        <v>1.0009226640087032</v>
      </c>
      <c r="P307" s="342">
        <f t="shared" si="120"/>
        <v>0.27586261595032302</v>
      </c>
      <c r="Q307" s="343">
        <f t="shared" si="121"/>
        <v>9.8770388461919403</v>
      </c>
      <c r="R307" s="344">
        <f t="shared" si="122"/>
        <v>-120.04313435905284</v>
      </c>
      <c r="S307" s="346">
        <f t="shared" si="123"/>
        <v>59.956865640947157</v>
      </c>
      <c r="U307" s="319">
        <f t="shared" si="129"/>
        <v>1000000000</v>
      </c>
      <c r="V307" s="319">
        <f t="shared" si="130"/>
        <v>446751632.25</v>
      </c>
      <c r="X307" s="345">
        <f t="shared" si="124"/>
        <v>26.155660504392667</v>
      </c>
      <c r="Y307" s="346">
        <f t="shared" si="125"/>
        <v>-27.876028128822586</v>
      </c>
      <c r="AA307" s="345">
        <f t="shared" si="126"/>
        <v>45.961119676189249</v>
      </c>
      <c r="AB307" s="346">
        <f t="shared" si="127"/>
        <v>-92.167106230230274</v>
      </c>
      <c r="AD307">
        <f t="shared" si="131"/>
        <v>0</v>
      </c>
      <c r="AE307">
        <f t="shared" si="134"/>
        <v>0</v>
      </c>
    </row>
    <row r="308" spans="1:31" x14ac:dyDescent="0.25">
      <c r="A308" s="347">
        <v>21258.25</v>
      </c>
      <c r="B308" s="364">
        <f t="shared" si="128"/>
        <v>21.25825</v>
      </c>
      <c r="C308" s="337">
        <f t="shared" si="109"/>
        <v>4.9116924083430558</v>
      </c>
      <c r="D308" s="338">
        <f t="shared" si="110"/>
        <v>1.3657670627003411</v>
      </c>
      <c r="E308" s="338">
        <f t="shared" si="111"/>
        <v>1.000513683614789</v>
      </c>
      <c r="F308" s="339">
        <f t="shared" si="112"/>
        <v>3.2045711686718222E-2</v>
      </c>
      <c r="G308" s="338">
        <f t="shared" si="113"/>
        <v>1</v>
      </c>
      <c r="H308" s="339">
        <f t="shared" si="114"/>
        <v>0</v>
      </c>
      <c r="I308" s="337">
        <f t="shared" si="115"/>
        <v>12825.980179457596</v>
      </c>
      <c r="J308" s="340">
        <f t="shared" si="116"/>
        <v>1.5707183600440502</v>
      </c>
      <c r="K308" s="348">
        <f t="shared" si="132"/>
        <v>3.4537828394495582</v>
      </c>
      <c r="L308" s="349">
        <f t="shared" si="133"/>
        <v>1.2770526151034511</v>
      </c>
      <c r="M308" s="337">
        <f t="shared" si="117"/>
        <v>1.0187873020031502</v>
      </c>
      <c r="N308" s="340">
        <f t="shared" si="118"/>
        <v>0.19234243461508727</v>
      </c>
      <c r="O308" s="341">
        <f t="shared" si="119"/>
        <v>1.0009412775194304</v>
      </c>
      <c r="P308" s="342">
        <f t="shared" si="120"/>
        <v>0.27748828814966209</v>
      </c>
      <c r="Q308" s="343">
        <f t="shared" si="121"/>
        <v>9.8231015829018844</v>
      </c>
      <c r="R308" s="344">
        <f t="shared" si="122"/>
        <v>-120.16172986953437</v>
      </c>
      <c r="S308" s="346">
        <f t="shared" si="123"/>
        <v>59.838270130465631</v>
      </c>
      <c r="U308" s="319">
        <f t="shared" si="129"/>
        <v>1000000000</v>
      </c>
      <c r="V308" s="319">
        <f t="shared" si="130"/>
        <v>451913193.0625</v>
      </c>
      <c r="X308" s="345">
        <f t="shared" si="124"/>
        <v>26.149643191207556</v>
      </c>
      <c r="Y308" s="346">
        <f t="shared" si="125"/>
        <v>-27.846217529196068</v>
      </c>
      <c r="AA308" s="345">
        <f t="shared" si="126"/>
        <v>45.913199726084308</v>
      </c>
      <c r="AB308" s="346">
        <f t="shared" si="127"/>
        <v>-92.315512340338344</v>
      </c>
      <c r="AD308">
        <f t="shared" si="131"/>
        <v>0</v>
      </c>
      <c r="AE308">
        <f t="shared" si="134"/>
        <v>0</v>
      </c>
    </row>
    <row r="309" spans="1:31" x14ac:dyDescent="0.25">
      <c r="A309" s="347">
        <v>21380</v>
      </c>
      <c r="B309" s="364">
        <f t="shared" si="128"/>
        <v>21.38</v>
      </c>
      <c r="C309" s="337">
        <f t="shared" si="109"/>
        <v>4.9386597470972458</v>
      </c>
      <c r="D309" s="338">
        <f t="shared" si="110"/>
        <v>1.366902438279072</v>
      </c>
      <c r="E309" s="338">
        <f t="shared" si="111"/>
        <v>1.0005195828573288</v>
      </c>
      <c r="F309" s="339">
        <f t="shared" si="112"/>
        <v>3.2229116806900951E-2</v>
      </c>
      <c r="G309" s="338">
        <f t="shared" si="113"/>
        <v>1</v>
      </c>
      <c r="H309" s="339">
        <f t="shared" si="114"/>
        <v>0</v>
      </c>
      <c r="I309" s="337">
        <f t="shared" si="115"/>
        <v>12899.436982222807</v>
      </c>
      <c r="J309" s="340">
        <f t="shared" si="116"/>
        <v>1.5707188040315094</v>
      </c>
      <c r="K309" s="348">
        <f t="shared" si="132"/>
        <v>3.4719093953803704</v>
      </c>
      <c r="L309" s="349">
        <f t="shared" si="133"/>
        <v>1.2786315375942563</v>
      </c>
      <c r="M309" s="337">
        <f t="shared" si="117"/>
        <v>1.0190011027488579</v>
      </c>
      <c r="N309" s="340">
        <f t="shared" si="118"/>
        <v>0.19341682189152193</v>
      </c>
      <c r="O309" s="341">
        <f t="shared" si="119"/>
        <v>1.0009601809514102</v>
      </c>
      <c r="P309" s="342">
        <f t="shared" si="120"/>
        <v>0.27911456995489003</v>
      </c>
      <c r="Q309" s="343">
        <f t="shared" si="121"/>
        <v>9.7694705557320329</v>
      </c>
      <c r="R309" s="344">
        <f t="shared" si="122"/>
        <v>-120.28057054311307</v>
      </c>
      <c r="S309" s="346">
        <f t="shared" si="123"/>
        <v>59.719429456886928</v>
      </c>
      <c r="U309" s="319">
        <f t="shared" si="129"/>
        <v>1000000000</v>
      </c>
      <c r="V309" s="319">
        <f t="shared" si="130"/>
        <v>457104400</v>
      </c>
      <c r="X309" s="345">
        <f t="shared" si="124"/>
        <v>26.143683878742898</v>
      </c>
      <c r="Y309" s="346">
        <f t="shared" si="125"/>
        <v>-27.81733522937148</v>
      </c>
      <c r="AA309" s="345">
        <f t="shared" si="126"/>
        <v>45.865528011379112</v>
      </c>
      <c r="AB309" s="346">
        <f t="shared" si="127"/>
        <v>-92.463235313741578</v>
      </c>
      <c r="AD309">
        <f t="shared" si="131"/>
        <v>0</v>
      </c>
      <c r="AE309">
        <f t="shared" si="134"/>
        <v>0</v>
      </c>
    </row>
    <row r="310" spans="1:31" x14ac:dyDescent="0.25">
      <c r="A310" s="347">
        <v>21504.5</v>
      </c>
      <c r="B310" s="364">
        <f t="shared" si="128"/>
        <v>21.5045</v>
      </c>
      <c r="C310" s="337">
        <f t="shared" si="109"/>
        <v>4.966242715710087</v>
      </c>
      <c r="D310" s="338">
        <f t="shared" si="110"/>
        <v>1.3680507059900895</v>
      </c>
      <c r="E310" s="338">
        <f t="shared" si="111"/>
        <v>1.0005256501509905</v>
      </c>
      <c r="F310" s="339">
        <f t="shared" si="112"/>
        <v>3.2416662304798366E-2</v>
      </c>
      <c r="G310" s="338">
        <f t="shared" si="113"/>
        <v>1</v>
      </c>
      <c r="H310" s="339">
        <f t="shared" si="114"/>
        <v>0</v>
      </c>
      <c r="I310" s="337">
        <f t="shared" si="115"/>
        <v>12974.552973554102</v>
      </c>
      <c r="J310" s="340">
        <f t="shared" si="116"/>
        <v>1.5707192528484548</v>
      </c>
      <c r="K310" s="348">
        <f t="shared" si="132"/>
        <v>3.4904542375948853</v>
      </c>
      <c r="L310" s="349">
        <f t="shared" si="133"/>
        <v>1.2802291604896958</v>
      </c>
      <c r="M310" s="337">
        <f t="shared" si="117"/>
        <v>1.019220948545899</v>
      </c>
      <c r="N310" s="340">
        <f t="shared" si="118"/>
        <v>0.1945150092087031</v>
      </c>
      <c r="O310" s="341">
        <f t="shared" si="119"/>
        <v>1.0009798144437265</v>
      </c>
      <c r="P310" s="342">
        <f t="shared" si="120"/>
        <v>0.28077821840512895</v>
      </c>
      <c r="Q310" s="343">
        <f t="shared" si="121"/>
        <v>9.7149407533610361</v>
      </c>
      <c r="R310" s="344">
        <f t="shared" si="122"/>
        <v>-120.40234607068447</v>
      </c>
      <c r="S310" s="346">
        <f t="shared" si="123"/>
        <v>59.597653929315527</v>
      </c>
      <c r="U310" s="319">
        <f t="shared" si="129"/>
        <v>1000000000</v>
      </c>
      <c r="V310" s="319">
        <f t="shared" si="130"/>
        <v>462443520.25</v>
      </c>
      <c r="X310" s="345">
        <f t="shared" si="124"/>
        <v>26.137648471752534</v>
      </c>
      <c r="Y310" s="346">
        <f t="shared" si="125"/>
        <v>-27.788745393882678</v>
      </c>
      <c r="AA310" s="345">
        <f t="shared" si="126"/>
        <v>45.817033615998483</v>
      </c>
      <c r="AB310" s="346">
        <f t="shared" si="127"/>
        <v>-92.613600676801809</v>
      </c>
      <c r="AD310">
        <f t="shared" si="131"/>
        <v>0</v>
      </c>
      <c r="AE310">
        <f t="shared" si="134"/>
        <v>0</v>
      </c>
    </row>
    <row r="311" spans="1:31" x14ac:dyDescent="0.25">
      <c r="A311" s="347">
        <v>21629</v>
      </c>
      <c r="B311" s="364">
        <f t="shared" si="128"/>
        <v>21.629000000000001</v>
      </c>
      <c r="C311" s="337">
        <f t="shared" si="109"/>
        <v>4.9938321600665239</v>
      </c>
      <c r="D311" s="338">
        <f t="shared" si="110"/>
        <v>1.3691862875062761</v>
      </c>
      <c r="E311" s="338">
        <f t="shared" si="111"/>
        <v>1.0005317526360273</v>
      </c>
      <c r="F311" s="339">
        <f t="shared" si="112"/>
        <v>3.2604205521521566E-2</v>
      </c>
      <c r="G311" s="338">
        <f t="shared" si="113"/>
        <v>1</v>
      </c>
      <c r="H311" s="339">
        <f t="shared" si="114"/>
        <v>0</v>
      </c>
      <c r="I311" s="337">
        <f t="shared" si="115"/>
        <v>13049.66896488798</v>
      </c>
      <c r="J311" s="340">
        <f t="shared" si="116"/>
        <v>1.5707196964984753</v>
      </c>
      <c r="K311" s="348">
        <f t="shared" si="132"/>
        <v>3.5090078946607077</v>
      </c>
      <c r="L311" s="349">
        <f t="shared" si="133"/>
        <v>1.2818098927245138</v>
      </c>
      <c r="M311" s="337">
        <f t="shared" si="117"/>
        <v>1.019442023008059</v>
      </c>
      <c r="N311" s="340">
        <f t="shared" si="118"/>
        <v>0.19561272154719972</v>
      </c>
      <c r="O311" s="341">
        <f t="shared" si="119"/>
        <v>1.0009997577495142</v>
      </c>
      <c r="P311" s="342">
        <f t="shared" si="120"/>
        <v>0.28244251031708079</v>
      </c>
      <c r="Q311" s="343">
        <f t="shared" si="121"/>
        <v>9.6607229585841772</v>
      </c>
      <c r="R311" s="344">
        <f t="shared" si="122"/>
        <v>-120.52437198442622</v>
      </c>
      <c r="S311" s="346">
        <f t="shared" si="123"/>
        <v>59.475628015573776</v>
      </c>
      <c r="U311" s="319">
        <f t="shared" si="129"/>
        <v>1000000000</v>
      </c>
      <c r="V311" s="319">
        <f t="shared" si="130"/>
        <v>467813641</v>
      </c>
      <c r="X311" s="345">
        <f t="shared" si="124"/>
        <v>26.13167076965577</v>
      </c>
      <c r="Y311" s="346">
        <f t="shared" si="125"/>
        <v>-27.761095811644768</v>
      </c>
      <c r="AA311" s="345">
        <f t="shared" si="126"/>
        <v>45.768793523318379</v>
      </c>
      <c r="AB311" s="346">
        <f t="shared" si="127"/>
        <v>-92.763276172781431</v>
      </c>
      <c r="AD311">
        <f t="shared" si="131"/>
        <v>0</v>
      </c>
      <c r="AE311">
        <f t="shared" si="134"/>
        <v>0</v>
      </c>
    </row>
    <row r="312" spans="1:31" x14ac:dyDescent="0.25">
      <c r="A312" s="347">
        <v>21753.5</v>
      </c>
      <c r="B312" s="364">
        <f t="shared" si="128"/>
        <v>21.753499999999999</v>
      </c>
      <c r="C312" s="337">
        <f t="shared" si="109"/>
        <v>5.0214279734267002</v>
      </c>
      <c r="D312" s="338">
        <f t="shared" si="110"/>
        <v>1.370309389029629</v>
      </c>
      <c r="E312" s="338">
        <f t="shared" si="111"/>
        <v>1.0005378903117954</v>
      </c>
      <c r="F312" s="339">
        <f t="shared" si="112"/>
        <v>3.279174644391971E-2</v>
      </c>
      <c r="G312" s="338">
        <f t="shared" si="113"/>
        <v>1</v>
      </c>
      <c r="H312" s="339">
        <f t="shared" si="114"/>
        <v>0</v>
      </c>
      <c r="I312" s="337">
        <f t="shared" si="115"/>
        <v>13124.784956224399</v>
      </c>
      <c r="J312" s="340">
        <f t="shared" si="116"/>
        <v>1.5707201350702853</v>
      </c>
      <c r="K312" s="348">
        <f t="shared" si="132"/>
        <v>3.5275702274897012</v>
      </c>
      <c r="L312" s="349">
        <f t="shared" si="133"/>
        <v>1.2833739929758508</v>
      </c>
      <c r="M312" s="337">
        <f t="shared" si="117"/>
        <v>1.0196643253361735</v>
      </c>
      <c r="N312" s="340">
        <f t="shared" si="118"/>
        <v>0.19670995657139148</v>
      </c>
      <c r="O312" s="341">
        <f t="shared" si="119"/>
        <v>1.00102001425795</v>
      </c>
      <c r="P312" s="342">
        <f t="shared" si="120"/>
        <v>0.28410744870828758</v>
      </c>
      <c r="Q312" s="343">
        <f t="shared" si="121"/>
        <v>9.606813130001651</v>
      </c>
      <c r="R312" s="344">
        <f t="shared" si="122"/>
        <v>-120.6466453226417</v>
      </c>
      <c r="S312" s="346">
        <f t="shared" si="123"/>
        <v>59.353354677358297</v>
      </c>
      <c r="U312" s="319">
        <f t="shared" si="129"/>
        <v>1000000000</v>
      </c>
      <c r="V312" s="319">
        <f t="shared" si="130"/>
        <v>473214762.25</v>
      </c>
      <c r="X312" s="345">
        <f t="shared" si="124"/>
        <v>26.125749341844092</v>
      </c>
      <c r="Y312" s="346">
        <f t="shared" si="125"/>
        <v>-27.734371532811128</v>
      </c>
      <c r="AA312" s="345">
        <f t="shared" si="126"/>
        <v>45.720805122547539</v>
      </c>
      <c r="AB312" s="346">
        <f t="shared" si="127"/>
        <v>-92.912273789830564</v>
      </c>
      <c r="AD312">
        <f t="shared" si="131"/>
        <v>0</v>
      </c>
      <c r="AE312">
        <f t="shared" si="134"/>
        <v>0</v>
      </c>
    </row>
    <row r="313" spans="1:31" x14ac:dyDescent="0.25">
      <c r="A313" s="347">
        <v>21878</v>
      </c>
      <c r="B313" s="364">
        <f t="shared" si="128"/>
        <v>21.878</v>
      </c>
      <c r="C313" s="337">
        <f t="shared" si="109"/>
        <v>5.0490300513599617</v>
      </c>
      <c r="D313" s="338">
        <f t="shared" si="110"/>
        <v>1.3714202123805792</v>
      </c>
      <c r="E313" s="338">
        <f t="shared" si="111"/>
        <v>1.000544063177647</v>
      </c>
      <c r="F313" s="339">
        <f t="shared" si="112"/>
        <v>3.2979285058842907E-2</v>
      </c>
      <c r="G313" s="338">
        <f t="shared" si="113"/>
        <v>1</v>
      </c>
      <c r="H313" s="339">
        <f t="shared" si="114"/>
        <v>0</v>
      </c>
      <c r="I313" s="337">
        <f t="shared" si="115"/>
        <v>13199.900947563312</v>
      </c>
      <c r="J313" s="340">
        <f t="shared" si="116"/>
        <v>1.5707205686505796</v>
      </c>
      <c r="K313" s="348">
        <f t="shared" si="132"/>
        <v>3.5461410998416003</v>
      </c>
      <c r="L313" s="349">
        <f t="shared" si="133"/>
        <v>1.2849217148314775</v>
      </c>
      <c r="M313" s="337">
        <f t="shared" si="117"/>
        <v>1.0198878547273378</v>
      </c>
      <c r="N313" s="340">
        <f t="shared" si="118"/>
        <v>0.19780671195228594</v>
      </c>
      <c r="O313" s="341">
        <f t="shared" si="119"/>
        <v>1.0010405873773145</v>
      </c>
      <c r="P313" s="342">
        <f t="shared" si="120"/>
        <v>0.28577303658334685</v>
      </c>
      <c r="Q313" s="343">
        <f t="shared" si="121"/>
        <v>9.5532073003504827</v>
      </c>
      <c r="R313" s="344">
        <f t="shared" si="122"/>
        <v>-120.76916316371089</v>
      </c>
      <c r="S313" s="346">
        <f t="shared" si="123"/>
        <v>59.230836836289114</v>
      </c>
      <c r="U313" s="319">
        <f t="shared" si="129"/>
        <v>1000000000</v>
      </c>
      <c r="V313" s="319">
        <f t="shared" si="130"/>
        <v>478646884</v>
      </c>
      <c r="X313" s="345">
        <f t="shared" si="124"/>
        <v>26.119882795520823</v>
      </c>
      <c r="Y313" s="346">
        <f t="shared" si="125"/>
        <v>-27.708557899398521</v>
      </c>
      <c r="AA313" s="345">
        <f t="shared" si="126"/>
        <v>45.673065839219632</v>
      </c>
      <c r="AB313" s="346">
        <f t="shared" si="127"/>
        <v>-93.060605264312329</v>
      </c>
      <c r="AD313">
        <f t="shared" si="131"/>
        <v>0</v>
      </c>
      <c r="AE313">
        <f t="shared" si="134"/>
        <v>0</v>
      </c>
    </row>
    <row r="314" spans="1:31" x14ac:dyDescent="0.25">
      <c r="A314" s="347">
        <v>22005.25</v>
      </c>
      <c r="B314" s="364">
        <f t="shared" si="128"/>
        <v>22.00525</v>
      </c>
      <c r="C314" s="337">
        <f t="shared" si="109"/>
        <v>5.0772481810497974</v>
      </c>
      <c r="D314" s="338">
        <f t="shared" si="110"/>
        <v>1.3725430896413242</v>
      </c>
      <c r="E314" s="338">
        <f t="shared" si="111"/>
        <v>1.0005504087558679</v>
      </c>
      <c r="F314" s="339">
        <f t="shared" si="112"/>
        <v>3.3170963694793089E-2</v>
      </c>
      <c r="G314" s="338">
        <f t="shared" si="113"/>
        <v>1</v>
      </c>
      <c r="H314" s="339">
        <f t="shared" si="114"/>
        <v>0</v>
      </c>
      <c r="I314" s="337">
        <f t="shared" si="115"/>
        <v>13276.676127468472</v>
      </c>
      <c r="J314" s="340">
        <f t="shared" si="116"/>
        <v>1.5707210067380282</v>
      </c>
      <c r="K314" s="348">
        <f t="shared" si="132"/>
        <v>3.5651308578097129</v>
      </c>
      <c r="L314" s="349">
        <f t="shared" si="133"/>
        <v>1.2864869570456878</v>
      </c>
      <c r="M314" s="337">
        <f t="shared" si="117"/>
        <v>1.020117588693074</v>
      </c>
      <c r="N314" s="340">
        <f t="shared" si="118"/>
        <v>0.19892719478405696</v>
      </c>
      <c r="O314" s="341">
        <f t="shared" si="119"/>
        <v>1.001061945669252</v>
      </c>
      <c r="P314" s="342">
        <f t="shared" si="120"/>
        <v>0.28747608882746206</v>
      </c>
      <c r="Q314" s="343">
        <f t="shared" si="121"/>
        <v>9.4987274973908491</v>
      </c>
      <c r="R314" s="344">
        <f t="shared" si="122"/>
        <v>-120.89463688587074</v>
      </c>
      <c r="S314" s="346">
        <f t="shared" si="123"/>
        <v>59.105363114129261</v>
      </c>
      <c r="U314" s="319">
        <f t="shared" si="129"/>
        <v>1000000000</v>
      </c>
      <c r="V314" s="319">
        <f t="shared" si="130"/>
        <v>484231027.5625</v>
      </c>
      <c r="X314" s="345">
        <f t="shared" si="124"/>
        <v>26.113941968564049</v>
      </c>
      <c r="Y314" s="346">
        <f t="shared" si="125"/>
        <v>-27.683100164418676</v>
      </c>
      <c r="AA314" s="345">
        <f t="shared" si="126"/>
        <v>45.624526863216779</v>
      </c>
      <c r="AB314" s="346">
        <f t="shared" si="127"/>
        <v>-93.211536721452021</v>
      </c>
      <c r="AD314">
        <f t="shared" si="131"/>
        <v>0</v>
      </c>
      <c r="AE314">
        <f t="shared" si="134"/>
        <v>0</v>
      </c>
    </row>
    <row r="315" spans="1:31" x14ac:dyDescent="0.25">
      <c r="A315" s="347">
        <v>22132.5</v>
      </c>
      <c r="B315" s="364">
        <f t="shared" si="128"/>
        <v>22.1325</v>
      </c>
      <c r="C315" s="337">
        <f t="shared" si="109"/>
        <v>5.1054726416358305</v>
      </c>
      <c r="D315" s="338">
        <f t="shared" si="110"/>
        <v>1.3736535531390737</v>
      </c>
      <c r="E315" s="338">
        <f t="shared" si="111"/>
        <v>1.0005567910945434</v>
      </c>
      <c r="F315" s="339">
        <f t="shared" si="112"/>
        <v>3.3362639892431122E-2</v>
      </c>
      <c r="G315" s="338">
        <f t="shared" si="113"/>
        <v>1</v>
      </c>
      <c r="H315" s="339">
        <f t="shared" si="114"/>
        <v>0</v>
      </c>
      <c r="I315" s="337">
        <f t="shared" si="115"/>
        <v>13353.45130737615</v>
      </c>
      <c r="J315" s="340">
        <f t="shared" si="116"/>
        <v>1.5707214397879412</v>
      </c>
      <c r="K315" s="348">
        <f t="shared" si="132"/>
        <v>3.5841292577201393</v>
      </c>
      <c r="L315" s="349">
        <f t="shared" si="133"/>
        <v>1.2880356092566181</v>
      </c>
      <c r="M315" s="337">
        <f t="shared" si="117"/>
        <v>1.0203486028201918</v>
      </c>
      <c r="N315" s="340">
        <f t="shared" si="118"/>
        <v>0.20004717165096234</v>
      </c>
      <c r="O315" s="341">
        <f t="shared" si="119"/>
        <v>1.0010836419740894</v>
      </c>
      <c r="P315" s="342">
        <f t="shared" si="120"/>
        <v>0.28917982586952623</v>
      </c>
      <c r="Q315" s="343">
        <f t="shared" si="121"/>
        <v>9.4445571201903888</v>
      </c>
      <c r="R315" s="344">
        <f t="shared" si="122"/>
        <v>-121.02035998642975</v>
      </c>
      <c r="S315" s="346">
        <f t="shared" si="123"/>
        <v>58.979640013570247</v>
      </c>
      <c r="U315" s="319">
        <f t="shared" si="129"/>
        <v>1000000000</v>
      </c>
      <c r="V315" s="319">
        <f t="shared" si="130"/>
        <v>489847556.25</v>
      </c>
      <c r="X315" s="345">
        <f t="shared" si="124"/>
        <v>26.108055648100546</v>
      </c>
      <c r="Y315" s="346">
        <f t="shared" si="125"/>
        <v>-27.658563688329036</v>
      </c>
      <c r="AA315" s="345">
        <f t="shared" si="126"/>
        <v>45.576242806479819</v>
      </c>
      <c r="AB315" s="346">
        <f t="shared" si="127"/>
        <v>-93.361796298100685</v>
      </c>
      <c r="AD315">
        <f t="shared" si="131"/>
        <v>0</v>
      </c>
      <c r="AE315">
        <f t="shared" si="134"/>
        <v>0</v>
      </c>
    </row>
    <row r="316" spans="1:31" x14ac:dyDescent="0.25">
      <c r="A316" s="347">
        <v>22259.75</v>
      </c>
      <c r="B316" s="364">
        <f t="shared" si="128"/>
        <v>22.25975</v>
      </c>
      <c r="C316" s="337">
        <f t="shared" si="109"/>
        <v>5.1337033286986262</v>
      </c>
      <c r="D316" s="338">
        <f t="shared" si="110"/>
        <v>1.3747518049054361</v>
      </c>
      <c r="E316" s="338">
        <f t="shared" si="111"/>
        <v>1.0005632101929702</v>
      </c>
      <c r="F316" s="339">
        <f t="shared" si="112"/>
        <v>3.3554313637719532E-2</v>
      </c>
      <c r="G316" s="338">
        <f t="shared" si="113"/>
        <v>1</v>
      </c>
      <c r="H316" s="339">
        <f t="shared" si="114"/>
        <v>0</v>
      </c>
      <c r="I316" s="337">
        <f t="shared" si="115"/>
        <v>13430.226487286303</v>
      </c>
      <c r="J316" s="340">
        <f t="shared" si="116"/>
        <v>1.5707218678867114</v>
      </c>
      <c r="K316" s="348">
        <f t="shared" si="132"/>
        <v>3.6031361628727381</v>
      </c>
      <c r="L316" s="349">
        <f t="shared" si="133"/>
        <v>1.2895679265183919</v>
      </c>
      <c r="M316" s="337">
        <f t="shared" si="117"/>
        <v>1.0205808962393761</v>
      </c>
      <c r="N316" s="340">
        <f t="shared" si="118"/>
        <v>0.20116664008786198</v>
      </c>
      <c r="O316" s="341">
        <f t="shared" si="119"/>
        <v>1.0011056799927747</v>
      </c>
      <c r="P316" s="342">
        <f t="shared" si="120"/>
        <v>0.29088425087513908</v>
      </c>
      <c r="Q316" s="343">
        <f t="shared" si="121"/>
        <v>9.3906921613666903</v>
      </c>
      <c r="R316" s="344">
        <f t="shared" si="122"/>
        <v>-121.14632947330925</v>
      </c>
      <c r="S316" s="346">
        <f t="shared" si="123"/>
        <v>58.853670526690749</v>
      </c>
      <c r="U316" s="319">
        <f t="shared" si="129"/>
        <v>1000000000</v>
      </c>
      <c r="V316" s="319">
        <f t="shared" si="130"/>
        <v>495496470.0625</v>
      </c>
      <c r="X316" s="345">
        <f t="shared" si="124"/>
        <v>26.102222462021309</v>
      </c>
      <c r="Y316" s="346">
        <f t="shared" si="125"/>
        <v>-27.634933721312553</v>
      </c>
      <c r="AA316" s="345">
        <f t="shared" si="126"/>
        <v>45.52821103373536</v>
      </c>
      <c r="AB316" s="346">
        <f t="shared" si="127"/>
        <v>-93.511395751996687</v>
      </c>
      <c r="AD316">
        <f t="shared" si="131"/>
        <v>0</v>
      </c>
      <c r="AE316">
        <f t="shared" si="134"/>
        <v>0</v>
      </c>
    </row>
    <row r="317" spans="1:31" x14ac:dyDescent="0.25">
      <c r="A317" s="347">
        <v>22387</v>
      </c>
      <c r="B317" s="364">
        <f t="shared" si="128"/>
        <v>22.387</v>
      </c>
      <c r="C317" s="337">
        <f t="shared" si="109"/>
        <v>5.1619401400802527</v>
      </c>
      <c r="D317" s="338">
        <f t="shared" si="110"/>
        <v>1.3758380426707155</v>
      </c>
      <c r="E317" s="338">
        <f t="shared" si="111"/>
        <v>1.0005696660504411</v>
      </c>
      <c r="F317" s="339">
        <f t="shared" si="112"/>
        <v>3.3745984916621903E-2</v>
      </c>
      <c r="G317" s="338">
        <f t="shared" si="113"/>
        <v>1</v>
      </c>
      <c r="H317" s="339">
        <f t="shared" si="114"/>
        <v>0</v>
      </c>
      <c r="I317" s="337">
        <f t="shared" si="115"/>
        <v>13507.001667198892</v>
      </c>
      <c r="J317" s="340">
        <f t="shared" si="116"/>
        <v>1.570722291118767</v>
      </c>
      <c r="K317" s="348">
        <f t="shared" si="132"/>
        <v>3.6221514393760943</v>
      </c>
      <c r="L317" s="349">
        <f t="shared" si="133"/>
        <v>1.2910841588397264</v>
      </c>
      <c r="M317" s="337">
        <f t="shared" si="117"/>
        <v>1.0208144680772919</v>
      </c>
      <c r="N317" s="340">
        <f t="shared" si="118"/>
        <v>0.20228559763695075</v>
      </c>
      <c r="O317" s="341">
        <f t="shared" si="119"/>
        <v>1.0011280634470472</v>
      </c>
      <c r="P317" s="342">
        <f t="shared" si="120"/>
        <v>0.29258936699536409</v>
      </c>
      <c r="Q317" s="343">
        <f t="shared" si="121"/>
        <v>9.3371286868843626</v>
      </c>
      <c r="R317" s="344">
        <f t="shared" si="122"/>
        <v>-121.27254239653917</v>
      </c>
      <c r="S317" s="346">
        <f t="shared" si="123"/>
        <v>58.727457603460834</v>
      </c>
      <c r="U317" s="319">
        <f t="shared" si="129"/>
        <v>1000000000</v>
      </c>
      <c r="V317" s="319">
        <f t="shared" si="130"/>
        <v>501177769</v>
      </c>
      <c r="X317" s="345">
        <f t="shared" si="124"/>
        <v>26.096441074617669</v>
      </c>
      <c r="Y317" s="346">
        <f t="shared" si="125"/>
        <v>-27.612195802940406</v>
      </c>
      <c r="AA317" s="345">
        <f t="shared" si="126"/>
        <v>45.480428946656673</v>
      </c>
      <c r="AB317" s="346">
        <f t="shared" si="127"/>
        <v>-93.660346593598746</v>
      </c>
      <c r="AD317">
        <f t="shared" si="131"/>
        <v>0</v>
      </c>
      <c r="AE317">
        <f t="shared" si="134"/>
        <v>0</v>
      </c>
    </row>
    <row r="318" spans="1:31" x14ac:dyDescent="0.25">
      <c r="A318" s="347">
        <v>22517.5</v>
      </c>
      <c r="B318" s="364">
        <f t="shared" si="128"/>
        <v>22.517499999999998</v>
      </c>
      <c r="C318" s="337">
        <f t="shared" si="109"/>
        <v>5.1909043836443924</v>
      </c>
      <c r="D318" s="338">
        <f t="shared" si="110"/>
        <v>1.3769397477694136</v>
      </c>
      <c r="E318" s="338">
        <f t="shared" si="111"/>
        <v>1.000576324970829</v>
      </c>
      <c r="F318" s="339">
        <f t="shared" si="112"/>
        <v>3.3942548956326049E-2</v>
      </c>
      <c r="G318" s="338">
        <f t="shared" si="113"/>
        <v>1</v>
      </c>
      <c r="H318" s="339">
        <f t="shared" si="114"/>
        <v>0</v>
      </c>
      <c r="I318" s="337">
        <f t="shared" si="115"/>
        <v>13585.737706325875</v>
      </c>
      <c r="J318" s="340">
        <f t="shared" si="116"/>
        <v>1.5707227201919636</v>
      </c>
      <c r="K318" s="348">
        <f t="shared" si="132"/>
        <v>3.6416609287005315</v>
      </c>
      <c r="L318" s="349">
        <f t="shared" si="133"/>
        <v>1.2926226664315419</v>
      </c>
      <c r="M318" s="337">
        <f t="shared" si="117"/>
        <v>1.0210553322976097</v>
      </c>
      <c r="N318" s="340">
        <f t="shared" si="118"/>
        <v>0.20343260047611025</v>
      </c>
      <c r="O318" s="341">
        <f t="shared" si="119"/>
        <v>1.001151381283278</v>
      </c>
      <c r="P318" s="342">
        <f t="shared" si="120"/>
        <v>0.29433875335243592</v>
      </c>
      <c r="Q318" s="343">
        <f t="shared" si="121"/>
        <v>9.2825062738155193</v>
      </c>
      <c r="R318" s="344">
        <f t="shared" si="122"/>
        <v>-121.40222862832645</v>
      </c>
      <c r="S318" s="346">
        <f t="shared" si="123"/>
        <v>58.597771371673545</v>
      </c>
      <c r="U318" s="319">
        <f t="shared" si="129"/>
        <v>1000000000</v>
      </c>
      <c r="V318" s="319">
        <f t="shared" si="130"/>
        <v>507037806.25</v>
      </c>
      <c r="X318" s="345">
        <f t="shared" si="124"/>
        <v>26.090564467044114</v>
      </c>
      <c r="Y318" s="346">
        <f t="shared" si="125"/>
        <v>-27.589788817011566</v>
      </c>
      <c r="AA318" s="345">
        <f t="shared" si="126"/>
        <v>45.431683141161379</v>
      </c>
      <c r="AB318" s="346">
        <f t="shared" si="127"/>
        <v>-93.812439811314874</v>
      </c>
      <c r="AD318">
        <f t="shared" si="131"/>
        <v>0</v>
      </c>
      <c r="AE318">
        <f t="shared" si="134"/>
        <v>0</v>
      </c>
    </row>
    <row r="319" spans="1:31" x14ac:dyDescent="0.25">
      <c r="A319" s="347">
        <v>22648</v>
      </c>
      <c r="B319" s="364">
        <f t="shared" si="128"/>
        <v>22.648</v>
      </c>
      <c r="C319" s="337">
        <f t="shared" si="109"/>
        <v>5.2198748577649923</v>
      </c>
      <c r="D319" s="338">
        <f t="shared" si="110"/>
        <v>1.3780292251804758</v>
      </c>
      <c r="E319" s="338">
        <f t="shared" si="111"/>
        <v>1.0005830225503909</v>
      </c>
      <c r="F319" s="339">
        <f t="shared" si="112"/>
        <v>3.4139110372152358E-2</v>
      </c>
      <c r="G319" s="338">
        <f t="shared" si="113"/>
        <v>1</v>
      </c>
      <c r="H319" s="339">
        <f t="shared" si="114"/>
        <v>0</v>
      </c>
      <c r="I319" s="337">
        <f t="shared" si="115"/>
        <v>13664.473745455331</v>
      </c>
      <c r="J319" s="340">
        <f t="shared" si="116"/>
        <v>1.5707231443204361</v>
      </c>
      <c r="K319" s="348">
        <f t="shared" si="132"/>
        <v>3.6611789459792154</v>
      </c>
      <c r="L319" s="349">
        <f t="shared" si="133"/>
        <v>1.2941447737974454</v>
      </c>
      <c r="M319" s="337">
        <f t="shared" si="117"/>
        <v>1.0212975391995125</v>
      </c>
      <c r="N319" s="340">
        <f t="shared" si="118"/>
        <v>0.20457906078562463</v>
      </c>
      <c r="O319" s="341">
        <f t="shared" si="119"/>
        <v>1.0011750704210274</v>
      </c>
      <c r="P319" s="342">
        <f t="shared" si="120"/>
        <v>0.29608887324288474</v>
      </c>
      <c r="Q319" s="343">
        <f t="shared" si="121"/>
        <v>9.2281927900299809</v>
      </c>
      <c r="R319" s="344">
        <f t="shared" si="122"/>
        <v>-121.53216473968011</v>
      </c>
      <c r="S319" s="346">
        <f t="shared" si="123"/>
        <v>58.467835260319887</v>
      </c>
      <c r="U319" s="319">
        <f t="shared" si="129"/>
        <v>1000000000</v>
      </c>
      <c r="V319" s="319">
        <f t="shared" si="130"/>
        <v>512931904</v>
      </c>
      <c r="X319" s="345">
        <f t="shared" si="124"/>
        <v>26.084739604989558</v>
      </c>
      <c r="Y319" s="346">
        <f t="shared" si="125"/>
        <v>-27.568290126840839</v>
      </c>
      <c r="AA319" s="345">
        <f t="shared" si="126"/>
        <v>45.383194519430397</v>
      </c>
      <c r="AB319" s="346">
        <f t="shared" si="127"/>
        <v>-93.963874612839263</v>
      </c>
      <c r="AD319">
        <f t="shared" si="131"/>
        <v>0</v>
      </c>
      <c r="AE319">
        <f t="shared" si="134"/>
        <v>0</v>
      </c>
    </row>
    <row r="320" spans="1:31" x14ac:dyDescent="0.25">
      <c r="A320" s="347">
        <v>22778.5</v>
      </c>
      <c r="B320" s="364">
        <f t="shared" si="128"/>
        <v>22.778500000000001</v>
      </c>
      <c r="C320" s="337">
        <f t="shared" si="109"/>
        <v>5.248851459275385</v>
      </c>
      <c r="D320" s="338">
        <f t="shared" si="110"/>
        <v>1.3791066748069847</v>
      </c>
      <c r="E320" s="338">
        <f t="shared" si="111"/>
        <v>1.0005897587883505</v>
      </c>
      <c r="F320" s="339">
        <f t="shared" si="112"/>
        <v>3.4335669148964819E-2</v>
      </c>
      <c r="G320" s="338">
        <f t="shared" si="113"/>
        <v>1</v>
      </c>
      <c r="H320" s="339">
        <f t="shared" si="114"/>
        <v>0</v>
      </c>
      <c r="I320" s="337">
        <f t="shared" si="115"/>
        <v>13743.209784587219</v>
      </c>
      <c r="J320" s="340">
        <f t="shared" si="116"/>
        <v>1.5707235635891712</v>
      </c>
      <c r="K320" s="348">
        <f t="shared" si="132"/>
        <v>3.6807053555462299</v>
      </c>
      <c r="L320" s="349">
        <f t="shared" si="133"/>
        <v>1.2956507348410746</v>
      </c>
      <c r="M320" s="337">
        <f t="shared" si="117"/>
        <v>1.0215410878279532</v>
      </c>
      <c r="N320" s="340">
        <f t="shared" si="118"/>
        <v>0.20572497593872177</v>
      </c>
      <c r="O320" s="341">
        <f t="shared" si="119"/>
        <v>1.0011991349425822</v>
      </c>
      <c r="P320" s="342">
        <f t="shared" si="120"/>
        <v>0.29783973001710168</v>
      </c>
      <c r="Q320" s="343">
        <f t="shared" si="121"/>
        <v>9.1741842211605142</v>
      </c>
      <c r="R320" s="344">
        <f t="shared" si="122"/>
        <v>-121.66234768379314</v>
      </c>
      <c r="S320" s="346">
        <f t="shared" si="123"/>
        <v>58.337652316206857</v>
      </c>
      <c r="U320" s="319">
        <f t="shared" si="129"/>
        <v>1000000000</v>
      </c>
      <c r="V320" s="319">
        <f t="shared" si="130"/>
        <v>518860062.25</v>
      </c>
      <c r="X320" s="345">
        <f t="shared" si="124"/>
        <v>26.078965159794819</v>
      </c>
      <c r="Y320" s="346">
        <f t="shared" si="125"/>
        <v>-27.547685039187783</v>
      </c>
      <c r="AA320" s="345">
        <f t="shared" si="126"/>
        <v>45.334960395755672</v>
      </c>
      <c r="AB320" s="346">
        <f t="shared" si="127"/>
        <v>-94.114662644605374</v>
      </c>
      <c r="AD320">
        <f t="shared" si="131"/>
        <v>0</v>
      </c>
      <c r="AE320">
        <f t="shared" si="134"/>
        <v>0</v>
      </c>
    </row>
    <row r="321" spans="1:31" x14ac:dyDescent="0.25">
      <c r="A321" s="347">
        <v>22909</v>
      </c>
      <c r="B321" s="364">
        <f t="shared" si="128"/>
        <v>22.908999999999999</v>
      </c>
      <c r="C321" s="337">
        <f t="shared" si="109"/>
        <v>5.2778340872529608</v>
      </c>
      <c r="D321" s="338">
        <f t="shared" si="110"/>
        <v>1.3801722922741457</v>
      </c>
      <c r="E321" s="338">
        <f t="shared" si="111"/>
        <v>1.0005965336839271</v>
      </c>
      <c r="F321" s="339">
        <f t="shared" si="112"/>
        <v>3.4532225271628664E-2</v>
      </c>
      <c r="G321" s="338">
        <f t="shared" si="113"/>
        <v>1</v>
      </c>
      <c r="H321" s="339">
        <f t="shared" si="114"/>
        <v>0</v>
      </c>
      <c r="I321" s="337">
        <f t="shared" si="115"/>
        <v>13821.945823721493</v>
      </c>
      <c r="J321" s="340">
        <f t="shared" si="116"/>
        <v>1.5707239780812188</v>
      </c>
      <c r="K321" s="348">
        <f t="shared" si="132"/>
        <v>3.7002400245416074</v>
      </c>
      <c r="L321" s="349">
        <f t="shared" si="133"/>
        <v>1.2971407984007526</v>
      </c>
      <c r="M321" s="337">
        <f t="shared" si="117"/>
        <v>1.0217859772235063</v>
      </c>
      <c r="N321" s="340">
        <f t="shared" si="118"/>
        <v>0.20687034331685397</v>
      </c>
      <c r="O321" s="341">
        <f t="shared" si="119"/>
        <v>1.0012235789531603</v>
      </c>
      <c r="P321" s="342">
        <f t="shared" si="120"/>
        <v>0.29959132700893021</v>
      </c>
      <c r="Q321" s="343">
        <f t="shared" si="121"/>
        <v>9.1204766263802046</v>
      </c>
      <c r="R321" s="344">
        <f t="shared" si="122"/>
        <v>-121.79277445838756</v>
      </c>
      <c r="S321" s="346">
        <f t="shared" si="123"/>
        <v>58.207225541612445</v>
      </c>
      <c r="U321" s="319">
        <f t="shared" si="129"/>
        <v>1000000000</v>
      </c>
      <c r="V321" s="319">
        <f t="shared" si="130"/>
        <v>524822281</v>
      </c>
      <c r="X321" s="345">
        <f t="shared" si="124"/>
        <v>26.073239838298466</v>
      </c>
      <c r="Y321" s="346">
        <f t="shared" si="125"/>
        <v>-27.527959151393357</v>
      </c>
      <c r="AA321" s="345">
        <f t="shared" si="126"/>
        <v>45.286978122471723</v>
      </c>
      <c r="AB321" s="346">
        <f t="shared" si="127"/>
        <v>-94.264815306994194</v>
      </c>
      <c r="AD321">
        <f t="shared" si="131"/>
        <v>0</v>
      </c>
      <c r="AE321">
        <f t="shared" si="134"/>
        <v>0</v>
      </c>
    </row>
    <row r="322" spans="1:31" x14ac:dyDescent="0.25">
      <c r="A322" s="347">
        <v>23042.25</v>
      </c>
      <c r="B322" s="364">
        <f t="shared" si="128"/>
        <v>23.042249999999999</v>
      </c>
      <c r="C322" s="337">
        <f t="shared" si="109"/>
        <v>5.3074335759759927</v>
      </c>
      <c r="D322" s="338">
        <f t="shared" si="110"/>
        <v>1.381248355409666</v>
      </c>
      <c r="E322" s="338">
        <f t="shared" si="111"/>
        <v>1.0006034912328228</v>
      </c>
      <c r="F322" s="339">
        <f t="shared" si="112"/>
        <v>3.4732920627193312E-2</v>
      </c>
      <c r="G322" s="338">
        <f t="shared" si="113"/>
        <v>1</v>
      </c>
      <c r="H322" s="339">
        <f t="shared" si="114"/>
        <v>0</v>
      </c>
      <c r="I322" s="337">
        <f t="shared" si="115"/>
        <v>13902.341051422323</v>
      </c>
      <c r="J322" s="340">
        <f t="shared" si="116"/>
        <v>1.5707243964633673</v>
      </c>
      <c r="K322" s="348">
        <f t="shared" si="132"/>
        <v>3.7201947307908396</v>
      </c>
      <c r="L322" s="349">
        <f t="shared" si="133"/>
        <v>1.2986461116462114</v>
      </c>
      <c r="M322" s="337">
        <f t="shared" si="117"/>
        <v>1.0220374095674658</v>
      </c>
      <c r="N322" s="340">
        <f t="shared" si="118"/>
        <v>0.20803927886558857</v>
      </c>
      <c r="O322" s="341">
        <f t="shared" si="119"/>
        <v>1.0012489339256132</v>
      </c>
      <c r="P322" s="342">
        <f t="shared" si="120"/>
        <v>0.30138060227484231</v>
      </c>
      <c r="Q322" s="343">
        <f t="shared" si="121"/>
        <v>9.0659437969417418</v>
      </c>
      <c r="R322" s="344">
        <f t="shared" si="122"/>
        <v>-121.92619820816384</v>
      </c>
      <c r="S322" s="346">
        <f t="shared" si="123"/>
        <v>58.073801791836161</v>
      </c>
      <c r="U322" s="319">
        <f t="shared" si="129"/>
        <v>1000000000</v>
      </c>
      <c r="V322" s="319">
        <f t="shared" si="130"/>
        <v>530945285.0625</v>
      </c>
      <c r="X322" s="345">
        <f t="shared" si="124"/>
        <v>26.067443247858002</v>
      </c>
      <c r="Y322" s="346">
        <f t="shared" si="125"/>
        <v>-27.508710100558066</v>
      </c>
      <c r="AA322" s="345">
        <f t="shared" si="126"/>
        <v>45.238241883473719</v>
      </c>
      <c r="AB322" s="346">
        <f t="shared" si="127"/>
        <v>-94.417488107605763</v>
      </c>
      <c r="AD322">
        <f t="shared" si="131"/>
        <v>0</v>
      </c>
      <c r="AE322">
        <f t="shared" si="134"/>
        <v>0</v>
      </c>
    </row>
    <row r="323" spans="1:31" x14ac:dyDescent="0.25">
      <c r="A323" s="347">
        <v>23175.5</v>
      </c>
      <c r="B323" s="364">
        <f t="shared" si="128"/>
        <v>23.1755</v>
      </c>
      <c r="C323" s="337">
        <f t="shared" si="109"/>
        <v>5.3370391420682912</v>
      </c>
      <c r="D323" s="338">
        <f t="shared" si="110"/>
        <v>1.3823124815142955</v>
      </c>
      <c r="E323" s="338">
        <f t="shared" si="111"/>
        <v>1.0006104890840903</v>
      </c>
      <c r="F323" s="339">
        <f t="shared" si="112"/>
        <v>3.4933613183682738E-2</v>
      </c>
      <c r="G323" s="338">
        <f t="shared" si="113"/>
        <v>1</v>
      </c>
      <c r="H323" s="339">
        <f t="shared" si="114"/>
        <v>0</v>
      </c>
      <c r="I323" s="337">
        <f t="shared" si="115"/>
        <v>13982.736279125556</v>
      </c>
      <c r="J323" s="340">
        <f t="shared" si="116"/>
        <v>1.5707248100344506</v>
      </c>
      <c r="K323" s="348">
        <f t="shared" si="132"/>
        <v>3.7401577769203267</v>
      </c>
      <c r="L323" s="349">
        <f t="shared" si="133"/>
        <v>1.3001353590544433</v>
      </c>
      <c r="M323" s="337">
        <f t="shared" si="117"/>
        <v>1.0222902377458241</v>
      </c>
      <c r="N323" s="340">
        <f t="shared" si="118"/>
        <v>0.20920763781846333</v>
      </c>
      <c r="O323" s="341">
        <f t="shared" si="119"/>
        <v>1.0012746932726972</v>
      </c>
      <c r="P323" s="342">
        <f t="shared" si="120"/>
        <v>0.30317065625564465</v>
      </c>
      <c r="Q323" s="343">
        <f t="shared" si="121"/>
        <v>9.01171668284465</v>
      </c>
      <c r="R323" s="344">
        <f t="shared" si="122"/>
        <v>-122.05986998640674</v>
      </c>
      <c r="S323" s="346">
        <f t="shared" si="123"/>
        <v>57.940130013593262</v>
      </c>
      <c r="U323" s="319">
        <f t="shared" si="129"/>
        <v>1000000000</v>
      </c>
      <c r="V323" s="319">
        <f t="shared" si="130"/>
        <v>537103800.25</v>
      </c>
      <c r="X323" s="345">
        <f t="shared" si="124"/>
        <v>26.061695256843237</v>
      </c>
      <c r="Y323" s="346">
        <f t="shared" si="125"/>
        <v>-27.490348242228254</v>
      </c>
      <c r="AA323" s="345">
        <f t="shared" si="126"/>
        <v>45.189762760391389</v>
      </c>
      <c r="AB323" s="346">
        <f t="shared" si="127"/>
        <v>-94.569521744178473</v>
      </c>
      <c r="AD323">
        <f t="shared" si="131"/>
        <v>0</v>
      </c>
      <c r="AE323">
        <f t="shared" si="134"/>
        <v>0</v>
      </c>
    </row>
    <row r="324" spans="1:31" x14ac:dyDescent="0.25">
      <c r="A324" s="347">
        <v>23308.75</v>
      </c>
      <c r="B324" s="364">
        <f t="shared" si="128"/>
        <v>23.30875</v>
      </c>
      <c r="C324" s="337">
        <f t="shared" si="109"/>
        <v>5.3666506849509474</v>
      </c>
      <c r="D324" s="338">
        <f t="shared" si="110"/>
        <v>1.3833648657526114</v>
      </c>
      <c r="E324" s="338">
        <f t="shared" si="111"/>
        <v>1.0006175272368847</v>
      </c>
      <c r="F324" s="339">
        <f t="shared" si="112"/>
        <v>3.5134302924989036E-2</v>
      </c>
      <c r="G324" s="338">
        <f t="shared" si="113"/>
        <v>1</v>
      </c>
      <c r="H324" s="339">
        <f t="shared" si="114"/>
        <v>0</v>
      </c>
      <c r="I324" s="337">
        <f t="shared" si="115"/>
        <v>14063.131506831158</v>
      </c>
      <c r="J324" s="340">
        <f t="shared" si="116"/>
        <v>1.5707252188769798</v>
      </c>
      <c r="K324" s="348">
        <f t="shared" si="132"/>
        <v>3.7601290300973296</v>
      </c>
      <c r="L324" s="349">
        <f t="shared" si="133"/>
        <v>1.3016087899588971</v>
      </c>
      <c r="M324" s="337">
        <f t="shared" si="117"/>
        <v>1.0225444607232039</v>
      </c>
      <c r="N324" s="340">
        <f t="shared" si="118"/>
        <v>0.21037541741459667</v>
      </c>
      <c r="O324" s="341">
        <f t="shared" si="119"/>
        <v>1.0013008614385472</v>
      </c>
      <c r="P324" s="342">
        <f t="shared" si="120"/>
        <v>0.30496149244622989</v>
      </c>
      <c r="Q324" s="343">
        <f t="shared" si="121"/>
        <v>8.9577913148088797</v>
      </c>
      <c r="R324" s="344">
        <f t="shared" si="122"/>
        <v>-122.19378673717475</v>
      </c>
      <c r="S324" s="346">
        <f t="shared" si="123"/>
        <v>57.806213262825253</v>
      </c>
      <c r="U324" s="319">
        <f t="shared" si="129"/>
        <v>1000000000</v>
      </c>
      <c r="V324" s="319">
        <f t="shared" si="130"/>
        <v>543297826.5625</v>
      </c>
      <c r="X324" s="345">
        <f t="shared" si="124"/>
        <v>26.055994596170041</v>
      </c>
      <c r="Y324" s="346">
        <f t="shared" si="125"/>
        <v>-27.472859137190266</v>
      </c>
      <c r="AA324" s="345">
        <f t="shared" si="126"/>
        <v>45.141538053028818</v>
      </c>
      <c r="AB324" s="346">
        <f t="shared" si="127"/>
        <v>-94.720927599984464</v>
      </c>
      <c r="AD324">
        <f t="shared" si="131"/>
        <v>0</v>
      </c>
      <c r="AE324">
        <f t="shared" si="134"/>
        <v>0</v>
      </c>
    </row>
    <row r="325" spans="1:31" x14ac:dyDescent="0.25">
      <c r="A325" s="347">
        <v>23442</v>
      </c>
      <c r="B325" s="364">
        <f t="shared" si="128"/>
        <v>23.442</v>
      </c>
      <c r="C325" s="337">
        <f t="shared" si="109"/>
        <v>5.3962681062326414</v>
      </c>
      <c r="D325" s="338">
        <f t="shared" si="110"/>
        <v>1.3844056991098841</v>
      </c>
      <c r="E325" s="338">
        <f t="shared" si="111"/>
        <v>1.0006246056903552</v>
      </c>
      <c r="F325" s="339">
        <f t="shared" si="112"/>
        <v>3.5334989835005673E-2</v>
      </c>
      <c r="G325" s="338">
        <f t="shared" si="113"/>
        <v>1</v>
      </c>
      <c r="H325" s="339">
        <f t="shared" si="114"/>
        <v>0</v>
      </c>
      <c r="I325" s="337">
        <f t="shared" si="115"/>
        <v>14143.52673453908</v>
      </c>
      <c r="J325" s="340">
        <f t="shared" si="116"/>
        <v>1.5707256230715889</v>
      </c>
      <c r="K325" s="348">
        <f t="shared" si="132"/>
        <v>3.7801083602422283</v>
      </c>
      <c r="L325" s="349">
        <f t="shared" si="133"/>
        <v>1.3030666486996898</v>
      </c>
      <c r="M325" s="337">
        <f t="shared" si="117"/>
        <v>1.0228000774595489</v>
      </c>
      <c r="N325" s="340">
        <f t="shared" si="118"/>
        <v>0.21154261490216494</v>
      </c>
      <c r="O325" s="341">
        <f t="shared" si="119"/>
        <v>1.0013274428921413</v>
      </c>
      <c r="P325" s="342">
        <f t="shared" si="120"/>
        <v>0.30675311432297703</v>
      </c>
      <c r="Q325" s="343">
        <f t="shared" si="121"/>
        <v>8.9041637960066851</v>
      </c>
      <c r="R325" s="344">
        <f t="shared" si="122"/>
        <v>-122.32794545051711</v>
      </c>
      <c r="S325" s="346">
        <f t="shared" si="123"/>
        <v>57.672054549482894</v>
      </c>
      <c r="U325" s="319">
        <f t="shared" si="129"/>
        <v>1000000000</v>
      </c>
      <c r="V325" s="319">
        <f t="shared" si="130"/>
        <v>549527364</v>
      </c>
      <c r="X325" s="345">
        <f t="shared" si="124"/>
        <v>26.050340030756626</v>
      </c>
      <c r="Y325" s="346">
        <f t="shared" si="125"/>
        <v>-27.456228632738718</v>
      </c>
      <c r="AA325" s="345">
        <f t="shared" si="126"/>
        <v>45.093565099640038</v>
      </c>
      <c r="AB325" s="346">
        <f t="shared" si="127"/>
        <v>-94.871716817778378</v>
      </c>
      <c r="AD325">
        <f t="shared" si="131"/>
        <v>0</v>
      </c>
      <c r="AE325">
        <f t="shared" si="134"/>
        <v>0</v>
      </c>
    </row>
    <row r="326" spans="1:31" x14ac:dyDescent="0.25">
      <c r="A326" s="347">
        <v>23578.5</v>
      </c>
      <c r="B326" s="364">
        <f t="shared" si="128"/>
        <v>23.578499999999998</v>
      </c>
      <c r="C326" s="337">
        <f t="shared" si="109"/>
        <v>5.4266138982430716</v>
      </c>
      <c r="D326" s="338">
        <f t="shared" si="110"/>
        <v>1.3854601370967246</v>
      </c>
      <c r="E326" s="338">
        <f t="shared" si="111"/>
        <v>1.0006318985752163</v>
      </c>
      <c r="F326" s="339">
        <f t="shared" si="112"/>
        <v>3.5540568595155149E-2</v>
      </c>
      <c r="G326" s="338">
        <f t="shared" si="113"/>
        <v>1</v>
      </c>
      <c r="H326" s="339">
        <f t="shared" si="114"/>
        <v>0</v>
      </c>
      <c r="I326" s="337">
        <f t="shared" si="115"/>
        <v>14225.882821461759</v>
      </c>
      <c r="J326" s="340">
        <f t="shared" si="116"/>
        <v>1.5707260323876269</v>
      </c>
      <c r="K326" s="348">
        <f t="shared" si="132"/>
        <v>3.8005832328395481</v>
      </c>
      <c r="L326" s="349">
        <f t="shared" si="133"/>
        <v>1.304544168749852</v>
      </c>
      <c r="M326" s="337">
        <f t="shared" si="117"/>
        <v>1.0230633728230636</v>
      </c>
      <c r="N326" s="340">
        <f t="shared" si="118"/>
        <v>0.21273767417581441</v>
      </c>
      <c r="O326" s="341">
        <f t="shared" si="119"/>
        <v>1.0013551059024128</v>
      </c>
      <c r="P326" s="342">
        <f t="shared" si="120"/>
        <v>0.30858925257304448</v>
      </c>
      <c r="Q326" s="343">
        <f t="shared" si="121"/>
        <v>8.8495331246315825</v>
      </c>
      <c r="R326" s="344">
        <f t="shared" si="122"/>
        <v>-122.46562411580527</v>
      </c>
      <c r="S326" s="346">
        <f t="shared" si="123"/>
        <v>57.534375884194731</v>
      </c>
      <c r="U326" s="319">
        <f t="shared" si="129"/>
        <v>1000000000</v>
      </c>
      <c r="V326" s="319">
        <f t="shared" si="130"/>
        <v>555945662.25</v>
      </c>
      <c r="X326" s="345">
        <f t="shared" si="124"/>
        <v>26.044594088092808</v>
      </c>
      <c r="Y326" s="346">
        <f t="shared" si="125"/>
        <v>-27.440068274429553</v>
      </c>
      <c r="AA326" s="345">
        <f t="shared" si="126"/>
        <v>45.044680370928759</v>
      </c>
      <c r="AB326" s="346">
        <f t="shared" si="127"/>
        <v>-95.025555841375706</v>
      </c>
      <c r="AD326">
        <f t="shared" si="131"/>
        <v>0</v>
      </c>
      <c r="AE326">
        <f t="shared" si="134"/>
        <v>0</v>
      </c>
    </row>
    <row r="327" spans="1:31" x14ac:dyDescent="0.25">
      <c r="A327" s="347">
        <v>23715</v>
      </c>
      <c r="B327" s="364">
        <f t="shared" si="128"/>
        <v>23.715</v>
      </c>
      <c r="C327" s="337">
        <f t="shared" si="109"/>
        <v>5.4569656566691451</v>
      </c>
      <c r="D327" s="338">
        <f t="shared" si="110"/>
        <v>1.3865028466193887</v>
      </c>
      <c r="E327" s="338">
        <f t="shared" si="111"/>
        <v>1.0006392337487924</v>
      </c>
      <c r="F327" s="339">
        <f t="shared" si="112"/>
        <v>3.5746144350007558E-2</v>
      </c>
      <c r="G327" s="338">
        <f t="shared" si="113"/>
        <v>1</v>
      </c>
      <c r="H327" s="339">
        <f t="shared" si="114"/>
        <v>0</v>
      </c>
      <c r="I327" s="337">
        <f t="shared" si="115"/>
        <v>14308.238908386797</v>
      </c>
      <c r="J327" s="340">
        <f t="shared" si="116"/>
        <v>1.5707264369917409</v>
      </c>
      <c r="K327" s="348">
        <f t="shared" si="132"/>
        <v>3.8210663134317358</v>
      </c>
      <c r="L327" s="349">
        <f t="shared" si="133"/>
        <v>1.3060058512731516</v>
      </c>
      <c r="M327" s="337">
        <f t="shared" si="117"/>
        <v>1.0233281285385043</v>
      </c>
      <c r="N327" s="340">
        <f t="shared" si="118"/>
        <v>0.21393211678251078</v>
      </c>
      <c r="O327" s="341">
        <f t="shared" si="119"/>
        <v>1.0013832121801374</v>
      </c>
      <c r="P327" s="342">
        <f t="shared" si="120"/>
        <v>0.31042622262771763</v>
      </c>
      <c r="Q327" s="343">
        <f t="shared" si="121"/>
        <v>8.795206956239932</v>
      </c>
      <c r="R327" s="344">
        <f t="shared" si="122"/>
        <v>-122.60355044174035</v>
      </c>
      <c r="S327" s="346">
        <f t="shared" si="123"/>
        <v>57.396449558259647</v>
      </c>
      <c r="U327" s="319">
        <f t="shared" si="129"/>
        <v>1000000000</v>
      </c>
      <c r="V327" s="319">
        <f t="shared" si="130"/>
        <v>562401225</v>
      </c>
      <c r="X327" s="345">
        <f t="shared" si="124"/>
        <v>26.038893997771893</v>
      </c>
      <c r="Y327" s="346">
        <f t="shared" si="125"/>
        <v>-27.424779737181392</v>
      </c>
      <c r="AA327" s="345">
        <f t="shared" si="126"/>
        <v>44.996054292858013</v>
      </c>
      <c r="AB327" s="346">
        <f t="shared" si="127"/>
        <v>-95.178770704558957</v>
      </c>
      <c r="AD327">
        <f t="shared" si="131"/>
        <v>0</v>
      </c>
      <c r="AE327">
        <f t="shared" si="134"/>
        <v>0</v>
      </c>
    </row>
    <row r="328" spans="1:31" x14ac:dyDescent="0.25">
      <c r="A328" s="347">
        <v>23851.5</v>
      </c>
      <c r="B328" s="364">
        <f t="shared" si="128"/>
        <v>23.851500000000001</v>
      </c>
      <c r="C328" s="337">
        <f t="shared" si="109"/>
        <v>5.4873232825056517</v>
      </c>
      <c r="D328" s="338">
        <f t="shared" si="110"/>
        <v>1.387534020048335</v>
      </c>
      <c r="E328" s="338">
        <f t="shared" si="111"/>
        <v>1.0006466112101533</v>
      </c>
      <c r="F328" s="339">
        <f t="shared" si="112"/>
        <v>3.595171708225333E-2</v>
      </c>
      <c r="G328" s="338">
        <f t="shared" si="113"/>
        <v>1</v>
      </c>
      <c r="H328" s="339">
        <f t="shared" si="114"/>
        <v>0</v>
      </c>
      <c r="I328" s="337">
        <f t="shared" si="115"/>
        <v>14390.594995314146</v>
      </c>
      <c r="J328" s="340">
        <f t="shared" si="116"/>
        <v>1.5707268369648284</v>
      </c>
      <c r="K328" s="348">
        <f t="shared" si="132"/>
        <v>3.8415574707243727</v>
      </c>
      <c r="L328" s="349">
        <f t="shared" si="133"/>
        <v>1.3074519434089975</v>
      </c>
      <c r="M328" s="337">
        <f t="shared" si="117"/>
        <v>1.0235943434726982</v>
      </c>
      <c r="N328" s="340">
        <f t="shared" si="118"/>
        <v>0.21512593979388384</v>
      </c>
      <c r="O328" s="341">
        <f t="shared" si="119"/>
        <v>1.0014117666102824</v>
      </c>
      <c r="P328" s="342">
        <f t="shared" si="120"/>
        <v>0.31226402816268306</v>
      </c>
      <c r="Q328" s="343">
        <f t="shared" si="121"/>
        <v>8.7411813270304055</v>
      </c>
      <c r="R328" s="344">
        <f t="shared" si="122"/>
        <v>-122.74172133873762</v>
      </c>
      <c r="S328" s="346">
        <f t="shared" si="123"/>
        <v>57.258278661262381</v>
      </c>
      <c r="U328" s="319">
        <f t="shared" si="129"/>
        <v>1000000000</v>
      </c>
      <c r="V328" s="319">
        <f t="shared" si="130"/>
        <v>568894052.25</v>
      </c>
      <c r="X328" s="345">
        <f t="shared" si="124"/>
        <v>26.033238536310776</v>
      </c>
      <c r="Y328" s="346">
        <f t="shared" si="125"/>
        <v>-27.410348697800984</v>
      </c>
      <c r="AA328" s="345">
        <f t="shared" si="126"/>
        <v>44.94768412510961</v>
      </c>
      <c r="AB328" s="346">
        <f t="shared" si="127"/>
        <v>-95.331372640936635</v>
      </c>
      <c r="AD328">
        <f t="shared" si="131"/>
        <v>0</v>
      </c>
      <c r="AE328">
        <f t="shared" si="134"/>
        <v>0</v>
      </c>
    </row>
    <row r="329" spans="1:31" x14ac:dyDescent="0.25">
      <c r="A329" s="347">
        <v>23988</v>
      </c>
      <c r="B329" s="364">
        <f t="shared" si="128"/>
        <v>23.988</v>
      </c>
      <c r="C329" s="337">
        <f t="shared" si="109"/>
        <v>5.5176866789073014</v>
      </c>
      <c r="D329" s="338">
        <f t="shared" si="110"/>
        <v>1.3885538456189883</v>
      </c>
      <c r="E329" s="338">
        <f t="shared" si="111"/>
        <v>1.0006540309583636</v>
      </c>
      <c r="F329" s="339">
        <f t="shared" si="112"/>
        <v>3.615728677458447E-2</v>
      </c>
      <c r="G329" s="338">
        <f t="shared" si="113"/>
        <v>1</v>
      </c>
      <c r="H329" s="339">
        <f t="shared" si="114"/>
        <v>0</v>
      </c>
      <c r="I329" s="337">
        <f t="shared" si="115"/>
        <v>14472.951082243773</v>
      </c>
      <c r="J329" s="340">
        <f t="shared" si="116"/>
        <v>1.5707272323859462</v>
      </c>
      <c r="K329" s="348">
        <f t="shared" si="132"/>
        <v>3.8620565761582832</v>
      </c>
      <c r="L329" s="349">
        <f t="shared" si="133"/>
        <v>1.3088826873136434</v>
      </c>
      <c r="M329" s="337">
        <f t="shared" si="117"/>
        <v>1.0238620164874084</v>
      </c>
      <c r="N329" s="340">
        <f t="shared" si="118"/>
        <v>0.21631914029166502</v>
      </c>
      <c r="O329" s="341">
        <f t="shared" si="119"/>
        <v>1.0014407741050739</v>
      </c>
      <c r="P329" s="342">
        <f t="shared" si="120"/>
        <v>0.31410267283264137</v>
      </c>
      <c r="Q329" s="343">
        <f t="shared" si="121"/>
        <v>8.6874523455138135</v>
      </c>
      <c r="R329" s="344">
        <f t="shared" si="122"/>
        <v>-122.88013376507688</v>
      </c>
      <c r="S329" s="346">
        <f t="shared" si="123"/>
        <v>57.119866234923123</v>
      </c>
      <c r="U329" s="319">
        <f t="shared" si="129"/>
        <v>1000000000</v>
      </c>
      <c r="V329" s="319">
        <f t="shared" si="130"/>
        <v>575424144</v>
      </c>
      <c r="X329" s="345">
        <f t="shared" si="124"/>
        <v>26.027626513209064</v>
      </c>
      <c r="Y329" s="346">
        <f t="shared" si="125"/>
        <v>-27.396761119082136</v>
      </c>
      <c r="AA329" s="345">
        <f t="shared" si="126"/>
        <v>44.899567166694737</v>
      </c>
      <c r="AB329" s="346">
        <f t="shared" si="127"/>
        <v>-95.483372645994734</v>
      </c>
      <c r="AD329">
        <f t="shared" si="131"/>
        <v>0</v>
      </c>
      <c r="AE329">
        <f t="shared" si="134"/>
        <v>0</v>
      </c>
    </row>
    <row r="330" spans="1:31" x14ac:dyDescent="0.25">
      <c r="A330" s="347">
        <v>24127.75</v>
      </c>
      <c r="B330" s="364">
        <f t="shared" si="128"/>
        <v>24.127749999999999</v>
      </c>
      <c r="C330" s="337">
        <f t="shared" si="109"/>
        <v>5.5487788926907173</v>
      </c>
      <c r="D330" s="338">
        <f t="shared" si="110"/>
        <v>1.3895863887261846</v>
      </c>
      <c r="E330" s="338">
        <f t="shared" si="111"/>
        <v>1.0006616711753438</v>
      </c>
      <c r="F330" s="339">
        <f t="shared" si="112"/>
        <v>3.6367747815983224E-2</v>
      </c>
      <c r="G330" s="338">
        <f t="shared" si="113"/>
        <v>1</v>
      </c>
      <c r="H330" s="339">
        <f t="shared" si="114"/>
        <v>0</v>
      </c>
      <c r="I330" s="337">
        <f t="shared" si="115"/>
        <v>14557.268028388329</v>
      </c>
      <c r="J330" s="340">
        <f t="shared" si="116"/>
        <v>1.5707276325866952</v>
      </c>
      <c r="K330" s="348">
        <f t="shared" si="132"/>
        <v>3.8830518583432032</v>
      </c>
      <c r="L330" s="349">
        <f t="shared" si="133"/>
        <v>1.310331843574656</v>
      </c>
      <c r="M330" s="337">
        <f t="shared" si="117"/>
        <v>1.0241375720433794</v>
      </c>
      <c r="N330" s="340">
        <f t="shared" si="118"/>
        <v>0.21754010236576804</v>
      </c>
      <c r="O330" s="341">
        <f t="shared" si="119"/>
        <v>1.0014709467864991</v>
      </c>
      <c r="P330" s="342">
        <f t="shared" si="120"/>
        <v>0.31598596789270283</v>
      </c>
      <c r="Q330" s="343">
        <f t="shared" si="121"/>
        <v>8.6327474394090693</v>
      </c>
      <c r="R330" s="344">
        <f t="shared" si="122"/>
        <v>-123.02208882253656</v>
      </c>
      <c r="S330" s="346">
        <f t="shared" si="123"/>
        <v>56.97791117746344</v>
      </c>
      <c r="U330" s="319">
        <f t="shared" si="129"/>
        <v>1000000000</v>
      </c>
      <c r="V330" s="319">
        <f t="shared" si="130"/>
        <v>582148320.0625</v>
      </c>
      <c r="X330" s="345">
        <f t="shared" si="124"/>
        <v>26.021924662967329</v>
      </c>
      <c r="Y330" s="346">
        <f t="shared" si="125"/>
        <v>-27.383709485061747</v>
      </c>
      <c r="AA330" s="345">
        <f t="shared" si="126"/>
        <v>44.850564110831719</v>
      </c>
      <c r="AB330" s="346">
        <f t="shared" si="127"/>
        <v>-95.638379337474802</v>
      </c>
      <c r="AD330">
        <f t="shared" si="131"/>
        <v>0</v>
      </c>
      <c r="AE330">
        <f t="shared" si="134"/>
        <v>0</v>
      </c>
    </row>
    <row r="331" spans="1:31" x14ac:dyDescent="0.25">
      <c r="A331" s="347">
        <v>24267.5</v>
      </c>
      <c r="B331" s="364">
        <f t="shared" si="128"/>
        <v>24.267499999999998</v>
      </c>
      <c r="C331" s="337">
        <f t="shared" si="109"/>
        <v>5.5798769563466983</v>
      </c>
      <c r="D331" s="338">
        <f t="shared" si="110"/>
        <v>1.3906074236647874</v>
      </c>
      <c r="E331" s="338">
        <f t="shared" si="111"/>
        <v>1.0006693557148039</v>
      </c>
      <c r="F331" s="339">
        <f t="shared" si="112"/>
        <v>3.6578205634275149E-2</v>
      </c>
      <c r="G331" s="338">
        <f t="shared" si="113"/>
        <v>1</v>
      </c>
      <c r="H331" s="339">
        <f t="shared" si="114"/>
        <v>0</v>
      </c>
      <c r="I331" s="337">
        <f t="shared" si="115"/>
        <v>14641.58497453519</v>
      </c>
      <c r="J331" s="340">
        <f t="shared" si="116"/>
        <v>1.5707280281781473</v>
      </c>
      <c r="K331" s="348">
        <f t="shared" si="132"/>
        <v>3.9040552074282378</v>
      </c>
      <c r="L331" s="349">
        <f t="shared" si="133"/>
        <v>1.3117654102453207</v>
      </c>
      <c r="M331" s="337">
        <f t="shared" si="117"/>
        <v>1.0244146535081105</v>
      </c>
      <c r="N331" s="340">
        <f t="shared" si="118"/>
        <v>0.21876040577184463</v>
      </c>
      <c r="O331" s="341">
        <f t="shared" si="119"/>
        <v>1.0015016048717891</v>
      </c>
      <c r="P331" s="342">
        <f t="shared" si="120"/>
        <v>0.31787015020703591</v>
      </c>
      <c r="Q331" s="343">
        <f t="shared" si="121"/>
        <v>8.578345444842201</v>
      </c>
      <c r="R331" s="344">
        <f t="shared" si="122"/>
        <v>-123.16429074584173</v>
      </c>
      <c r="S331" s="346">
        <f t="shared" si="123"/>
        <v>56.835709254158274</v>
      </c>
      <c r="U331" s="319">
        <f t="shared" si="129"/>
        <v>1000000000</v>
      </c>
      <c r="V331" s="319">
        <f t="shared" si="130"/>
        <v>588911556.25</v>
      </c>
      <c r="X331" s="345">
        <f t="shared" si="124"/>
        <v>26.016265920283406</v>
      </c>
      <c r="Y331" s="346">
        <f t="shared" si="125"/>
        <v>-27.371513065782356</v>
      </c>
      <c r="AA331" s="345">
        <f t="shared" si="126"/>
        <v>44.801820858948773</v>
      </c>
      <c r="AB331" s="346">
        <f t="shared" si="127"/>
        <v>-95.792777680059388</v>
      </c>
      <c r="AD331">
        <f t="shared" si="131"/>
        <v>0</v>
      </c>
      <c r="AE331">
        <f t="shared" si="134"/>
        <v>0</v>
      </c>
    </row>
    <row r="332" spans="1:31" x14ac:dyDescent="0.25">
      <c r="A332" s="347">
        <v>24407.25</v>
      </c>
      <c r="B332" s="364">
        <f t="shared" si="128"/>
        <v>24.407250000000001</v>
      </c>
      <c r="C332" s="337">
        <f t="shared" si="109"/>
        <v>5.6109807726089835</v>
      </c>
      <c r="D332" s="338">
        <f t="shared" si="110"/>
        <v>1.391617139670583</v>
      </c>
      <c r="E332" s="338">
        <f t="shared" si="111"/>
        <v>1.0006770845757227</v>
      </c>
      <c r="F332" s="339">
        <f t="shared" si="112"/>
        <v>3.6788660210891298E-2</v>
      </c>
      <c r="G332" s="338">
        <f t="shared" si="113"/>
        <v>1</v>
      </c>
      <c r="H332" s="339">
        <f t="shared" si="114"/>
        <v>0</v>
      </c>
      <c r="I332" s="337">
        <f t="shared" si="115"/>
        <v>14725.901920684315</v>
      </c>
      <c r="J332" s="340">
        <f t="shared" si="116"/>
        <v>1.5707284192394779</v>
      </c>
      <c r="K332" s="348">
        <f t="shared" si="132"/>
        <v>3.9250664939134787</v>
      </c>
      <c r="L332" s="349">
        <f t="shared" si="133"/>
        <v>1.3131836317436354</v>
      </c>
      <c r="M332" s="337">
        <f t="shared" si="117"/>
        <v>1.0246932596437643</v>
      </c>
      <c r="N332" s="340">
        <f t="shared" si="118"/>
        <v>0.21998004741128876</v>
      </c>
      <c r="O332" s="341">
        <f t="shared" si="119"/>
        <v>1.0015327537210916</v>
      </c>
      <c r="P332" s="342">
        <f t="shared" si="120"/>
        <v>0.3197552236282859</v>
      </c>
      <c r="Q332" s="343">
        <f t="shared" si="121"/>
        <v>8.5242424099646534</v>
      </c>
      <c r="R332" s="344">
        <f t="shared" si="122"/>
        <v>-123.30673642208819</v>
      </c>
      <c r="S332" s="346">
        <f t="shared" si="123"/>
        <v>56.693263577911807</v>
      </c>
      <c r="U332" s="319">
        <f t="shared" si="129"/>
        <v>1000000000</v>
      </c>
      <c r="V332" s="319">
        <f t="shared" si="130"/>
        <v>595713852.5625</v>
      </c>
      <c r="X332" s="345">
        <f t="shared" si="124"/>
        <v>26.010649108420921</v>
      </c>
      <c r="Y332" s="346">
        <f t="shared" si="125"/>
        <v>-27.360157684123568</v>
      </c>
      <c r="AA332" s="345">
        <f t="shared" si="126"/>
        <v>44.753334635933719</v>
      </c>
      <c r="AB332" s="346">
        <f t="shared" si="127"/>
        <v>-95.946578737964614</v>
      </c>
      <c r="AD332">
        <f t="shared" si="131"/>
        <v>0</v>
      </c>
      <c r="AE332">
        <f t="shared" si="134"/>
        <v>0</v>
      </c>
    </row>
    <row r="333" spans="1:31" x14ac:dyDescent="0.25">
      <c r="A333" s="347">
        <v>24547</v>
      </c>
      <c r="B333" s="364">
        <f t="shared" si="128"/>
        <v>24.547000000000001</v>
      </c>
      <c r="C333" s="337">
        <f t="shared" ref="C333:C396" si="135">SQRT(1+(A333/pole1)^2)</f>
        <v>5.64209024633836</v>
      </c>
      <c r="D333" s="338">
        <f t="shared" ref="D333:D396" si="136">ATAN(A333/pole1)</f>
        <v>1.3926157218991913</v>
      </c>
      <c r="E333" s="338">
        <f t="shared" ref="E333:E396" si="137">SQRT(1+(A333/Zero1)^2)</f>
        <v>1.0006848577570733</v>
      </c>
      <c r="F333" s="339">
        <f t="shared" ref="F333:F396" si="138">ATAN(A333/Zero1)</f>
        <v>3.6999111527264456E-2</v>
      </c>
      <c r="G333" s="338">
        <f t="shared" ref="G333:G396" si="139">IF(VIN_nom&gt;Vout, 1, SQRT(1+(A333/z_RHP)^2))</f>
        <v>1</v>
      </c>
      <c r="H333" s="339">
        <f t="shared" ref="H333:H396" si="140">IF(VIN_nom&gt;Vout, 0, -ATAN(A333/z_RHP))</f>
        <v>0</v>
      </c>
      <c r="I333" s="337">
        <f t="shared" ref="I333:I396" si="141">SQRT(1+(A333/Pole2)^2)</f>
        <v>14810.218866835667</v>
      </c>
      <c r="J333" s="340">
        <f t="shared" ref="J333:J396" si="142">ATAN(A333/Pole2)</f>
        <v>1.5707288058480591</v>
      </c>
      <c r="K333" s="348">
        <f t="shared" si="132"/>
        <v>3.9460855910087318</v>
      </c>
      <c r="L333" s="349">
        <f t="shared" si="133"/>
        <v>1.314586747529839</v>
      </c>
      <c r="M333" s="337">
        <f t="shared" ref="M333:M396" si="143">SQRT(1+(A333/pole4)^2)</f>
        <v>1.0249733892070427</v>
      </c>
      <c r="N333" s="340">
        <f t="shared" ref="N333:N396" si="144">ATAN(A333/pole4)</f>
        <v>0.22119902419672918</v>
      </c>
      <c r="O333" s="341">
        <f t="shared" ref="O333:O396" si="145">SQRT((1-(V333/pterm2))^2+(A333/pterm1)^2)</f>
        <v>1.0015643987243852</v>
      </c>
      <c r="P333" s="342">
        <f t="shared" ref="P333:P396" si="146">IF((ATAN((A333/pterm1)/(1-A333^2/pterm2))&gt;0),ATAN((A333/pterm1)/(1-A333^2/pterm2)),PI()+ATAN((A333/pterm1)/(1-A333^2/pterm2)))</f>
        <v>0.32164119198536129</v>
      </c>
      <c r="Q333" s="343">
        <f t="shared" ref="Q333:Q396" si="147">20*LOG10(((E333*K333*G333)/(C333*I333*O333*M333))*Adc)</f>
        <v>8.47043445492789</v>
      </c>
      <c r="R333" s="344">
        <f t="shared" ref="R333:R396" si="148">((F333+L333+H333)-(D333+J333+P333+N333))*radconv</f>
        <v>-123.44942278783429</v>
      </c>
      <c r="S333" s="346">
        <f t="shared" ref="S333:S396" si="149">IF(R333&gt;0,R333,R333+180)</f>
        <v>56.550577212165706</v>
      </c>
      <c r="U333" s="319">
        <f t="shared" si="129"/>
        <v>1000000000</v>
      </c>
      <c r="V333" s="319">
        <f t="shared" si="130"/>
        <v>602555209</v>
      </c>
      <c r="X333" s="345">
        <f t="shared" ref="X333:X396" si="150">20*LOG10((K333/(I333*M333))*AEA)</f>
        <v>26.005073082547728</v>
      </c>
      <c r="Y333" s="346">
        <f t="shared" ref="Y333:Y396" si="151">(L333-(J333+N333))*radconv</f>
        <v>-27.34962944756408</v>
      </c>
      <c r="AA333" s="345">
        <f t="shared" ref="AA333:AA396" si="152">20*LOG10((E333*G333/(C333*O333))*Acs*Am)</f>
        <v>44.705102706770134</v>
      </c>
      <c r="AB333" s="346">
        <f t="shared" ref="AB333:AB396" si="153">(F333+H333-(D333+P333))*radconv</f>
        <v>-96.099793340270196</v>
      </c>
      <c r="AD333">
        <f t="shared" si="131"/>
        <v>0</v>
      </c>
      <c r="AE333">
        <f t="shared" si="134"/>
        <v>0</v>
      </c>
    </row>
    <row r="334" spans="1:31" x14ac:dyDescent="0.25">
      <c r="A334" s="347">
        <v>24690</v>
      </c>
      <c r="B334" s="364">
        <f t="shared" ref="B334:B397" si="154">A334/1000</f>
        <v>24.69</v>
      </c>
      <c r="C334" s="337">
        <f t="shared" si="135"/>
        <v>5.6739289554755992</v>
      </c>
      <c r="D334" s="338">
        <f t="shared" si="136"/>
        <v>1.3936261907780398</v>
      </c>
      <c r="E334" s="338">
        <f t="shared" si="137"/>
        <v>1.0006928575874845</v>
      </c>
      <c r="F334" s="339">
        <f t="shared" si="138"/>
        <v>3.7214453666076341E-2</v>
      </c>
      <c r="G334" s="338">
        <f t="shared" si="139"/>
        <v>1</v>
      </c>
      <c r="H334" s="339">
        <f t="shared" si="140"/>
        <v>0</v>
      </c>
      <c r="I334" s="337">
        <f t="shared" si="141"/>
        <v>14896.496672202105</v>
      </c>
      <c r="J334" s="340">
        <f t="shared" si="142"/>
        <v>1.5707291969171304</v>
      </c>
      <c r="K334" s="348">
        <f t="shared" si="132"/>
        <v>3.9676014600061245</v>
      </c>
      <c r="L334" s="349">
        <f t="shared" si="133"/>
        <v>1.3160071019014929</v>
      </c>
      <c r="M334" s="337">
        <f t="shared" si="143"/>
        <v>1.02526160909105</v>
      </c>
      <c r="N334" s="340">
        <f t="shared" si="144"/>
        <v>0.22244565784427664</v>
      </c>
      <c r="O334" s="341">
        <f t="shared" si="145"/>
        <v>1.0015972989078203</v>
      </c>
      <c r="P334" s="342">
        <f t="shared" si="146"/>
        <v>0.32357195043734077</v>
      </c>
      <c r="Q334" s="343">
        <f t="shared" si="147"/>
        <v>8.4156766315476954</v>
      </c>
      <c r="R334" s="344">
        <f t="shared" si="148"/>
        <v>-123.59567344724317</v>
      </c>
      <c r="S334" s="346">
        <f t="shared" si="149"/>
        <v>56.404326552756828</v>
      </c>
      <c r="U334" s="319">
        <f t="shared" ref="U334:U397" si="155">IF(Q334&lt;0,A334,1000000000)</f>
        <v>1000000000</v>
      </c>
      <c r="V334" s="319">
        <f t="shared" ref="V334:V397" si="156">A334^2</f>
        <v>609596100</v>
      </c>
      <c r="X334" s="345">
        <f t="shared" si="150"/>
        <v>25.999408439597516</v>
      </c>
      <c r="Y334" s="346">
        <f t="shared" si="151"/>
        <v>-27.339698389854753</v>
      </c>
      <c r="AA334" s="345">
        <f t="shared" si="152"/>
        <v>44.656009526340156</v>
      </c>
      <c r="AB334" s="346">
        <f t="shared" si="153"/>
        <v>-96.255975057388397</v>
      </c>
      <c r="AD334">
        <f t="shared" ref="AD334:AD397" si="157">SUM((Q335&lt;0)*(Q334&gt;0))*A334</f>
        <v>0</v>
      </c>
      <c r="AE334">
        <f t="shared" si="134"/>
        <v>0</v>
      </c>
    </row>
    <row r="335" spans="1:31" x14ac:dyDescent="0.25">
      <c r="A335" s="347">
        <v>24833</v>
      </c>
      <c r="B335" s="364">
        <f t="shared" si="154"/>
        <v>24.832999999999998</v>
      </c>
      <c r="C335" s="337">
        <f t="shared" si="135"/>
        <v>5.7057733933047734</v>
      </c>
      <c r="D335" s="338">
        <f t="shared" si="136"/>
        <v>1.3946253816310685</v>
      </c>
      <c r="E335" s="338">
        <f t="shared" si="137"/>
        <v>1.0007009038215184</v>
      </c>
      <c r="F335" s="339">
        <f t="shared" si="138"/>
        <v>3.7429792351914529E-2</v>
      </c>
      <c r="G335" s="338">
        <f t="shared" si="139"/>
        <v>1</v>
      </c>
      <c r="H335" s="339">
        <f t="shared" si="140"/>
        <v>0</v>
      </c>
      <c r="I335" s="337">
        <f t="shared" si="141"/>
        <v>14982.774477570794</v>
      </c>
      <c r="J335" s="340">
        <f t="shared" si="142"/>
        <v>1.5707295834822852</v>
      </c>
      <c r="K335" s="348">
        <f t="shared" si="132"/>
        <v>3.9891252469151905</v>
      </c>
      <c r="L335" s="349">
        <f t="shared" si="133"/>
        <v>1.3174121317094685</v>
      </c>
      <c r="M335" s="337">
        <f t="shared" si="143"/>
        <v>1.0255514214324271</v>
      </c>
      <c r="N335" s="340">
        <f t="shared" si="144"/>
        <v>0.22369158885051382</v>
      </c>
      <c r="O335" s="341">
        <f t="shared" si="145"/>
        <v>1.001630730104452</v>
      </c>
      <c r="P335" s="342">
        <f t="shared" si="146"/>
        <v>0.32550365396859277</v>
      </c>
      <c r="Q335" s="343">
        <f t="shared" si="147"/>
        <v>8.3612197763552683</v>
      </c>
      <c r="R335" s="344">
        <f t="shared" si="148"/>
        <v>-123.74216978665069</v>
      </c>
      <c r="S335" s="346">
        <f t="shared" si="149"/>
        <v>56.257830213349308</v>
      </c>
      <c r="U335" s="319">
        <f t="shared" si="155"/>
        <v>1000000000</v>
      </c>
      <c r="V335" s="319">
        <f t="shared" si="156"/>
        <v>616677889</v>
      </c>
      <c r="X335" s="345">
        <f t="shared" si="150"/>
        <v>25.993784174476783</v>
      </c>
      <c r="Y335" s="346">
        <f t="shared" si="151"/>
        <v>-27.330604848531038</v>
      </c>
      <c r="AA335" s="345">
        <f t="shared" si="152"/>
        <v>44.607176936268466</v>
      </c>
      <c r="AB335" s="346">
        <f t="shared" si="153"/>
        <v>-96.411564938119639</v>
      </c>
      <c r="AD335">
        <f t="shared" si="157"/>
        <v>0</v>
      </c>
      <c r="AE335">
        <f t="shared" si="134"/>
        <v>0</v>
      </c>
    </row>
    <row r="336" spans="1:31" x14ac:dyDescent="0.25">
      <c r="A336" s="347">
        <v>24976</v>
      </c>
      <c r="B336" s="364">
        <f t="shared" si="154"/>
        <v>24.975999999999999</v>
      </c>
      <c r="C336" s="337">
        <f t="shared" si="135"/>
        <v>5.737623464441282</v>
      </c>
      <c r="D336" s="338">
        <f t="shared" si="136"/>
        <v>1.3956134802623839</v>
      </c>
      <c r="E336" s="338">
        <f t="shared" si="137"/>
        <v>1.000708996458056</v>
      </c>
      <c r="F336" s="339">
        <f t="shared" si="138"/>
        <v>3.7645127564891731E-2</v>
      </c>
      <c r="G336" s="338">
        <f t="shared" si="139"/>
        <v>1</v>
      </c>
      <c r="H336" s="339">
        <f t="shared" si="140"/>
        <v>0</v>
      </c>
      <c r="I336" s="337">
        <f t="shared" si="141"/>
        <v>15069.052282941699</v>
      </c>
      <c r="J336" s="340">
        <f t="shared" si="142"/>
        <v>1.5707299656208853</v>
      </c>
      <c r="K336" s="348">
        <f t="shared" si="132"/>
        <v>4.0106568242579783</v>
      </c>
      <c r="L336" s="349">
        <f t="shared" si="133"/>
        <v>1.3188020781752419</v>
      </c>
      <c r="M336" s="337">
        <f t="shared" si="143"/>
        <v>1.0258428248815117</v>
      </c>
      <c r="N336" s="340">
        <f t="shared" si="144"/>
        <v>0.22493681394437195</v>
      </c>
      <c r="O336" s="341">
        <f t="shared" si="145"/>
        <v>1.0016646981859045</v>
      </c>
      <c r="P336" s="342">
        <f t="shared" si="146"/>
        <v>0.32743630660309925</v>
      </c>
      <c r="Q336" s="343">
        <f t="shared" si="147"/>
        <v>8.3070599553484019</v>
      </c>
      <c r="R336" s="344">
        <f t="shared" si="148"/>
        <v>-123.88890867958619</v>
      </c>
      <c r="S336" s="346">
        <f t="shared" si="149"/>
        <v>56.111091320413806</v>
      </c>
      <c r="U336" s="319">
        <f t="shared" si="155"/>
        <v>1000000000</v>
      </c>
      <c r="V336" s="319">
        <f t="shared" si="156"/>
        <v>623800576</v>
      </c>
      <c r="X336" s="345">
        <f t="shared" si="150"/>
        <v>25.988199157946177</v>
      </c>
      <c r="Y336" s="346">
        <f t="shared" si="151"/>
        <v>-27.322334819634477</v>
      </c>
      <c r="AA336" s="345">
        <f t="shared" si="152"/>
        <v>44.558602131792206</v>
      </c>
      <c r="AB336" s="346">
        <f t="shared" si="153"/>
        <v>-96.566573859951703</v>
      </c>
      <c r="AD336">
        <f t="shared" si="157"/>
        <v>0</v>
      </c>
      <c r="AE336">
        <f t="shared" si="134"/>
        <v>0</v>
      </c>
    </row>
    <row r="337" spans="1:31" x14ac:dyDescent="0.25">
      <c r="A337" s="347">
        <v>25119</v>
      </c>
      <c r="B337" s="364">
        <f t="shared" si="154"/>
        <v>25.119</v>
      </c>
      <c r="C337" s="337">
        <f t="shared" si="135"/>
        <v>5.7694790755900991</v>
      </c>
      <c r="D337" s="338">
        <f t="shared" si="136"/>
        <v>1.3965906684602272</v>
      </c>
      <c r="E337" s="338">
        <f t="shared" si="137"/>
        <v>1.0007171354959714</v>
      </c>
      <c r="F337" s="339">
        <f t="shared" si="138"/>
        <v>3.7860459285122577E-2</v>
      </c>
      <c r="G337" s="338">
        <f t="shared" si="139"/>
        <v>1</v>
      </c>
      <c r="H337" s="339">
        <f t="shared" si="140"/>
        <v>0</v>
      </c>
      <c r="I337" s="337">
        <f t="shared" si="141"/>
        <v>15155.330088314777</v>
      </c>
      <c r="J337" s="340">
        <f t="shared" si="142"/>
        <v>1.5707303434085302</v>
      </c>
      <c r="K337" s="348">
        <f t="shared" si="132"/>
        <v>4.0321960672337678</v>
      </c>
      <c r="L337" s="349">
        <f t="shared" si="133"/>
        <v>1.3201771776019777</v>
      </c>
      <c r="M337" s="337">
        <f t="shared" si="143"/>
        <v>1.0261358180827689</v>
      </c>
      <c r="N337" s="340">
        <f t="shared" si="144"/>
        <v>0.22618132986724437</v>
      </c>
      <c r="O337" s="341">
        <f t="shared" si="145"/>
        <v>1.0016992090563643</v>
      </c>
      <c r="P337" s="342">
        <f t="shared" si="146"/>
        <v>0.32936991233804852</v>
      </c>
      <c r="Q337" s="343">
        <f t="shared" si="147"/>
        <v>8.2531933060554952</v>
      </c>
      <c r="R337" s="344">
        <f t="shared" si="148"/>
        <v>-124.03588705036312</v>
      </c>
      <c r="S337" s="346">
        <f t="shared" si="149"/>
        <v>55.964112949636885</v>
      </c>
      <c r="U337" s="319">
        <f t="shared" si="155"/>
        <v>1000000000</v>
      </c>
      <c r="V337" s="319">
        <f t="shared" si="156"/>
        <v>630964161</v>
      </c>
      <c r="X337" s="345">
        <f t="shared" si="150"/>
        <v>25.982652291547094</v>
      </c>
      <c r="Y337" s="346">
        <f t="shared" si="151"/>
        <v>-27.314874581618156</v>
      </c>
      <c r="AA337" s="345">
        <f t="shared" si="152"/>
        <v>44.510282348898386</v>
      </c>
      <c r="AB337" s="346">
        <f t="shared" si="153"/>
        <v>-96.721012468744959</v>
      </c>
      <c r="AD337">
        <f t="shared" si="157"/>
        <v>0</v>
      </c>
      <c r="AE337">
        <f t="shared" si="134"/>
        <v>0</v>
      </c>
    </row>
    <row r="338" spans="1:31" x14ac:dyDescent="0.25">
      <c r="A338" s="347">
        <v>25265.25</v>
      </c>
      <c r="B338" s="364">
        <f t="shared" si="154"/>
        <v>25.265250000000002</v>
      </c>
      <c r="C338" s="337">
        <f t="shared" si="135"/>
        <v>5.8020643131084997</v>
      </c>
      <c r="D338" s="338">
        <f t="shared" si="136"/>
        <v>1.3975789656432058</v>
      </c>
      <c r="E338" s="338">
        <f t="shared" si="137"/>
        <v>1.0007255075060679</v>
      </c>
      <c r="F338" s="339">
        <f t="shared" si="138"/>
        <v>3.8080681274644437E-2</v>
      </c>
      <c r="G338" s="338">
        <f t="shared" si="139"/>
        <v>1</v>
      </c>
      <c r="H338" s="339">
        <f t="shared" si="140"/>
        <v>0</v>
      </c>
      <c r="I338" s="337">
        <f t="shared" si="141"/>
        <v>15243.568752903091</v>
      </c>
      <c r="J338" s="340">
        <f t="shared" si="142"/>
        <v>1.5707307253588467</v>
      </c>
      <c r="K338" s="348">
        <f t="shared" si="132"/>
        <v>4.0542326400683901</v>
      </c>
      <c r="L338" s="349">
        <f t="shared" si="133"/>
        <v>1.3215684135105252</v>
      </c>
      <c r="M338" s="337">
        <f t="shared" si="143"/>
        <v>1.0264371131604215</v>
      </c>
      <c r="N338" s="340">
        <f t="shared" si="144"/>
        <v>0.22745339332951386</v>
      </c>
      <c r="O338" s="341">
        <f t="shared" si="145"/>
        <v>1.001735071885494</v>
      </c>
      <c r="P338" s="342">
        <f t="shared" si="146"/>
        <v>0.33134845363406018</v>
      </c>
      <c r="Q338" s="343">
        <f t="shared" si="147"/>
        <v>8.1984017043877717</v>
      </c>
      <c r="R338" s="344">
        <f t="shared" si="148"/>
        <v>-124.1864503892579</v>
      </c>
      <c r="S338" s="346">
        <f t="shared" si="149"/>
        <v>55.813549610742101</v>
      </c>
      <c r="U338" s="319">
        <f t="shared" si="155"/>
        <v>1000000000</v>
      </c>
      <c r="V338" s="319">
        <f t="shared" si="156"/>
        <v>638332857.5625</v>
      </c>
      <c r="X338" s="345">
        <f t="shared" si="150"/>
        <v>25.977017707005832</v>
      </c>
      <c r="Y338" s="346">
        <f t="shared" si="151"/>
        <v>-27.308068387545514</v>
      </c>
      <c r="AA338" s="345">
        <f t="shared" si="152"/>
        <v>44.461125331771918</v>
      </c>
      <c r="AB338" s="346">
        <f t="shared" si="153"/>
        <v>-96.878382001712353</v>
      </c>
      <c r="AD338">
        <f t="shared" si="157"/>
        <v>0</v>
      </c>
      <c r="AE338">
        <f t="shared" si="134"/>
        <v>0</v>
      </c>
    </row>
    <row r="339" spans="1:31" x14ac:dyDescent="0.25">
      <c r="A339" s="347">
        <v>25411.5</v>
      </c>
      <c r="B339" s="364">
        <f t="shared" si="154"/>
        <v>25.4115</v>
      </c>
      <c r="C339" s="337">
        <f t="shared" si="135"/>
        <v>5.8346551543831495</v>
      </c>
      <c r="D339" s="338">
        <f t="shared" si="136"/>
        <v>1.3985562230382302</v>
      </c>
      <c r="E339" s="338">
        <f t="shared" si="137"/>
        <v>1.0007339280482614</v>
      </c>
      <c r="F339" s="339">
        <f t="shared" si="138"/>
        <v>3.8300899568789092E-2</v>
      </c>
      <c r="G339" s="338">
        <f t="shared" si="139"/>
        <v>1</v>
      </c>
      <c r="H339" s="339">
        <f t="shared" si="140"/>
        <v>0</v>
      </c>
      <c r="I339" s="337">
        <f t="shared" si="141"/>
        <v>15331.807417493606</v>
      </c>
      <c r="J339" s="340">
        <f t="shared" si="142"/>
        <v>1.5707311029127098</v>
      </c>
      <c r="K339" s="348">
        <f t="shared" si="132"/>
        <v>4.0762769751690291</v>
      </c>
      <c r="L339" s="349">
        <f t="shared" si="133"/>
        <v>1.3229446045677777</v>
      </c>
      <c r="M339" s="337">
        <f t="shared" si="143"/>
        <v>1.0267400681862628</v>
      </c>
      <c r="N339" s="340">
        <f t="shared" si="144"/>
        <v>0.22872470816521584</v>
      </c>
      <c r="O339" s="341">
        <f t="shared" si="145"/>
        <v>1.0017715150518842</v>
      </c>
      <c r="P339" s="342">
        <f t="shared" si="146"/>
        <v>0.33332800021584902</v>
      </c>
      <c r="Q339" s="343">
        <f t="shared" si="147"/>
        <v>8.1439088015768668</v>
      </c>
      <c r="R339" s="344">
        <f t="shared" si="148"/>
        <v>-124.33725786669983</v>
      </c>
      <c r="S339" s="346">
        <f t="shared" si="149"/>
        <v>55.662742133300171</v>
      </c>
      <c r="U339" s="319">
        <f t="shared" si="155"/>
        <v>1000000000</v>
      </c>
      <c r="V339" s="319">
        <f t="shared" si="156"/>
        <v>645744332.25</v>
      </c>
      <c r="X339" s="345">
        <f t="shared" si="150"/>
        <v>25.971420796802992</v>
      </c>
      <c r="Y339" s="346">
        <f t="shared" si="151"/>
        <v>-27.302081054915451</v>
      </c>
      <c r="AA339" s="345">
        <f t="shared" si="152"/>
        <v>44.412229339163858</v>
      </c>
      <c r="AB339" s="346">
        <f t="shared" si="153"/>
        <v>-97.035176811784368</v>
      </c>
      <c r="AD339">
        <f t="shared" si="157"/>
        <v>0</v>
      </c>
      <c r="AE339">
        <f t="shared" si="134"/>
        <v>0</v>
      </c>
    </row>
    <row r="340" spans="1:31" x14ac:dyDescent="0.25">
      <c r="A340" s="347">
        <v>25557.75</v>
      </c>
      <c r="B340" s="364">
        <f t="shared" si="154"/>
        <v>25.557749999999999</v>
      </c>
      <c r="C340" s="337">
        <f t="shared" si="135"/>
        <v>5.8672515060324386</v>
      </c>
      <c r="D340" s="338">
        <f t="shared" si="136"/>
        <v>1.399522622762295</v>
      </c>
      <c r="E340" s="338">
        <f t="shared" si="137"/>
        <v>1.0007423971213263</v>
      </c>
      <c r="F340" s="339">
        <f t="shared" si="138"/>
        <v>3.8521114146290655E-2</v>
      </c>
      <c r="G340" s="338">
        <f t="shared" si="139"/>
        <v>1</v>
      </c>
      <c r="H340" s="339">
        <f t="shared" si="140"/>
        <v>0</v>
      </c>
      <c r="I340" s="337">
        <f t="shared" si="141"/>
        <v>15420.046082086281</v>
      </c>
      <c r="J340" s="340">
        <f t="shared" si="142"/>
        <v>1.5707314761455939</v>
      </c>
      <c r="K340" s="348">
        <f t="shared" si="132"/>
        <v>4.0983289472792741</v>
      </c>
      <c r="L340" s="349">
        <f t="shared" si="133"/>
        <v>1.3243059883750228</v>
      </c>
      <c r="M340" s="337">
        <f t="shared" si="143"/>
        <v>1.0270446816913505</v>
      </c>
      <c r="N340" s="340">
        <f t="shared" si="144"/>
        <v>0.22999527092915639</v>
      </c>
      <c r="O340" s="341">
        <f t="shared" si="145"/>
        <v>1.0018085449769352</v>
      </c>
      <c r="P340" s="342">
        <f t="shared" si="146"/>
        <v>0.33530855627113049</v>
      </c>
      <c r="Q340" s="343">
        <f t="shared" si="147"/>
        <v>8.0897106867947048</v>
      </c>
      <c r="R340" s="344">
        <f t="shared" si="148"/>
        <v>-124.48830635175925</v>
      </c>
      <c r="S340" s="346">
        <f t="shared" si="149"/>
        <v>55.511693648240751</v>
      </c>
      <c r="U340" s="319">
        <f t="shared" si="155"/>
        <v>1000000000</v>
      </c>
      <c r="V340" s="319">
        <f t="shared" si="156"/>
        <v>653198585.0625</v>
      </c>
      <c r="X340" s="345">
        <f t="shared" si="150"/>
        <v>25.965860479592138</v>
      </c>
      <c r="Y340" s="346">
        <f t="shared" si="151"/>
        <v>-27.296898777106239</v>
      </c>
      <c r="AA340" s="345">
        <f t="shared" si="152"/>
        <v>44.363591541592548</v>
      </c>
      <c r="AB340" s="346">
        <f t="shared" si="153"/>
        <v>-97.191407574653013</v>
      </c>
      <c r="AD340">
        <f t="shared" si="157"/>
        <v>0</v>
      </c>
      <c r="AE340">
        <f t="shared" si="134"/>
        <v>0</v>
      </c>
    </row>
    <row r="341" spans="1:31" x14ac:dyDescent="0.25">
      <c r="A341" s="347">
        <v>25704</v>
      </c>
      <c r="B341" s="364">
        <f t="shared" si="154"/>
        <v>25.704000000000001</v>
      </c>
      <c r="C341" s="337">
        <f t="shared" si="135"/>
        <v>5.8998532767228564</v>
      </c>
      <c r="D341" s="338">
        <f t="shared" si="136"/>
        <v>1.4004783429891294</v>
      </c>
      <c r="E341" s="338">
        <f t="shared" si="137"/>
        <v>1.000750914724031</v>
      </c>
      <c r="F341" s="339">
        <f t="shared" si="138"/>
        <v>3.8741324985885388E-2</v>
      </c>
      <c r="G341" s="338">
        <f t="shared" si="139"/>
        <v>1</v>
      </c>
      <c r="H341" s="339">
        <f t="shared" si="140"/>
        <v>0</v>
      </c>
      <c r="I341" s="337">
        <f t="shared" si="141"/>
        <v>15508.284746681078</v>
      </c>
      <c r="J341" s="340">
        <f t="shared" si="142"/>
        <v>1.5707318451312551</v>
      </c>
      <c r="K341" s="348">
        <f t="shared" si="132"/>
        <v>4.1203884337812298</v>
      </c>
      <c r="L341" s="349">
        <f t="shared" si="133"/>
        <v>1.3256527976675248</v>
      </c>
      <c r="M341" s="337">
        <f t="shared" si="143"/>
        <v>1.0273509522004485</v>
      </c>
      <c r="N341" s="340">
        <f t="shared" si="144"/>
        <v>0.23126507818992917</v>
      </c>
      <c r="O341" s="341">
        <f t="shared" si="145"/>
        <v>1.0018461681175022</v>
      </c>
      <c r="P341" s="342">
        <f t="shared" si="146"/>
        <v>0.33729012595743657</v>
      </c>
      <c r="Q341" s="343">
        <f t="shared" si="147"/>
        <v>8.035803520131811</v>
      </c>
      <c r="R341" s="344">
        <f t="shared" si="148"/>
        <v>-124.63959276533866</v>
      </c>
      <c r="S341" s="346">
        <f t="shared" si="149"/>
        <v>55.360407234661338</v>
      </c>
      <c r="U341" s="319">
        <f t="shared" si="155"/>
        <v>1000000000</v>
      </c>
      <c r="V341" s="319">
        <f t="shared" si="156"/>
        <v>660695616</v>
      </c>
      <c r="X341" s="345">
        <f t="shared" si="150"/>
        <v>25.960335703651833</v>
      </c>
      <c r="Y341" s="346">
        <f t="shared" si="151"/>
        <v>-27.292508026990294</v>
      </c>
      <c r="AA341" s="345">
        <f t="shared" si="152"/>
        <v>44.315209150869954</v>
      </c>
      <c r="AB341" s="346">
        <f t="shared" si="153"/>
        <v>-97.347084738348386</v>
      </c>
      <c r="AD341">
        <f t="shared" si="157"/>
        <v>0</v>
      </c>
      <c r="AE341">
        <f t="shared" si="134"/>
        <v>0</v>
      </c>
    </row>
    <row r="342" spans="1:31" x14ac:dyDescent="0.25">
      <c r="A342" s="347">
        <v>25853.75</v>
      </c>
      <c r="B342" s="364">
        <f t="shared" si="154"/>
        <v>25.853750000000002</v>
      </c>
      <c r="C342" s="337">
        <f t="shared" si="135"/>
        <v>5.9332407825517217</v>
      </c>
      <c r="D342" s="338">
        <f t="shared" si="136"/>
        <v>1.4014460512922049</v>
      </c>
      <c r="E342" s="338">
        <f t="shared" si="137"/>
        <v>1.0007596864511321</v>
      </c>
      <c r="F342" s="339">
        <f t="shared" si="138"/>
        <v>3.8966801933113832E-2</v>
      </c>
      <c r="G342" s="338">
        <f t="shared" si="139"/>
        <v>1</v>
      </c>
      <c r="H342" s="339">
        <f t="shared" si="140"/>
        <v>0</v>
      </c>
      <c r="I342" s="337">
        <f t="shared" si="141"/>
        <v>15598.635105815349</v>
      </c>
      <c r="J342" s="340">
        <f t="shared" si="142"/>
        <v>1.5707322186217199</v>
      </c>
      <c r="K342" s="348">
        <f t="shared" si="132"/>
        <v>4.1429835005415079</v>
      </c>
      <c r="L342" s="349">
        <f t="shared" si="133"/>
        <v>1.3270169745126925</v>
      </c>
      <c r="M342" s="337">
        <f t="shared" si="143"/>
        <v>1.0276662676735098</v>
      </c>
      <c r="N342" s="340">
        <f t="shared" si="144"/>
        <v>0.23256448759098611</v>
      </c>
      <c r="O342" s="341">
        <f t="shared" si="145"/>
        <v>1.0018853131022918</v>
      </c>
      <c r="P342" s="342">
        <f t="shared" si="146"/>
        <v>0.33932017244269891</v>
      </c>
      <c r="Q342" s="343">
        <f t="shared" si="147"/>
        <v>7.9809038052629901</v>
      </c>
      <c r="R342" s="344">
        <f t="shared" si="148"/>
        <v>-124.79474308367909</v>
      </c>
      <c r="S342" s="346">
        <f t="shared" si="149"/>
        <v>55.205256916320906</v>
      </c>
      <c r="U342" s="319">
        <f t="shared" si="155"/>
        <v>1000000000</v>
      </c>
      <c r="V342" s="319">
        <f t="shared" si="156"/>
        <v>668416389.0625</v>
      </c>
      <c r="X342" s="345">
        <f t="shared" si="150"/>
        <v>25.954714469812078</v>
      </c>
      <c r="Y342" s="346">
        <f t="shared" si="151"/>
        <v>-27.288818525215991</v>
      </c>
      <c r="AA342" s="345">
        <f t="shared" si="152"/>
        <v>44.265930669840891</v>
      </c>
      <c r="AB342" s="346">
        <f t="shared" si="153"/>
        <v>-97.505924558463093</v>
      </c>
      <c r="AD342">
        <f t="shared" si="157"/>
        <v>0</v>
      </c>
      <c r="AE342">
        <f t="shared" si="134"/>
        <v>0</v>
      </c>
    </row>
    <row r="343" spans="1:31" x14ac:dyDescent="0.25">
      <c r="A343" s="347">
        <v>26003.5</v>
      </c>
      <c r="B343" s="364">
        <f t="shared" si="154"/>
        <v>26.003499999999999</v>
      </c>
      <c r="C343" s="337">
        <f t="shared" si="135"/>
        <v>5.9666337824343216</v>
      </c>
      <c r="D343" s="338">
        <f t="shared" si="136"/>
        <v>1.4024029286859179</v>
      </c>
      <c r="E343" s="338">
        <f t="shared" si="137"/>
        <v>1.000768509055816</v>
      </c>
      <c r="F343" s="339">
        <f t="shared" si="138"/>
        <v>3.9192274916272418E-2</v>
      </c>
      <c r="G343" s="338">
        <f t="shared" si="139"/>
        <v>1</v>
      </c>
      <c r="H343" s="339">
        <f t="shared" si="140"/>
        <v>0</v>
      </c>
      <c r="I343" s="337">
        <f t="shared" si="141"/>
        <v>15688.985464951773</v>
      </c>
      <c r="J343" s="340">
        <f t="shared" si="142"/>
        <v>1.5707325878104408</v>
      </c>
      <c r="K343" s="348">
        <f t="shared" ref="K343:K406" si="158">SQRT(1+(A343/Zero2)^2)</f>
        <v>4.1655861936549989</v>
      </c>
      <c r="L343" s="349">
        <f t="shared" ref="L343:L406" si="159">ATAN(A343/Zero2)</f>
        <v>1.3283663496535543</v>
      </c>
      <c r="M343" s="337">
        <f t="shared" si="143"/>
        <v>1.0279833172587034</v>
      </c>
      <c r="N343" s="340">
        <f t="shared" si="144"/>
        <v>0.23386309765848398</v>
      </c>
      <c r="O343" s="341">
        <f t="shared" si="145"/>
        <v>1.0019250938504807</v>
      </c>
      <c r="P343" s="342">
        <f t="shared" si="146"/>
        <v>0.34135129037939377</v>
      </c>
      <c r="Q343" s="343">
        <f t="shared" si="147"/>
        <v>7.9263012031892632</v>
      </c>
      <c r="R343" s="344">
        <f t="shared" si="148"/>
        <v>-124.95013648366974</v>
      </c>
      <c r="S343" s="346">
        <f t="shared" si="149"/>
        <v>55.049863516330262</v>
      </c>
      <c r="U343" s="319">
        <f t="shared" si="155"/>
        <v>1000000000</v>
      </c>
      <c r="V343" s="319">
        <f t="shared" si="156"/>
        <v>676182012.25</v>
      </c>
      <c r="X343" s="345">
        <f t="shared" si="150"/>
        <v>25.949128358188062</v>
      </c>
      <c r="Y343" s="346">
        <f t="shared" si="151"/>
        <v>-27.285931053717821</v>
      </c>
      <c r="AA343" s="345">
        <f t="shared" si="152"/>
        <v>44.216914179391182</v>
      </c>
      <c r="AB343" s="346">
        <f t="shared" si="153"/>
        <v>-97.66420542995192</v>
      </c>
      <c r="AD343">
        <f t="shared" si="157"/>
        <v>0</v>
      </c>
      <c r="AE343">
        <f t="shared" si="134"/>
        <v>0</v>
      </c>
    </row>
    <row r="344" spans="1:31" x14ac:dyDescent="0.25">
      <c r="A344" s="347">
        <v>26153.25</v>
      </c>
      <c r="B344" s="364">
        <f t="shared" si="154"/>
        <v>26.15325</v>
      </c>
      <c r="C344" s="337">
        <f t="shared" si="135"/>
        <v>6.0000321846396787</v>
      </c>
      <c r="D344" s="338">
        <f t="shared" si="136"/>
        <v>1.4033491542697796</v>
      </c>
      <c r="E344" s="338">
        <f t="shared" si="137"/>
        <v>1.000777382536737</v>
      </c>
      <c r="F344" s="339">
        <f t="shared" si="138"/>
        <v>3.9417743912541062E-2</v>
      </c>
      <c r="G344" s="338">
        <f t="shared" si="139"/>
        <v>1</v>
      </c>
      <c r="H344" s="339">
        <f t="shared" si="140"/>
        <v>0</v>
      </c>
      <c r="I344" s="337">
        <f t="shared" si="141"/>
        <v>15779.335824090309</v>
      </c>
      <c r="J344" s="340">
        <f t="shared" si="142"/>
        <v>1.5707329527713119</v>
      </c>
      <c r="K344" s="348">
        <f t="shared" si="158"/>
        <v>4.1881963896488967</v>
      </c>
      <c r="L344" s="349">
        <f t="shared" si="159"/>
        <v>1.329701157859305</v>
      </c>
      <c r="M344" s="337">
        <f t="shared" si="143"/>
        <v>1.0283020993520271</v>
      </c>
      <c r="N344" s="340">
        <f t="shared" si="144"/>
        <v>0.23516090475389498</v>
      </c>
      <c r="O344" s="341">
        <f t="shared" si="145"/>
        <v>1.0019655174089304</v>
      </c>
      <c r="P344" s="342">
        <f t="shared" si="146"/>
        <v>0.34338348413091246</v>
      </c>
      <c r="Q344" s="343">
        <f t="shared" si="147"/>
        <v>7.8719918117043921</v>
      </c>
      <c r="R344" s="344">
        <f t="shared" si="148"/>
        <v>-125.10576982274561</v>
      </c>
      <c r="S344" s="346">
        <f t="shared" si="149"/>
        <v>54.894230177254386</v>
      </c>
      <c r="U344" s="319">
        <f t="shared" si="155"/>
        <v>1000000000</v>
      </c>
      <c r="V344" s="319">
        <f t="shared" si="156"/>
        <v>683992485.5625</v>
      </c>
      <c r="X344" s="345">
        <f t="shared" si="150"/>
        <v>25.943576330287801</v>
      </c>
      <c r="Y344" s="346">
        <f t="shared" si="151"/>
        <v>-27.283831956973263</v>
      </c>
      <c r="AA344" s="345">
        <f t="shared" si="152"/>
        <v>44.168156815806569</v>
      </c>
      <c r="AB344" s="346">
        <f t="shared" si="153"/>
        <v>-97.821937865772355</v>
      </c>
      <c r="AD344">
        <f t="shared" si="157"/>
        <v>0</v>
      </c>
      <c r="AE344">
        <f t="shared" si="134"/>
        <v>0</v>
      </c>
    </row>
    <row r="345" spans="1:31" x14ac:dyDescent="0.25">
      <c r="A345" s="347">
        <v>26303</v>
      </c>
      <c r="B345" s="364">
        <f t="shared" si="154"/>
        <v>26.303000000000001</v>
      </c>
      <c r="C345" s="337">
        <f t="shared" si="135"/>
        <v>6.0334358994532691</v>
      </c>
      <c r="D345" s="338">
        <f t="shared" si="136"/>
        <v>1.404284903254273</v>
      </c>
      <c r="E345" s="338">
        <f t="shared" si="137"/>
        <v>1.0007863068925418</v>
      </c>
      <c r="F345" s="339">
        <f t="shared" si="138"/>
        <v>3.9643208899102111E-2</v>
      </c>
      <c r="G345" s="338">
        <f t="shared" si="139"/>
        <v>1</v>
      </c>
      <c r="H345" s="339">
        <f t="shared" si="140"/>
        <v>0</v>
      </c>
      <c r="I345" s="337">
        <f t="shared" si="141"/>
        <v>15869.686183230924</v>
      </c>
      <c r="J345" s="340">
        <f t="shared" si="142"/>
        <v>1.5707333135765433</v>
      </c>
      <c r="K345" s="348">
        <f t="shared" si="158"/>
        <v>4.2108139676618226</v>
      </c>
      <c r="L345" s="349">
        <f t="shared" si="159"/>
        <v>1.3310216290652228</v>
      </c>
      <c r="M345" s="337">
        <f t="shared" si="143"/>
        <v>1.0286226123427082</v>
      </c>
      <c r="N345" s="340">
        <f t="shared" si="144"/>
        <v>0.236457905254009</v>
      </c>
      <c r="O345" s="341">
        <f t="shared" si="145"/>
        <v>1.0020065908632718</v>
      </c>
      <c r="P345" s="342">
        <f t="shared" si="146"/>
        <v>0.34541675802648103</v>
      </c>
      <c r="Q345" s="343">
        <f t="shared" si="147"/>
        <v>7.817971799245214</v>
      </c>
      <c r="R345" s="344">
        <f t="shared" si="148"/>
        <v>-125.26164001130334</v>
      </c>
      <c r="S345" s="346">
        <f t="shared" si="149"/>
        <v>54.738359988696658</v>
      </c>
      <c r="U345" s="319">
        <f t="shared" si="155"/>
        <v>1000000000</v>
      </c>
      <c r="V345" s="319">
        <f t="shared" si="156"/>
        <v>691847809</v>
      </c>
      <c r="X345" s="345">
        <f t="shared" si="150"/>
        <v>25.938057376255529</v>
      </c>
      <c r="Y345" s="346">
        <f t="shared" si="151"/>
        <v>-27.282507857203989</v>
      </c>
      <c r="AA345" s="345">
        <f t="shared" si="152"/>
        <v>44.119655757379661</v>
      </c>
      <c r="AB345" s="346">
        <f t="shared" si="153"/>
        <v>-97.979132154099389</v>
      </c>
      <c r="AD345">
        <f t="shared" si="157"/>
        <v>0</v>
      </c>
      <c r="AE345">
        <f t="shared" si="134"/>
        <v>0</v>
      </c>
    </row>
    <row r="346" spans="1:31" x14ac:dyDescent="0.25">
      <c r="A346" s="347">
        <v>26456</v>
      </c>
      <c r="B346" s="364">
        <f t="shared" si="154"/>
        <v>26.456</v>
      </c>
      <c r="C346" s="337">
        <f t="shared" si="135"/>
        <v>6.0675699652125825</v>
      </c>
      <c r="D346" s="338">
        <f t="shared" si="136"/>
        <v>1.4052303188291519</v>
      </c>
      <c r="E346" s="338">
        <f t="shared" si="137"/>
        <v>1.0007954774738388</v>
      </c>
      <c r="F346" s="339">
        <f t="shared" si="138"/>
        <v>3.9873562950836765E-2</v>
      </c>
      <c r="G346" s="338">
        <f t="shared" si="139"/>
        <v>1</v>
      </c>
      <c r="H346" s="339">
        <f t="shared" si="140"/>
        <v>0</v>
      </c>
      <c r="I346" s="337">
        <f t="shared" si="141"/>
        <v>15961.997401587052</v>
      </c>
      <c r="J346" s="340">
        <f t="shared" si="142"/>
        <v>1.5707336779937788</v>
      </c>
      <c r="K346" s="348">
        <f t="shared" si="158"/>
        <v>4.233929912314319</v>
      </c>
      <c r="L346" s="349">
        <f t="shared" si="159"/>
        <v>1.3323561854011809</v>
      </c>
      <c r="M346" s="337">
        <f t="shared" si="143"/>
        <v>1.0289518673453282</v>
      </c>
      <c r="N346" s="340">
        <f t="shared" si="144"/>
        <v>0.23778221754955634</v>
      </c>
      <c r="O346" s="341">
        <f t="shared" si="145"/>
        <v>1.002049234345366</v>
      </c>
      <c r="P346" s="342">
        <f t="shared" si="146"/>
        <v>0.34749527976538946</v>
      </c>
      <c r="Q346" s="343">
        <f t="shared" si="147"/>
        <v>7.7630743531582302</v>
      </c>
      <c r="R346" s="344">
        <f t="shared" si="148"/>
        <v>-125.42113448140853</v>
      </c>
      <c r="S346" s="346">
        <f t="shared" si="149"/>
        <v>54.578865518591471</v>
      </c>
      <c r="U346" s="319">
        <f t="shared" si="155"/>
        <v>1000000000</v>
      </c>
      <c r="V346" s="319">
        <f t="shared" si="156"/>
        <v>699919936</v>
      </c>
      <c r="X346" s="345">
        <f t="shared" si="150"/>
        <v>25.932451782096365</v>
      </c>
      <c r="Y346" s="346">
        <f t="shared" si="151"/>
        <v>-27.281941796492216</v>
      </c>
      <c r="AA346" s="345">
        <f t="shared" si="152"/>
        <v>44.070363905451842</v>
      </c>
      <c r="AB346" s="346">
        <f t="shared" si="153"/>
        <v>-98.139192684916296</v>
      </c>
      <c r="AD346">
        <f t="shared" si="157"/>
        <v>0</v>
      </c>
      <c r="AE346">
        <f t="shared" ref="AE346:AE409" si="160">IF(AD346&gt;0,S346,0)</f>
        <v>0</v>
      </c>
    </row>
    <row r="347" spans="1:31" x14ac:dyDescent="0.25">
      <c r="A347" s="347">
        <v>26609</v>
      </c>
      <c r="B347" s="364">
        <f t="shared" si="154"/>
        <v>26.609000000000002</v>
      </c>
      <c r="C347" s="337">
        <f t="shared" si="135"/>
        <v>6.1017093935501174</v>
      </c>
      <c r="D347" s="338">
        <f t="shared" si="136"/>
        <v>1.4061651559186563</v>
      </c>
      <c r="E347" s="338">
        <f t="shared" si="137"/>
        <v>1.0008047011593604</v>
      </c>
      <c r="F347" s="339">
        <f t="shared" si="138"/>
        <v>4.0103912768784375E-2</v>
      </c>
      <c r="G347" s="338">
        <f t="shared" si="139"/>
        <v>1</v>
      </c>
      <c r="H347" s="339">
        <f t="shared" si="140"/>
        <v>0</v>
      </c>
      <c r="I347" s="337">
        <f t="shared" si="141"/>
        <v>16054.308619945272</v>
      </c>
      <c r="J347" s="340">
        <f t="shared" si="142"/>
        <v>1.5707340382202641</v>
      </c>
      <c r="K347" s="348">
        <f t="shared" si="158"/>
        <v>4.2570533158665462</v>
      </c>
      <c r="L347" s="349">
        <f t="shared" si="159"/>
        <v>1.3336762460175464</v>
      </c>
      <c r="M347" s="337">
        <f t="shared" si="143"/>
        <v>1.0292829257705067</v>
      </c>
      <c r="N347" s="340">
        <f t="shared" si="144"/>
        <v>0.23910568026168963</v>
      </c>
      <c r="O347" s="341">
        <f t="shared" si="145"/>
        <v>1.0020925713157414</v>
      </c>
      <c r="P347" s="342">
        <f t="shared" si="146"/>
        <v>0.3495749380677825</v>
      </c>
      <c r="Q347" s="343">
        <f t="shared" si="147"/>
        <v>7.7084711151542411</v>
      </c>
      <c r="R347" s="344">
        <f t="shared" si="148"/>
        <v>-125.58086983771467</v>
      </c>
      <c r="S347" s="346">
        <f t="shared" si="149"/>
        <v>54.419130162285327</v>
      </c>
      <c r="U347" s="319">
        <f t="shared" si="155"/>
        <v>1000000000</v>
      </c>
      <c r="V347" s="319">
        <f t="shared" si="156"/>
        <v>708038881</v>
      </c>
      <c r="X347" s="345">
        <f t="shared" si="150"/>
        <v>25.92687866934277</v>
      </c>
      <c r="Y347" s="346">
        <f t="shared" si="151"/>
        <v>-27.282157361678731</v>
      </c>
      <c r="AA347" s="345">
        <f t="shared" si="152"/>
        <v>44.021333780201452</v>
      </c>
      <c r="AB347" s="346">
        <f t="shared" si="153"/>
        <v>-98.298712476035931</v>
      </c>
      <c r="AD347">
        <f t="shared" si="157"/>
        <v>0</v>
      </c>
      <c r="AE347">
        <f t="shared" si="160"/>
        <v>0</v>
      </c>
    </row>
    <row r="348" spans="1:31" x14ac:dyDescent="0.25">
      <c r="A348" s="347">
        <v>26762</v>
      </c>
      <c r="B348" s="364">
        <f t="shared" si="154"/>
        <v>26.762</v>
      </c>
      <c r="C348" s="337">
        <f t="shared" si="135"/>
        <v>6.1358540949549347</v>
      </c>
      <c r="D348" s="338">
        <f t="shared" si="136"/>
        <v>1.4070895894760027</v>
      </c>
      <c r="E348" s="338">
        <f t="shared" si="137"/>
        <v>1.0008139779476386</v>
      </c>
      <c r="F348" s="339">
        <f t="shared" si="138"/>
        <v>4.0334258328617152E-2</v>
      </c>
      <c r="G348" s="338">
        <f t="shared" si="139"/>
        <v>1</v>
      </c>
      <c r="H348" s="339">
        <f t="shared" si="140"/>
        <v>0</v>
      </c>
      <c r="I348" s="337">
        <f t="shared" si="141"/>
        <v>16146.619838305553</v>
      </c>
      <c r="J348" s="340">
        <f t="shared" si="142"/>
        <v>1.5707343943278755</v>
      </c>
      <c r="K348" s="348">
        <f t="shared" si="158"/>
        <v>4.280184057429909</v>
      </c>
      <c r="L348" s="349">
        <f t="shared" si="159"/>
        <v>1.3349820412870521</v>
      </c>
      <c r="M348" s="337">
        <f t="shared" si="143"/>
        <v>1.0296157858786488</v>
      </c>
      <c r="N348" s="340">
        <f t="shared" si="144"/>
        <v>0.24042828957593673</v>
      </c>
      <c r="O348" s="341">
        <f t="shared" si="145"/>
        <v>1.0021366094564874</v>
      </c>
      <c r="P348" s="342">
        <f t="shared" si="146"/>
        <v>0.3516557374387731</v>
      </c>
      <c r="Q348" s="343">
        <f t="shared" si="147"/>
        <v>7.6541582162694644</v>
      </c>
      <c r="R348" s="344">
        <f t="shared" si="148"/>
        <v>-125.74084295000031</v>
      </c>
      <c r="S348" s="346">
        <f t="shared" si="149"/>
        <v>54.259157049999686</v>
      </c>
      <c r="U348" s="319">
        <f t="shared" si="155"/>
        <v>1000000000</v>
      </c>
      <c r="V348" s="319">
        <f t="shared" si="156"/>
        <v>716204644</v>
      </c>
      <c r="X348" s="345">
        <f t="shared" si="150"/>
        <v>25.921337047807732</v>
      </c>
      <c r="Y348" s="346">
        <f t="shared" si="151"/>
        <v>-27.283141138943268</v>
      </c>
      <c r="AA348" s="345">
        <f t="shared" si="152"/>
        <v>43.972562502851709</v>
      </c>
      <c r="AB348" s="346">
        <f t="shared" si="153"/>
        <v>-98.457701811057049</v>
      </c>
      <c r="AD348">
        <f t="shared" si="157"/>
        <v>0</v>
      </c>
      <c r="AE348">
        <f t="shared" si="160"/>
        <v>0</v>
      </c>
    </row>
    <row r="349" spans="1:31" x14ac:dyDescent="0.25">
      <c r="A349" s="347">
        <v>26915</v>
      </c>
      <c r="B349" s="364">
        <f t="shared" si="154"/>
        <v>26.914999999999999</v>
      </c>
      <c r="C349" s="337">
        <f t="shared" si="135"/>
        <v>6.1700039818838306</v>
      </c>
      <c r="D349" s="338">
        <f t="shared" si="136"/>
        <v>1.4080037906530922</v>
      </c>
      <c r="E349" s="338">
        <f t="shared" si="137"/>
        <v>1.0008233078371964</v>
      </c>
      <c r="F349" s="339">
        <f t="shared" si="138"/>
        <v>4.0564599606010006E-2</v>
      </c>
      <c r="G349" s="338">
        <f t="shared" si="139"/>
        <v>1</v>
      </c>
      <c r="H349" s="339">
        <f t="shared" si="140"/>
        <v>0</v>
      </c>
      <c r="I349" s="337">
        <f t="shared" si="141"/>
        <v>16238.93105666786</v>
      </c>
      <c r="J349" s="340">
        <f t="shared" si="142"/>
        <v>1.5707347463868548</v>
      </c>
      <c r="K349" s="348">
        <f t="shared" si="158"/>
        <v>4.3033220186770054</v>
      </c>
      <c r="L349" s="349">
        <f t="shared" si="159"/>
        <v>1.3362737968247453</v>
      </c>
      <c r="M349" s="337">
        <f t="shared" si="143"/>
        <v>1.0299504459229467</v>
      </c>
      <c r="N349" s="340">
        <f t="shared" si="144"/>
        <v>0.24175004169468586</v>
      </c>
      <c r="O349" s="341">
        <f t="shared" si="145"/>
        <v>1.0021813564916977</v>
      </c>
      <c r="P349" s="342">
        <f t="shared" si="146"/>
        <v>0.35373768234513508</v>
      </c>
      <c r="Q349" s="343">
        <f t="shared" si="147"/>
        <v>7.600131857301812</v>
      </c>
      <c r="R349" s="344">
        <f t="shared" si="148"/>
        <v>-125.90105074151553</v>
      </c>
      <c r="S349" s="346">
        <f t="shared" si="149"/>
        <v>54.098949258484467</v>
      </c>
      <c r="U349" s="319">
        <f t="shared" si="155"/>
        <v>1000000000</v>
      </c>
      <c r="V349" s="319">
        <f t="shared" si="156"/>
        <v>724417225</v>
      </c>
      <c r="X349" s="345">
        <f t="shared" si="150"/>
        <v>25.915825954736139</v>
      </c>
      <c r="Y349" s="346">
        <f t="shared" si="151"/>
        <v>-27.284879987933238</v>
      </c>
      <c r="AA349" s="345">
        <f t="shared" si="152"/>
        <v>43.924047236955644</v>
      </c>
      <c r="AB349" s="346">
        <f t="shared" si="153"/>
        <v>-98.616170753582281</v>
      </c>
      <c r="AD349">
        <f t="shared" si="157"/>
        <v>0</v>
      </c>
      <c r="AE349">
        <f t="shared" si="160"/>
        <v>0</v>
      </c>
    </row>
    <row r="350" spans="1:31" x14ac:dyDescent="0.25">
      <c r="A350" s="347">
        <v>27071.75</v>
      </c>
      <c r="B350" s="364">
        <f t="shared" si="154"/>
        <v>27.071750000000002</v>
      </c>
      <c r="C350" s="337">
        <f t="shared" si="135"/>
        <v>6.2049961640549585</v>
      </c>
      <c r="D350" s="338">
        <f t="shared" si="136"/>
        <v>1.4089299621321338</v>
      </c>
      <c r="E350" s="338">
        <f t="shared" si="137"/>
        <v>1.0008329214684479</v>
      </c>
      <c r="F350" s="339">
        <f t="shared" si="138"/>
        <v>4.0800582036347975E-2</v>
      </c>
      <c r="G350" s="338">
        <f t="shared" si="139"/>
        <v>1</v>
      </c>
      <c r="H350" s="339">
        <f t="shared" si="140"/>
        <v>0</v>
      </c>
      <c r="I350" s="337">
        <f t="shared" si="141"/>
        <v>16333.504804894048</v>
      </c>
      <c r="J350" s="340">
        <f t="shared" si="142"/>
        <v>1.5707351029478063</v>
      </c>
      <c r="K350" s="348">
        <f t="shared" si="158"/>
        <v>4.3270344530074372</v>
      </c>
      <c r="L350" s="349">
        <f t="shared" si="159"/>
        <v>1.3375828839324968</v>
      </c>
      <c r="M350" s="337">
        <f t="shared" si="143"/>
        <v>1.0302951732363328</v>
      </c>
      <c r="N350" s="340">
        <f t="shared" si="144"/>
        <v>0.24310329677842105</v>
      </c>
      <c r="O350" s="341">
        <f t="shared" si="145"/>
        <v>1.0022279435576065</v>
      </c>
      <c r="P350" s="342">
        <f t="shared" si="146"/>
        <v>0.35587184793720178</v>
      </c>
      <c r="Q350" s="343">
        <f t="shared" si="147"/>
        <v>7.5450745827988444</v>
      </c>
      <c r="R350" s="344">
        <f t="shared" si="148"/>
        <v>-126.06542541051886</v>
      </c>
      <c r="S350" s="346">
        <f t="shared" si="149"/>
        <v>53.934574589481144</v>
      </c>
      <c r="U350" s="319">
        <f t="shared" si="155"/>
        <v>1000000000</v>
      </c>
      <c r="V350" s="319">
        <f t="shared" si="156"/>
        <v>732879648.0625</v>
      </c>
      <c r="X350" s="345">
        <f t="shared" si="150"/>
        <v>25.910210467199732</v>
      </c>
      <c r="Y350" s="346">
        <f t="shared" si="151"/>
        <v>-27.287431055987312</v>
      </c>
      <c r="AA350" s="345">
        <f t="shared" si="152"/>
        <v>43.874605449989083</v>
      </c>
      <c r="AB350" s="346">
        <f t="shared" si="153"/>
        <v>-98.777994354531529</v>
      </c>
      <c r="AD350">
        <f t="shared" si="157"/>
        <v>0</v>
      </c>
      <c r="AE350">
        <f t="shared" si="160"/>
        <v>0</v>
      </c>
    </row>
    <row r="351" spans="1:31" x14ac:dyDescent="0.25">
      <c r="A351" s="347">
        <v>27228.5</v>
      </c>
      <c r="B351" s="364">
        <f t="shared" si="154"/>
        <v>27.2285</v>
      </c>
      <c r="C351" s="337">
        <f t="shared" si="135"/>
        <v>6.2399936091340447</v>
      </c>
      <c r="D351" s="338">
        <f t="shared" si="136"/>
        <v>1.409845745393034</v>
      </c>
      <c r="E351" s="338">
        <f t="shared" si="137"/>
        <v>1.0008425908327176</v>
      </c>
      <c r="F351" s="339">
        <f t="shared" si="138"/>
        <v>4.1036559920068653E-2</v>
      </c>
      <c r="G351" s="338">
        <f t="shared" si="139"/>
        <v>1</v>
      </c>
      <c r="H351" s="339">
        <f t="shared" si="140"/>
        <v>0</v>
      </c>
      <c r="I351" s="337">
        <f t="shared" si="141"/>
        <v>16428.078553122294</v>
      </c>
      <c r="J351" s="340">
        <f t="shared" si="142"/>
        <v>1.5707354554034321</v>
      </c>
      <c r="K351" s="348">
        <f t="shared" si="158"/>
        <v>4.3507542217792912</v>
      </c>
      <c r="L351" s="349">
        <f t="shared" si="159"/>
        <v>1.3388776992801579</v>
      </c>
      <c r="M351" s="337">
        <f t="shared" si="143"/>
        <v>1.0306417860643828</v>
      </c>
      <c r="N351" s="340">
        <f t="shared" si="144"/>
        <v>0.24445564411695883</v>
      </c>
      <c r="O351" s="341">
        <f t="shared" si="145"/>
        <v>1.0022752912418917</v>
      </c>
      <c r="P351" s="342">
        <f t="shared" si="146"/>
        <v>0.35800722527365031</v>
      </c>
      <c r="Q351" s="343">
        <f t="shared" si="147"/>
        <v>7.4903102104743633</v>
      </c>
      <c r="R351" s="344">
        <f t="shared" si="148"/>
        <v>-126.23004003324004</v>
      </c>
      <c r="S351" s="346">
        <f t="shared" si="149"/>
        <v>53.769959966759956</v>
      </c>
      <c r="U351" s="319">
        <f t="shared" si="155"/>
        <v>1000000000</v>
      </c>
      <c r="V351" s="319">
        <f t="shared" si="156"/>
        <v>741391212.25</v>
      </c>
      <c r="X351" s="345">
        <f t="shared" si="150"/>
        <v>25.904625061690702</v>
      </c>
      <c r="Y351" s="346">
        <f t="shared" si="151"/>
        <v>-27.290747590475142</v>
      </c>
      <c r="AA351" s="345">
        <f t="shared" si="152"/>
        <v>43.825426483173629</v>
      </c>
      <c r="AB351" s="346">
        <f t="shared" si="153"/>
        <v>-98.939292442764909</v>
      </c>
      <c r="AD351">
        <f t="shared" si="157"/>
        <v>0</v>
      </c>
      <c r="AE351">
        <f t="shared" si="160"/>
        <v>0</v>
      </c>
    </row>
    <row r="352" spans="1:31" x14ac:dyDescent="0.25">
      <c r="A352" s="347">
        <v>27385.25</v>
      </c>
      <c r="B352" s="364">
        <f t="shared" si="154"/>
        <v>27.385249999999999</v>
      </c>
      <c r="C352" s="337">
        <f t="shared" si="135"/>
        <v>6.2749962290628707</v>
      </c>
      <c r="D352" s="338">
        <f t="shared" si="136"/>
        <v>1.4107513127266127</v>
      </c>
      <c r="E352" s="338">
        <f t="shared" si="137"/>
        <v>1.0008523159283904</v>
      </c>
      <c r="F352" s="339">
        <f t="shared" si="138"/>
        <v>4.1272533231023076E-2</v>
      </c>
      <c r="G352" s="338">
        <f t="shared" si="139"/>
        <v>1</v>
      </c>
      <c r="H352" s="339">
        <f t="shared" si="140"/>
        <v>0</v>
      </c>
      <c r="I352" s="337">
        <f t="shared" si="141"/>
        <v>16522.652301352551</v>
      </c>
      <c r="J352" s="340">
        <f t="shared" si="142"/>
        <v>1.5707358038242276</v>
      </c>
      <c r="K352" s="348">
        <f t="shared" si="158"/>
        <v>4.3744812056838436</v>
      </c>
      <c r="L352" s="349">
        <f t="shared" si="159"/>
        <v>1.3401584707185072</v>
      </c>
      <c r="M352" s="337">
        <f t="shared" si="143"/>
        <v>1.0309902825054003</v>
      </c>
      <c r="N352" s="340">
        <f t="shared" si="144"/>
        <v>0.24580707968187621</v>
      </c>
      <c r="O352" s="341">
        <f t="shared" si="145"/>
        <v>1.0023234079873733</v>
      </c>
      <c r="P352" s="342">
        <f t="shared" si="146"/>
        <v>0.36014381903074877</v>
      </c>
      <c r="Q352" s="343">
        <f t="shared" si="147"/>
        <v>7.4358348717584013</v>
      </c>
      <c r="R352" s="344">
        <f t="shared" si="148"/>
        <v>-126.39489146898414</v>
      </c>
      <c r="S352" s="346">
        <f t="shared" si="149"/>
        <v>53.605108531015858</v>
      </c>
      <c r="U352" s="319">
        <f t="shared" si="155"/>
        <v>1000000000</v>
      </c>
      <c r="V352" s="319">
        <f t="shared" si="156"/>
        <v>749951917.5625</v>
      </c>
      <c r="X352" s="345">
        <f t="shared" si="150"/>
        <v>25.899068786909154</v>
      </c>
      <c r="Y352" s="346">
        <f t="shared" si="151"/>
        <v>-27.294816309736209</v>
      </c>
      <c r="AA352" s="345">
        <f t="shared" si="152"/>
        <v>43.776507419239223</v>
      </c>
      <c r="AB352" s="346">
        <f t="shared" si="153"/>
        <v>-99.100075159247922</v>
      </c>
      <c r="AD352">
        <f t="shared" si="157"/>
        <v>0</v>
      </c>
      <c r="AE352">
        <f t="shared" si="160"/>
        <v>0</v>
      </c>
    </row>
    <row r="353" spans="1:31" x14ac:dyDescent="0.25">
      <c r="A353" s="347">
        <v>27542</v>
      </c>
      <c r="B353" s="364">
        <f t="shared" si="154"/>
        <v>27.542000000000002</v>
      </c>
      <c r="C353" s="337">
        <f t="shared" si="135"/>
        <v>6.3100039377242343</v>
      </c>
      <c r="D353" s="338">
        <f t="shared" si="136"/>
        <v>1.4116468326681053</v>
      </c>
      <c r="E353" s="338">
        <f t="shared" si="137"/>
        <v>1.0008620967538417</v>
      </c>
      <c r="F353" s="339">
        <f t="shared" si="138"/>
        <v>4.1508501943065323E-2</v>
      </c>
      <c r="G353" s="338">
        <f t="shared" si="139"/>
        <v>1</v>
      </c>
      <c r="H353" s="339">
        <f t="shared" si="140"/>
        <v>0</v>
      </c>
      <c r="I353" s="337">
        <f t="shared" si="141"/>
        <v>16617.226049584791</v>
      </c>
      <c r="J353" s="340">
        <f t="shared" si="142"/>
        <v>1.5707361482790829</v>
      </c>
      <c r="K353" s="348">
        <f t="shared" si="158"/>
        <v>4.3982152879510048</v>
      </c>
      <c r="L353" s="349">
        <f t="shared" si="159"/>
        <v>1.3414254213666705</v>
      </c>
      <c r="M353" s="337">
        <f t="shared" si="143"/>
        <v>1.0313406606499309</v>
      </c>
      <c r="N353" s="340">
        <f t="shared" si="144"/>
        <v>0.24715759946350219</v>
      </c>
      <c r="O353" s="341">
        <f t="shared" si="145"/>
        <v>1.0023723022828577</v>
      </c>
      <c r="P353" s="342">
        <f t="shared" si="146"/>
        <v>0.36228163384126638</v>
      </c>
      <c r="Q353" s="343">
        <f t="shared" si="147"/>
        <v>7.3816447677348513</v>
      </c>
      <c r="R353" s="344">
        <f t="shared" si="148"/>
        <v>-126.55997663147058</v>
      </c>
      <c r="S353" s="346">
        <f t="shared" si="149"/>
        <v>53.440023368529424</v>
      </c>
      <c r="U353" s="319">
        <f t="shared" si="155"/>
        <v>1000000000</v>
      </c>
      <c r="V353" s="319">
        <f t="shared" si="156"/>
        <v>758561764</v>
      </c>
      <c r="X353" s="345">
        <f t="shared" si="150"/>
        <v>25.893540718114853</v>
      </c>
      <c r="Y353" s="346">
        <f t="shared" si="151"/>
        <v>-27.299624204196117</v>
      </c>
      <c r="AA353" s="345">
        <f t="shared" si="152"/>
        <v>43.727845384009981</v>
      </c>
      <c r="AB353" s="346">
        <f t="shared" si="153"/>
        <v>-99.260352427274469</v>
      </c>
      <c r="AD353">
        <f t="shared" si="157"/>
        <v>0</v>
      </c>
      <c r="AE353">
        <f t="shared" si="160"/>
        <v>0</v>
      </c>
    </row>
    <row r="354" spans="1:31" x14ac:dyDescent="0.25">
      <c r="A354" s="347">
        <v>27702.5</v>
      </c>
      <c r="B354" s="364">
        <f t="shared" si="154"/>
        <v>27.702500000000001</v>
      </c>
      <c r="C354" s="337">
        <f t="shared" si="135"/>
        <v>6.3458543362161226</v>
      </c>
      <c r="D354" s="338">
        <f t="shared" si="136"/>
        <v>1.4125535378965024</v>
      </c>
      <c r="E354" s="338">
        <f t="shared" si="137"/>
        <v>1.0008721693142248</v>
      </c>
      <c r="F354" s="339">
        <f t="shared" si="138"/>
        <v>4.1750111047040787E-2</v>
      </c>
      <c r="G354" s="338">
        <f t="shared" si="139"/>
        <v>1</v>
      </c>
      <c r="H354" s="339">
        <f t="shared" si="140"/>
        <v>0</v>
      </c>
      <c r="I354" s="337">
        <f t="shared" si="141"/>
        <v>16714.062327681069</v>
      </c>
      <c r="J354" s="340">
        <f t="shared" si="142"/>
        <v>1.5707364969354052</v>
      </c>
      <c r="K354" s="348">
        <f t="shared" si="158"/>
        <v>4.4225244069878915</v>
      </c>
      <c r="L354" s="349">
        <f t="shared" si="159"/>
        <v>1.3427085893204806</v>
      </c>
      <c r="M354" s="337">
        <f t="shared" si="143"/>
        <v>1.031701368811563</v>
      </c>
      <c r="N354" s="340">
        <f t="shared" si="144"/>
        <v>0.24853947525432893</v>
      </c>
      <c r="O354" s="341">
        <f t="shared" si="145"/>
        <v>1.0024231808875876</v>
      </c>
      <c r="P354" s="342">
        <f t="shared" si="146"/>
        <v>0.3644718625599026</v>
      </c>
      <c r="Q354" s="343">
        <f t="shared" si="147"/>
        <v>7.3264499054342789</v>
      </c>
      <c r="R354" s="344">
        <f t="shared" si="148"/>
        <v>-126.72925021331174</v>
      </c>
      <c r="S354" s="346">
        <f t="shared" si="149"/>
        <v>53.270749786688256</v>
      </c>
      <c r="U354" s="319">
        <f t="shared" si="155"/>
        <v>1000000000</v>
      </c>
      <c r="V354" s="319">
        <f t="shared" si="156"/>
        <v>767428506.25</v>
      </c>
      <c r="X354" s="345">
        <f t="shared" si="150"/>
        <v>25.887908686291297</v>
      </c>
      <c r="Y354" s="346">
        <f t="shared" si="151"/>
        <v>-27.305299723204278</v>
      </c>
      <c r="AA354" s="345">
        <f t="shared" si="152"/>
        <v>43.678282553532952</v>
      </c>
      <c r="AB354" s="346">
        <f t="shared" si="153"/>
        <v>-99.423950490107458</v>
      </c>
      <c r="AD354">
        <f t="shared" si="157"/>
        <v>0</v>
      </c>
      <c r="AE354">
        <f t="shared" si="160"/>
        <v>0</v>
      </c>
    </row>
    <row r="355" spans="1:31" x14ac:dyDescent="0.25">
      <c r="A355" s="347">
        <v>27863</v>
      </c>
      <c r="B355" s="364">
        <f t="shared" si="154"/>
        <v>27.863</v>
      </c>
      <c r="C355" s="337">
        <f t="shared" si="135"/>
        <v>6.381709893108507</v>
      </c>
      <c r="D355" s="338">
        <f t="shared" si="136"/>
        <v>1.4134500552311751</v>
      </c>
      <c r="E355" s="338">
        <f t="shared" si="137"/>
        <v>1.0008823002993021</v>
      </c>
      <c r="F355" s="339">
        <f t="shared" si="138"/>
        <v>4.199171527395866E-2</v>
      </c>
      <c r="G355" s="338">
        <f t="shared" si="139"/>
        <v>1</v>
      </c>
      <c r="H355" s="339">
        <f t="shared" si="140"/>
        <v>0</v>
      </c>
      <c r="I355" s="337">
        <f t="shared" si="141"/>
        <v>16810.898605779355</v>
      </c>
      <c r="J355" s="340">
        <f t="shared" si="142"/>
        <v>1.5707368415749783</v>
      </c>
      <c r="K355" s="348">
        <f t="shared" si="158"/>
        <v>4.4468407281795406</v>
      </c>
      <c r="L355" s="349">
        <f t="shared" si="159"/>
        <v>1.3439777260453485</v>
      </c>
      <c r="M355" s="337">
        <f t="shared" si="143"/>
        <v>1.0320640457109063</v>
      </c>
      <c r="N355" s="340">
        <f t="shared" si="144"/>
        <v>0.24992038247257239</v>
      </c>
      <c r="O355" s="341">
        <f t="shared" si="145"/>
        <v>1.0024748928506524</v>
      </c>
      <c r="P355" s="342">
        <f t="shared" si="146"/>
        <v>0.36666338114365687</v>
      </c>
      <c r="Q355" s="343">
        <f t="shared" si="147"/>
        <v>7.2715462442012058</v>
      </c>
      <c r="R355" s="344">
        <f t="shared" si="148"/>
        <v>-126.8987624600387</v>
      </c>
      <c r="S355" s="346">
        <f t="shared" si="149"/>
        <v>53.101237539961303</v>
      </c>
      <c r="U355" s="319">
        <f t="shared" si="155"/>
        <v>1000000000</v>
      </c>
      <c r="V355" s="319">
        <f t="shared" si="156"/>
        <v>776346769</v>
      </c>
      <c r="X355" s="345">
        <f t="shared" si="150"/>
        <v>25.882304345658454</v>
      </c>
      <c r="Y355" s="346">
        <f t="shared" si="151"/>
        <v>-27.311723447149134</v>
      </c>
      <c r="AA355" s="345">
        <f t="shared" si="152"/>
        <v>43.628983232932733</v>
      </c>
      <c r="AB355" s="346">
        <f t="shared" si="153"/>
        <v>-99.587039012889576</v>
      </c>
      <c r="AD355">
        <f t="shared" si="157"/>
        <v>0</v>
      </c>
      <c r="AE355">
        <f t="shared" si="160"/>
        <v>0</v>
      </c>
    </row>
    <row r="356" spans="1:31" x14ac:dyDescent="0.25">
      <c r="A356" s="347">
        <v>28023.5</v>
      </c>
      <c r="B356" s="364">
        <f t="shared" si="154"/>
        <v>28.023499999999999</v>
      </c>
      <c r="C356" s="337">
        <f t="shared" si="135"/>
        <v>6.4175705219400125</v>
      </c>
      <c r="D356" s="338">
        <f t="shared" si="136"/>
        <v>1.4143365540050237</v>
      </c>
      <c r="E356" s="338">
        <f t="shared" si="137"/>
        <v>1.0008924897072993</v>
      </c>
      <c r="F356" s="339">
        <f t="shared" si="138"/>
        <v>4.2233314595761344E-2</v>
      </c>
      <c r="G356" s="338">
        <f t="shared" si="139"/>
        <v>1</v>
      </c>
      <c r="H356" s="339">
        <f t="shared" si="140"/>
        <v>0</v>
      </c>
      <c r="I356" s="337">
        <f t="shared" si="141"/>
        <v>16907.734883879617</v>
      </c>
      <c r="J356" s="340">
        <f t="shared" si="142"/>
        <v>1.5707371822668181</v>
      </c>
      <c r="K356" s="348">
        <f t="shared" si="158"/>
        <v>4.4711641340197055</v>
      </c>
      <c r="L356" s="349">
        <f t="shared" si="159"/>
        <v>1.3452330564113759</v>
      </c>
      <c r="M356" s="337">
        <f t="shared" si="143"/>
        <v>1.0324286892731953</v>
      </c>
      <c r="N356" s="340">
        <f t="shared" si="144"/>
        <v>0.2513003168752368</v>
      </c>
      <c r="O356" s="341">
        <f t="shared" si="145"/>
        <v>1.0025274474341528</v>
      </c>
      <c r="P356" s="342">
        <f t="shared" si="146"/>
        <v>0.36885619442193623</v>
      </c>
      <c r="Q356" s="343">
        <f t="shared" si="147"/>
        <v>7.2169299220065044</v>
      </c>
      <c r="R356" s="344">
        <f t="shared" si="148"/>
        <v>-127.06851022876498</v>
      </c>
      <c r="S356" s="346">
        <f t="shared" si="149"/>
        <v>52.931489771235022</v>
      </c>
      <c r="U356" s="319">
        <f t="shared" si="155"/>
        <v>1000000000</v>
      </c>
      <c r="V356" s="319">
        <f t="shared" si="156"/>
        <v>785316552.25</v>
      </c>
      <c r="X356" s="345">
        <f t="shared" si="150"/>
        <v>25.876726784649602</v>
      </c>
      <c r="Y356" s="346">
        <f t="shared" si="151"/>
        <v>-27.318882252771445</v>
      </c>
      <c r="AA356" s="345">
        <f t="shared" si="152"/>
        <v>43.579944471746884</v>
      </c>
      <c r="AB356" s="346">
        <f t="shared" si="153"/>
        <v>-99.749627975993533</v>
      </c>
      <c r="AD356">
        <f t="shared" si="157"/>
        <v>0</v>
      </c>
      <c r="AE356">
        <f t="shared" si="160"/>
        <v>0</v>
      </c>
    </row>
    <row r="357" spans="1:31" x14ac:dyDescent="0.25">
      <c r="A357" s="347">
        <v>28184</v>
      </c>
      <c r="B357" s="364">
        <f t="shared" si="154"/>
        <v>28.184000000000001</v>
      </c>
      <c r="C357" s="337">
        <f t="shared" si="135"/>
        <v>6.453436138158974</v>
      </c>
      <c r="D357" s="338">
        <f t="shared" si="136"/>
        <v>1.4152131998504001</v>
      </c>
      <c r="E357" s="338">
        <f t="shared" si="137"/>
        <v>1.0009027375364319</v>
      </c>
      <c r="F357" s="339">
        <f t="shared" si="138"/>
        <v>4.2474908984394655E-2</v>
      </c>
      <c r="G357" s="338">
        <f t="shared" si="139"/>
        <v>1</v>
      </c>
      <c r="H357" s="339">
        <f t="shared" si="140"/>
        <v>0</v>
      </c>
      <c r="I357" s="337">
        <f t="shared" si="141"/>
        <v>17004.571161981818</v>
      </c>
      <c r="J357" s="340">
        <f t="shared" si="142"/>
        <v>1.5707375190783686</v>
      </c>
      <c r="K357" s="348">
        <f t="shared" si="158"/>
        <v>4.4954945095113938</v>
      </c>
      <c r="L357" s="349">
        <f t="shared" si="159"/>
        <v>1.3464748005967149</v>
      </c>
      <c r="M357" s="337">
        <f t="shared" si="143"/>
        <v>1.0327952974153525</v>
      </c>
      <c r="N357" s="340">
        <f t="shared" si="144"/>
        <v>0.25267927424012193</v>
      </c>
      <c r="O357" s="341">
        <f t="shared" si="145"/>
        <v>1.0025808539503884</v>
      </c>
      <c r="P357" s="342">
        <f t="shared" si="146"/>
        <v>0.37105030717490511</v>
      </c>
      <c r="Q357" s="343">
        <f t="shared" si="147"/>
        <v>7.1625971462038693</v>
      </c>
      <c r="R357" s="344">
        <f t="shared" si="148"/>
        <v>-127.23849043168707</v>
      </c>
      <c r="S357" s="346">
        <f t="shared" si="149"/>
        <v>52.761509568312931</v>
      </c>
      <c r="U357" s="319">
        <f t="shared" si="155"/>
        <v>1000000000</v>
      </c>
      <c r="V357" s="319">
        <f t="shared" si="156"/>
        <v>794337856</v>
      </c>
      <c r="X357" s="345">
        <f t="shared" si="150"/>
        <v>25.871175117342815</v>
      </c>
      <c r="Y357" s="346">
        <f t="shared" si="151"/>
        <v>-27.326763286742342</v>
      </c>
      <c r="AA357" s="345">
        <f t="shared" si="152"/>
        <v>43.531163363251025</v>
      </c>
      <c r="AB357" s="346">
        <f t="shared" si="153"/>
        <v>-99.911727144944734</v>
      </c>
      <c r="AD357">
        <f t="shared" si="157"/>
        <v>0</v>
      </c>
      <c r="AE357">
        <f t="shared" si="160"/>
        <v>0</v>
      </c>
    </row>
    <row r="358" spans="1:31" x14ac:dyDescent="0.25">
      <c r="A358" s="347">
        <v>28348</v>
      </c>
      <c r="B358" s="364">
        <f t="shared" si="154"/>
        <v>28.347999999999999</v>
      </c>
      <c r="C358" s="337">
        <f t="shared" si="135"/>
        <v>6.4900889363023397</v>
      </c>
      <c r="D358" s="338">
        <f t="shared" si="136"/>
        <v>1.4160989535868376</v>
      </c>
      <c r="E358" s="338">
        <f t="shared" si="137"/>
        <v>1.0009132691826053</v>
      </c>
      <c r="F358" s="339">
        <f t="shared" si="138"/>
        <v>4.2721766661594038E-2</v>
      </c>
      <c r="G358" s="338">
        <f t="shared" si="139"/>
        <v>1</v>
      </c>
      <c r="H358" s="339">
        <f t="shared" si="140"/>
        <v>0</v>
      </c>
      <c r="I358" s="337">
        <f t="shared" si="141"/>
        <v>17103.519134624043</v>
      </c>
      <c r="J358" s="340">
        <f t="shared" si="142"/>
        <v>1.5707378592951557</v>
      </c>
      <c r="K358" s="348">
        <f t="shared" si="158"/>
        <v>4.5203625361335753</v>
      </c>
      <c r="L358" s="349">
        <f t="shared" si="159"/>
        <v>1.3477298137996359</v>
      </c>
      <c r="M358" s="337">
        <f t="shared" si="143"/>
        <v>1.0331719272605406</v>
      </c>
      <c r="N358" s="340">
        <f t="shared" si="144"/>
        <v>0.25408728872587655</v>
      </c>
      <c r="O358" s="341">
        <f t="shared" si="145"/>
        <v>1.0026363148384201</v>
      </c>
      <c r="P358" s="342">
        <f t="shared" si="146"/>
        <v>0.37329361383492576</v>
      </c>
      <c r="Q358" s="343">
        <f t="shared" si="147"/>
        <v>7.1073685569396066</v>
      </c>
      <c r="R358" s="344">
        <f t="shared" si="148"/>
        <v>-127.41241430415296</v>
      </c>
      <c r="S358" s="346">
        <f t="shared" si="149"/>
        <v>52.587585695847039</v>
      </c>
      <c r="U358" s="319">
        <f t="shared" si="155"/>
        <v>1000000000</v>
      </c>
      <c r="V358" s="319">
        <f t="shared" si="156"/>
        <v>803609104</v>
      </c>
      <c r="X358" s="345">
        <f t="shared" si="150"/>
        <v>25.865528236695312</v>
      </c>
      <c r="Y358" s="346">
        <f t="shared" si="151"/>
        <v>-27.335549107504864</v>
      </c>
      <c r="AA358" s="345">
        <f t="shared" si="152"/>
        <v>43.481581654634276</v>
      </c>
      <c r="AB358" s="346">
        <f t="shared" si="153"/>
        <v>-100.07686519664809</v>
      </c>
      <c r="AD358">
        <f t="shared" si="157"/>
        <v>0</v>
      </c>
      <c r="AE358">
        <f t="shared" si="160"/>
        <v>0</v>
      </c>
    </row>
    <row r="359" spans="1:31" x14ac:dyDescent="0.25">
      <c r="A359" s="347">
        <v>28512</v>
      </c>
      <c r="B359" s="364">
        <f t="shared" si="154"/>
        <v>28.512</v>
      </c>
      <c r="C359" s="337">
        <f t="shared" si="135"/>
        <v>6.526746769115908</v>
      </c>
      <c r="D359" s="338">
        <f t="shared" si="136"/>
        <v>1.4169747582346579</v>
      </c>
      <c r="E359" s="338">
        <f t="shared" si="137"/>
        <v>1.000923861821859</v>
      </c>
      <c r="F359" s="339">
        <f t="shared" si="138"/>
        <v>4.2968619128914497E-2</v>
      </c>
      <c r="G359" s="338">
        <f t="shared" si="139"/>
        <v>1</v>
      </c>
      <c r="H359" s="339">
        <f t="shared" si="140"/>
        <v>0</v>
      </c>
      <c r="I359" s="337">
        <f t="shared" si="141"/>
        <v>17202.467107268225</v>
      </c>
      <c r="J359" s="340">
        <f t="shared" si="142"/>
        <v>1.5707381955981137</v>
      </c>
      <c r="K359" s="348">
        <f t="shared" si="158"/>
        <v>4.5452376046746101</v>
      </c>
      <c r="L359" s="349">
        <f t="shared" si="159"/>
        <v>1.3489710921268796</v>
      </c>
      <c r="M359" s="337">
        <f t="shared" si="143"/>
        <v>1.033550603878864</v>
      </c>
      <c r="N359" s="340">
        <f t="shared" si="144"/>
        <v>0.25549427425074633</v>
      </c>
      <c r="O359" s="341">
        <f t="shared" si="145"/>
        <v>1.0026926850379267</v>
      </c>
      <c r="P359" s="342">
        <f t="shared" si="146"/>
        <v>0.37553828719436672</v>
      </c>
      <c r="Q359" s="343">
        <f t="shared" si="147"/>
        <v>7.0524282237398319</v>
      </c>
      <c r="R359" s="344">
        <f t="shared" si="148"/>
        <v>-127.5865745114906</v>
      </c>
      <c r="S359" s="346">
        <f t="shared" si="149"/>
        <v>52.413425488509404</v>
      </c>
      <c r="U359" s="319">
        <f t="shared" si="155"/>
        <v>1000000000</v>
      </c>
      <c r="V359" s="319">
        <f t="shared" si="156"/>
        <v>812934144</v>
      </c>
      <c r="X359" s="345">
        <f t="shared" si="150"/>
        <v>25.859906599671149</v>
      </c>
      <c r="Y359" s="346">
        <f t="shared" si="151"/>
        <v>-27.34506269931477</v>
      </c>
      <c r="AA359" s="345">
        <f t="shared" si="152"/>
        <v>43.432262958458658</v>
      </c>
      <c r="AB359" s="346">
        <f t="shared" si="153"/>
        <v>-100.24151181217583</v>
      </c>
      <c r="AD359">
        <f t="shared" si="157"/>
        <v>0</v>
      </c>
      <c r="AE359">
        <f t="shared" si="160"/>
        <v>0</v>
      </c>
    </row>
    <row r="360" spans="1:31" x14ac:dyDescent="0.25">
      <c r="A360" s="347">
        <v>28676</v>
      </c>
      <c r="B360" s="364">
        <f t="shared" si="154"/>
        <v>28.675999999999998</v>
      </c>
      <c r="C360" s="337">
        <f t="shared" si="135"/>
        <v>6.5634095522410396</v>
      </c>
      <c r="D360" s="338">
        <f t="shared" si="136"/>
        <v>1.4178407791638405</v>
      </c>
      <c r="E360" s="338">
        <f t="shared" si="137"/>
        <v>1.0009345154522569</v>
      </c>
      <c r="F360" s="339">
        <f t="shared" si="138"/>
        <v>4.3215466356437429E-2</v>
      </c>
      <c r="G360" s="338">
        <f t="shared" si="139"/>
        <v>1</v>
      </c>
      <c r="H360" s="339">
        <f t="shared" si="140"/>
        <v>0</v>
      </c>
      <c r="I360" s="337">
        <f t="shared" si="141"/>
        <v>17301.415079914332</v>
      </c>
      <c r="J360" s="340">
        <f t="shared" si="142"/>
        <v>1.5707385280543926</v>
      </c>
      <c r="K360" s="348">
        <f t="shared" si="158"/>
        <v>4.5701196001474331</v>
      </c>
      <c r="L360" s="349">
        <f t="shared" si="159"/>
        <v>1.3501988560602352</v>
      </c>
      <c r="M360" s="337">
        <f t="shared" si="143"/>
        <v>1.033931325021435</v>
      </c>
      <c r="N360" s="340">
        <f t="shared" si="144"/>
        <v>0.25690022637781157</v>
      </c>
      <c r="O360" s="341">
        <f t="shared" si="145"/>
        <v>1.0027499746456121</v>
      </c>
      <c r="P360" s="342">
        <f t="shared" si="146"/>
        <v>0.37778433219128726</v>
      </c>
      <c r="Q360" s="343">
        <f t="shared" si="147"/>
        <v>6.9977723141119199</v>
      </c>
      <c r="R360" s="344">
        <f t="shared" si="148"/>
        <v>-127.76096793030078</v>
      </c>
      <c r="S360" s="346">
        <f t="shared" si="149"/>
        <v>52.239032069699221</v>
      </c>
      <c r="U360" s="319">
        <f t="shared" si="155"/>
        <v>1000000000</v>
      </c>
      <c r="V360" s="319">
        <f t="shared" si="156"/>
        <v>822312976</v>
      </c>
      <c r="X360" s="345">
        <f t="shared" si="150"/>
        <v>25.854309338888328</v>
      </c>
      <c r="Y360" s="346">
        <f t="shared" si="151"/>
        <v>-27.355291179126741</v>
      </c>
      <c r="AA360" s="345">
        <f t="shared" si="152"/>
        <v>43.383204309613568</v>
      </c>
      <c r="AB360" s="346">
        <f t="shared" si="153"/>
        <v>-100.40567675117403</v>
      </c>
      <c r="AD360">
        <f t="shared" si="157"/>
        <v>0</v>
      </c>
      <c r="AE360">
        <f t="shared" si="160"/>
        <v>0</v>
      </c>
    </row>
    <row r="361" spans="1:31" x14ac:dyDescent="0.25">
      <c r="A361" s="347">
        <v>28840</v>
      </c>
      <c r="B361" s="364">
        <f t="shared" si="154"/>
        <v>28.84</v>
      </c>
      <c r="C361" s="337">
        <f t="shared" si="135"/>
        <v>6.600077203182245</v>
      </c>
      <c r="D361" s="338">
        <f t="shared" si="136"/>
        <v>1.4186971781288693</v>
      </c>
      <c r="E361" s="338">
        <f t="shared" si="137"/>
        <v>1.0009452300718513</v>
      </c>
      <c r="F361" s="339">
        <f t="shared" si="138"/>
        <v>4.3462308314248077E-2</v>
      </c>
      <c r="G361" s="338">
        <f t="shared" si="139"/>
        <v>1</v>
      </c>
      <c r="H361" s="339">
        <f t="shared" si="140"/>
        <v>0</v>
      </c>
      <c r="I361" s="337">
        <f t="shared" si="141"/>
        <v>17400.363052562327</v>
      </c>
      <c r="J361" s="340">
        <f t="shared" si="142"/>
        <v>1.5707388567296152</v>
      </c>
      <c r="K361" s="348">
        <f t="shared" si="158"/>
        <v>4.5950084100239259</v>
      </c>
      <c r="L361" s="349">
        <f t="shared" si="159"/>
        <v>1.3514133214695192</v>
      </c>
      <c r="M361" s="337">
        <f t="shared" si="143"/>
        <v>1.034314088430544</v>
      </c>
      <c r="N361" s="340">
        <f t="shared" si="144"/>
        <v>0.25830514069300897</v>
      </c>
      <c r="O361" s="341">
        <f t="shared" si="145"/>
        <v>1.0028081938124869</v>
      </c>
      <c r="P361" s="342">
        <f t="shared" si="146"/>
        <v>0.38003175370846265</v>
      </c>
      <c r="Q361" s="343">
        <f t="shared" si="147"/>
        <v>6.9433970641118057</v>
      </c>
      <c r="R361" s="344">
        <f t="shared" si="148"/>
        <v>-127.93559149233236</v>
      </c>
      <c r="S361" s="346">
        <f t="shared" si="149"/>
        <v>52.064408507667636</v>
      </c>
      <c r="U361" s="319">
        <f t="shared" si="155"/>
        <v>1000000000</v>
      </c>
      <c r="V361" s="319">
        <f t="shared" si="156"/>
        <v>831745600</v>
      </c>
      <c r="X361" s="345">
        <f t="shared" si="150"/>
        <v>25.848735611515714</v>
      </c>
      <c r="Y361" s="346">
        <f t="shared" si="151"/>
        <v>-27.366221929364045</v>
      </c>
      <c r="AA361" s="345">
        <f t="shared" si="152"/>
        <v>43.334402786986075</v>
      </c>
      <c r="AB361" s="346">
        <f t="shared" si="153"/>
        <v>-100.56936956296833</v>
      </c>
      <c r="AD361">
        <f t="shared" si="157"/>
        <v>0</v>
      </c>
      <c r="AE361">
        <f t="shared" si="160"/>
        <v>0</v>
      </c>
    </row>
    <row r="362" spans="1:31" x14ac:dyDescent="0.25">
      <c r="A362" s="347">
        <v>29008</v>
      </c>
      <c r="B362" s="364">
        <f t="shared" si="154"/>
        <v>29.007999999999999</v>
      </c>
      <c r="C362" s="337">
        <f t="shared" si="135"/>
        <v>6.6376441501001668</v>
      </c>
      <c r="D362" s="338">
        <f t="shared" si="136"/>
        <v>1.4195646534089681</v>
      </c>
      <c r="E362" s="338">
        <f t="shared" si="137"/>
        <v>1.000956269260233</v>
      </c>
      <c r="F362" s="339">
        <f t="shared" si="138"/>
        <v>4.3715165312274776E-2</v>
      </c>
      <c r="G362" s="338">
        <f t="shared" si="139"/>
        <v>1</v>
      </c>
      <c r="H362" s="339">
        <f t="shared" si="140"/>
        <v>0</v>
      </c>
      <c r="I362" s="337">
        <f t="shared" si="141"/>
        <v>17501.724390398784</v>
      </c>
      <c r="J362" s="340">
        <f t="shared" si="142"/>
        <v>1.5707391895678304</v>
      </c>
      <c r="K362" s="348">
        <f t="shared" si="158"/>
        <v>4.6205112146725202</v>
      </c>
      <c r="L362" s="349">
        <f t="shared" si="159"/>
        <v>1.3526438399008935</v>
      </c>
      <c r="M362" s="337">
        <f t="shared" si="143"/>
        <v>1.0347083027543944</v>
      </c>
      <c r="N362" s="340">
        <f t="shared" si="144"/>
        <v>0.25974324053174158</v>
      </c>
      <c r="O362" s="341">
        <f t="shared" si="145"/>
        <v>1.0028688074709633</v>
      </c>
      <c r="P362" s="342">
        <f t="shared" si="146"/>
        <v>0.3823354227202363</v>
      </c>
      <c r="Q362" s="343">
        <f t="shared" si="147"/>
        <v>6.8879827354844707</v>
      </c>
      <c r="R362" s="344">
        <f t="shared" si="148"/>
        <v>-128.11470964665307</v>
      </c>
      <c r="S362" s="346">
        <f t="shared" si="149"/>
        <v>51.885290353346932</v>
      </c>
      <c r="U362" s="319">
        <f t="shared" si="155"/>
        <v>1000000000</v>
      </c>
      <c r="V362" s="319">
        <f t="shared" si="156"/>
        <v>841464064</v>
      </c>
      <c r="X362" s="345">
        <f t="shared" si="150"/>
        <v>25.843049484932038</v>
      </c>
      <c r="Y362" s="346">
        <f t="shared" si="151"/>
        <v>-27.378134538149652</v>
      </c>
      <c r="AA362" s="345">
        <f t="shared" si="152"/>
        <v>43.284674584942408</v>
      </c>
      <c r="AB362" s="346">
        <f t="shared" si="153"/>
        <v>-100.73657510850342</v>
      </c>
      <c r="AD362">
        <f t="shared" si="157"/>
        <v>0</v>
      </c>
      <c r="AE362">
        <f t="shared" si="160"/>
        <v>0</v>
      </c>
    </row>
    <row r="363" spans="1:31" x14ac:dyDescent="0.25">
      <c r="A363" s="347">
        <v>29176</v>
      </c>
      <c r="B363" s="364">
        <f t="shared" si="154"/>
        <v>29.175999999999998</v>
      </c>
      <c r="C363" s="337">
        <f t="shared" si="135"/>
        <v>6.6752160357107977</v>
      </c>
      <c r="D363" s="338">
        <f t="shared" si="136"/>
        <v>1.420422364046916</v>
      </c>
      <c r="E363" s="338">
        <f t="shared" si="137"/>
        <v>1.0009673724450028</v>
      </c>
      <c r="F363" s="339">
        <f t="shared" si="138"/>
        <v>4.3968016716858294E-2</v>
      </c>
      <c r="G363" s="338">
        <f t="shared" si="139"/>
        <v>1</v>
      </c>
      <c r="H363" s="339">
        <f t="shared" si="140"/>
        <v>0</v>
      </c>
      <c r="I363" s="337">
        <f t="shared" si="141"/>
        <v>17603.085728237154</v>
      </c>
      <c r="J363" s="340">
        <f t="shared" si="142"/>
        <v>1.570739518572976</v>
      </c>
      <c r="K363" s="348">
        <f t="shared" si="158"/>
        <v>4.6460209387729634</v>
      </c>
      <c r="L363" s="349">
        <f t="shared" si="159"/>
        <v>1.3538608474400773</v>
      </c>
      <c r="M363" s="337">
        <f t="shared" si="143"/>
        <v>1.0351046553581829</v>
      </c>
      <c r="N363" s="340">
        <f t="shared" si="144"/>
        <v>0.26118024201298146</v>
      </c>
      <c r="O363" s="341">
        <f t="shared" si="145"/>
        <v>1.0029304183244294</v>
      </c>
      <c r="P363" s="342">
        <f t="shared" si="146"/>
        <v>0.38464054641157097</v>
      </c>
      <c r="Q363" s="343">
        <f t="shared" si="147"/>
        <v>6.8328551416281602</v>
      </c>
      <c r="R363" s="344">
        <f t="shared" si="148"/>
        <v>-128.29406296190294</v>
      </c>
      <c r="S363" s="346">
        <f t="shared" si="149"/>
        <v>51.705937038097062</v>
      </c>
      <c r="U363" s="319">
        <f t="shared" si="155"/>
        <v>1000000000</v>
      </c>
      <c r="V363" s="319">
        <f t="shared" si="156"/>
        <v>851238976</v>
      </c>
      <c r="X363" s="345">
        <f t="shared" si="150"/>
        <v>25.837386338887598</v>
      </c>
      <c r="Y363" s="346">
        <f t="shared" si="151"/>
        <v>-27.390758113168623</v>
      </c>
      <c r="AA363" s="345">
        <f t="shared" si="152"/>
        <v>43.235210137130544</v>
      </c>
      <c r="AB363" s="346">
        <f t="shared" si="153"/>
        <v>-100.90330484873432</v>
      </c>
      <c r="AD363">
        <f t="shared" si="157"/>
        <v>0</v>
      </c>
      <c r="AE363">
        <f t="shared" si="160"/>
        <v>0</v>
      </c>
    </row>
    <row r="364" spans="1:31" x14ac:dyDescent="0.25">
      <c r="A364" s="347">
        <v>29344</v>
      </c>
      <c r="B364" s="364">
        <f t="shared" si="154"/>
        <v>29.344000000000001</v>
      </c>
      <c r="C364" s="337">
        <f t="shared" si="135"/>
        <v>6.7127927770877021</v>
      </c>
      <c r="D364" s="338">
        <f t="shared" si="136"/>
        <v>1.4212704727509926</v>
      </c>
      <c r="E364" s="338">
        <f t="shared" si="137"/>
        <v>1.0009785396240312</v>
      </c>
      <c r="F364" s="339">
        <f t="shared" si="138"/>
        <v>4.4220862495853781E-2</v>
      </c>
      <c r="G364" s="338">
        <f t="shared" si="139"/>
        <v>1</v>
      </c>
      <c r="H364" s="339">
        <f t="shared" si="140"/>
        <v>0</v>
      </c>
      <c r="I364" s="337">
        <f t="shared" si="141"/>
        <v>17704.447066077413</v>
      </c>
      <c r="J364" s="340">
        <f t="shared" si="142"/>
        <v>1.570739843810887</v>
      </c>
      <c r="K364" s="348">
        <f t="shared" si="158"/>
        <v>4.6715374689707296</v>
      </c>
      <c r="L364" s="349">
        <f t="shared" si="159"/>
        <v>1.3550645618468076</v>
      </c>
      <c r="M364" s="337">
        <f t="shared" si="143"/>
        <v>1.0355031437865441</v>
      </c>
      <c r="N364" s="340">
        <f t="shared" si="144"/>
        <v>0.26261614046664222</v>
      </c>
      <c r="O364" s="341">
        <f t="shared" si="145"/>
        <v>1.0029930374614588</v>
      </c>
      <c r="P364" s="342">
        <f t="shared" si="146"/>
        <v>0.38694712984815754</v>
      </c>
      <c r="Q364" s="343">
        <f t="shared" si="147"/>
        <v>6.7780104494532054</v>
      </c>
      <c r="R364" s="344">
        <f t="shared" si="148"/>
        <v>-128.47364831214614</v>
      </c>
      <c r="S364" s="346">
        <f t="shared" si="149"/>
        <v>51.526351687853861</v>
      </c>
      <c r="U364" s="319">
        <f t="shared" si="155"/>
        <v>1000000000</v>
      </c>
      <c r="V364" s="319">
        <f t="shared" si="156"/>
        <v>861070336</v>
      </c>
      <c r="X364" s="345">
        <f t="shared" si="150"/>
        <v>25.831745342469809</v>
      </c>
      <c r="Y364" s="346">
        <f t="shared" si="151"/>
        <v>-27.404079913902876</v>
      </c>
      <c r="AA364" s="345">
        <f t="shared" si="152"/>
        <v>43.186006441373372</v>
      </c>
      <c r="AB364" s="346">
        <f t="shared" si="153"/>
        <v>-101.06956839824326</v>
      </c>
      <c r="AD364">
        <f t="shared" si="157"/>
        <v>0</v>
      </c>
      <c r="AE364">
        <f t="shared" si="160"/>
        <v>0</v>
      </c>
    </row>
    <row r="365" spans="1:31" x14ac:dyDescent="0.25">
      <c r="A365" s="347">
        <v>29512</v>
      </c>
      <c r="B365" s="364">
        <f t="shared" si="154"/>
        <v>29.512</v>
      </c>
      <c r="C365" s="337">
        <f t="shared" si="135"/>
        <v>6.7503742931403199</v>
      </c>
      <c r="D365" s="338">
        <f t="shared" si="136"/>
        <v>1.4221091386620375</v>
      </c>
      <c r="E365" s="338">
        <f t="shared" si="137"/>
        <v>1.0009897707951763</v>
      </c>
      <c r="F365" s="339">
        <f t="shared" si="138"/>
        <v>4.4473702617120706E-2</v>
      </c>
      <c r="G365" s="338">
        <f t="shared" si="139"/>
        <v>1</v>
      </c>
      <c r="H365" s="339">
        <f t="shared" si="140"/>
        <v>0</v>
      </c>
      <c r="I365" s="337">
        <f t="shared" si="141"/>
        <v>17805.808403919527</v>
      </c>
      <c r="J365" s="340">
        <f t="shared" si="142"/>
        <v>1.5707401653458997</v>
      </c>
      <c r="K365" s="348">
        <f t="shared" si="158"/>
        <v>4.6970606943445432</v>
      </c>
      <c r="L365" s="349">
        <f t="shared" si="159"/>
        <v>1.3562551963036957</v>
      </c>
      <c r="M365" s="337">
        <f t="shared" si="143"/>
        <v>1.0359037655746701</v>
      </c>
      <c r="N365" s="340">
        <f t="shared" si="144"/>
        <v>0.26405093124799794</v>
      </c>
      <c r="O365" s="341">
        <f t="shared" si="145"/>
        <v>1.00305667602993</v>
      </c>
      <c r="P365" s="342">
        <f t="shared" si="146"/>
        <v>0.3892551780329917</v>
      </c>
      <c r="Q365" s="343">
        <f t="shared" si="147"/>
        <v>6.7234448942859508</v>
      </c>
      <c r="R365" s="344">
        <f t="shared" si="148"/>
        <v>-128.65346262707223</v>
      </c>
      <c r="S365" s="346">
        <f t="shared" si="149"/>
        <v>51.34653737292777</v>
      </c>
      <c r="U365" s="319">
        <f t="shared" si="155"/>
        <v>1000000000</v>
      </c>
      <c r="V365" s="319">
        <f t="shared" si="156"/>
        <v>870958144</v>
      </c>
      <c r="X365" s="345">
        <f t="shared" si="150"/>
        <v>25.826125688501634</v>
      </c>
      <c r="Y365" s="346">
        <f t="shared" si="151"/>
        <v>-27.418087463451485</v>
      </c>
      <c r="AA365" s="345">
        <f t="shared" si="152"/>
        <v>43.137060540174296</v>
      </c>
      <c r="AB365" s="346">
        <f t="shared" si="153"/>
        <v>-101.23537516362074</v>
      </c>
      <c r="AD365">
        <f t="shared" si="157"/>
        <v>0</v>
      </c>
      <c r="AE365">
        <f t="shared" si="160"/>
        <v>0</v>
      </c>
    </row>
    <row r="366" spans="1:31" x14ac:dyDescent="0.25">
      <c r="A366" s="347">
        <v>29684</v>
      </c>
      <c r="B366" s="364">
        <f t="shared" si="154"/>
        <v>29.684000000000001</v>
      </c>
      <c r="C366" s="337">
        <f t="shared" si="135"/>
        <v>6.7888554709464835</v>
      </c>
      <c r="D366" s="338">
        <f t="shared" si="136"/>
        <v>1.4229581526293749</v>
      </c>
      <c r="E366" s="338">
        <f t="shared" si="137"/>
        <v>1.0010013356685965</v>
      </c>
      <c r="F366" s="339">
        <f t="shared" si="138"/>
        <v>4.473255684632374E-2</v>
      </c>
      <c r="G366" s="338">
        <f t="shared" si="139"/>
        <v>1</v>
      </c>
      <c r="H366" s="339">
        <f t="shared" si="140"/>
        <v>0</v>
      </c>
      <c r="I366" s="337">
        <f t="shared" si="141"/>
        <v>17909.583106950238</v>
      </c>
      <c r="J366" s="340">
        <f t="shared" si="142"/>
        <v>1.5707404907659646</v>
      </c>
      <c r="K366" s="348">
        <f t="shared" si="158"/>
        <v>4.7231984384098666</v>
      </c>
      <c r="L366" s="349">
        <f t="shared" si="159"/>
        <v>1.35746084632723</v>
      </c>
      <c r="M366" s="337">
        <f t="shared" si="143"/>
        <v>1.0363161335490294</v>
      </c>
      <c r="N366" s="340">
        <f t="shared" si="144"/>
        <v>0.2655187313451991</v>
      </c>
      <c r="O366" s="341">
        <f t="shared" si="145"/>
        <v>1.0031228976340669</v>
      </c>
      <c r="P366" s="342">
        <f t="shared" si="146"/>
        <v>0.39161970237978255</v>
      </c>
      <c r="Q366" s="343">
        <f t="shared" si="147"/>
        <v>6.6678654835115827</v>
      </c>
      <c r="R366" s="344">
        <f t="shared" si="148"/>
        <v>-128.83779229316002</v>
      </c>
      <c r="S366" s="346">
        <f t="shared" si="149"/>
        <v>51.162207706839979</v>
      </c>
      <c r="U366" s="319">
        <f t="shared" si="155"/>
        <v>1000000000</v>
      </c>
      <c r="V366" s="319">
        <f t="shared" si="156"/>
        <v>881139856</v>
      </c>
      <c r="X366" s="345">
        <f t="shared" si="150"/>
        <v>25.820393525238941</v>
      </c>
      <c r="Y366" s="346">
        <f t="shared" si="151"/>
        <v>-27.43312620148512</v>
      </c>
      <c r="AA366" s="345">
        <f t="shared" si="152"/>
        <v>43.087213292662618</v>
      </c>
      <c r="AB366" s="346">
        <f t="shared" si="153"/>
        <v>-101.40466609167487</v>
      </c>
      <c r="AD366">
        <f t="shared" si="157"/>
        <v>0</v>
      </c>
      <c r="AE366">
        <f t="shared" si="160"/>
        <v>0</v>
      </c>
    </row>
    <row r="367" spans="1:31" x14ac:dyDescent="0.25">
      <c r="A367" s="347">
        <v>29856</v>
      </c>
      <c r="B367" s="364">
        <f t="shared" si="154"/>
        <v>29.856000000000002</v>
      </c>
      <c r="C367" s="337">
        <f t="shared" si="135"/>
        <v>6.827341487161779</v>
      </c>
      <c r="D367" s="338">
        <f t="shared" si="136"/>
        <v>1.4237975953399777</v>
      </c>
      <c r="E367" s="338">
        <f t="shared" si="137"/>
        <v>1.0010129676130717</v>
      </c>
      <c r="F367" s="339">
        <f t="shared" si="138"/>
        <v>4.4991405077008523E-2</v>
      </c>
      <c r="G367" s="338">
        <f t="shared" si="139"/>
        <v>1</v>
      </c>
      <c r="H367" s="339">
        <f t="shared" si="140"/>
        <v>0</v>
      </c>
      <c r="I367" s="337">
        <f t="shared" si="141"/>
        <v>18013.357809982823</v>
      </c>
      <c r="J367" s="340">
        <f t="shared" si="142"/>
        <v>1.5707408124365487</v>
      </c>
      <c r="K367" s="348">
        <f t="shared" si="158"/>
        <v>4.7493429725038414</v>
      </c>
      <c r="L367" s="349">
        <f t="shared" si="159"/>
        <v>1.3586532241654752</v>
      </c>
      <c r="M367" s="337">
        <f t="shared" si="143"/>
        <v>1.0367307324224047</v>
      </c>
      <c r="N367" s="340">
        <f t="shared" si="144"/>
        <v>0.26698536062450884</v>
      </c>
      <c r="O367" s="341">
        <f t="shared" si="145"/>
        <v>1.0031902116301052</v>
      </c>
      <c r="P367" s="342">
        <f t="shared" si="146"/>
        <v>0.39398577246475808</v>
      </c>
      <c r="Q367" s="343">
        <f t="shared" si="147"/>
        <v>6.612570886735468</v>
      </c>
      <c r="R367" s="344">
        <f t="shared" si="148"/>
        <v>-129.02235561704532</v>
      </c>
      <c r="S367" s="346">
        <f t="shared" si="149"/>
        <v>50.977644382954679</v>
      </c>
      <c r="U367" s="319">
        <f t="shared" si="155"/>
        <v>1000000000</v>
      </c>
      <c r="V367" s="319">
        <f t="shared" si="156"/>
        <v>891380736</v>
      </c>
      <c r="X367" s="345">
        <f t="shared" si="150"/>
        <v>25.814682093524919</v>
      </c>
      <c r="Y367" s="346">
        <f t="shared" si="151"/>
        <v>-27.448858081968329</v>
      </c>
      <c r="AA367" s="345">
        <f t="shared" si="152"/>
        <v>43.037630127600522</v>
      </c>
      <c r="AB367" s="346">
        <f t="shared" si="153"/>
        <v>-101.57349753507695</v>
      </c>
      <c r="AD367">
        <f t="shared" si="157"/>
        <v>0</v>
      </c>
      <c r="AE367">
        <f t="shared" si="160"/>
        <v>0</v>
      </c>
    </row>
    <row r="368" spans="1:31" x14ac:dyDescent="0.25">
      <c r="A368" s="347">
        <v>30028</v>
      </c>
      <c r="B368" s="364">
        <f t="shared" si="154"/>
        <v>30.027999999999999</v>
      </c>
      <c r="C368" s="337">
        <f t="shared" si="135"/>
        <v>6.8658322604219579</v>
      </c>
      <c r="D368" s="338">
        <f t="shared" si="136"/>
        <v>1.4246276265739695</v>
      </c>
      <c r="E368" s="338">
        <f t="shared" si="137"/>
        <v>1.001024666626263</v>
      </c>
      <c r="F368" s="339">
        <f t="shared" si="138"/>
        <v>4.5250247274697869E-2</v>
      </c>
      <c r="G368" s="338">
        <f t="shared" si="139"/>
        <v>1</v>
      </c>
      <c r="H368" s="339">
        <f t="shared" si="140"/>
        <v>0</v>
      </c>
      <c r="I368" s="337">
        <f t="shared" si="141"/>
        <v>18117.132513017255</v>
      </c>
      <c r="J368" s="340">
        <f t="shared" si="142"/>
        <v>1.5707411304220826</v>
      </c>
      <c r="K368" s="348">
        <f t="shared" si="158"/>
        <v>4.7754941851057797</v>
      </c>
      <c r="L368" s="349">
        <f t="shared" si="159"/>
        <v>1.3598325444402419</v>
      </c>
      <c r="M368" s="337">
        <f t="shared" si="143"/>
        <v>1.0371475595193957</v>
      </c>
      <c r="N368" s="340">
        <f t="shared" si="144"/>
        <v>0.26845081418438144</v>
      </c>
      <c r="O368" s="341">
        <f t="shared" si="145"/>
        <v>1.0032586301736339</v>
      </c>
      <c r="P368" s="342">
        <f t="shared" si="146"/>
        <v>0.39635339344956372</v>
      </c>
      <c r="Q368" s="343">
        <f t="shared" si="147"/>
        <v>6.557557276124836</v>
      </c>
      <c r="R368" s="344">
        <f t="shared" si="148"/>
        <v>-129.2071494771005</v>
      </c>
      <c r="S368" s="346">
        <f t="shared" si="149"/>
        <v>50.792850522899499</v>
      </c>
      <c r="U368" s="319">
        <f t="shared" si="155"/>
        <v>1000000000</v>
      </c>
      <c r="V368" s="319">
        <f t="shared" si="156"/>
        <v>901680784</v>
      </c>
      <c r="X368" s="345">
        <f t="shared" si="150"/>
        <v>25.808990599595862</v>
      </c>
      <c r="Y368" s="346">
        <f t="shared" si="151"/>
        <v>-27.465270530830914</v>
      </c>
      <c r="AA368" s="345">
        <f t="shared" si="152"/>
        <v>42.988308010918956</v>
      </c>
      <c r="AB368" s="346">
        <f t="shared" si="153"/>
        <v>-101.74187894626961</v>
      </c>
      <c r="AD368">
        <f t="shared" si="157"/>
        <v>0</v>
      </c>
      <c r="AE368">
        <f t="shared" si="160"/>
        <v>0</v>
      </c>
    </row>
    <row r="369" spans="1:31" x14ac:dyDescent="0.25">
      <c r="A369" s="347">
        <v>30200</v>
      </c>
      <c r="B369" s="364">
        <f t="shared" si="154"/>
        <v>30.2</v>
      </c>
      <c r="C369" s="337">
        <f t="shared" si="135"/>
        <v>6.9043277111672126</v>
      </c>
      <c r="D369" s="338">
        <f t="shared" si="136"/>
        <v>1.4254484026005587</v>
      </c>
      <c r="E369" s="338">
        <f t="shared" si="137"/>
        <v>1.0010364327058194</v>
      </c>
      <c r="F369" s="339">
        <f t="shared" si="138"/>
        <v>4.5509083404919437E-2</v>
      </c>
      <c r="G369" s="338">
        <f t="shared" si="139"/>
        <v>1</v>
      </c>
      <c r="H369" s="339">
        <f t="shared" si="140"/>
        <v>0</v>
      </c>
      <c r="I369" s="337">
        <f t="shared" si="141"/>
        <v>18220.907216053496</v>
      </c>
      <c r="J369" s="340">
        <f t="shared" si="142"/>
        <v>1.5707414447855299</v>
      </c>
      <c r="K369" s="348">
        <f t="shared" si="158"/>
        <v>4.8016519670963111</v>
      </c>
      <c r="L369" s="349">
        <f t="shared" si="159"/>
        <v>1.3609990172436734</v>
      </c>
      <c r="M369" s="337">
        <f t="shared" si="143"/>
        <v>1.0375666121545344</v>
      </c>
      <c r="N369" s="340">
        <f t="shared" si="144"/>
        <v>0.26991508715132567</v>
      </c>
      <c r="O369" s="341">
        <f t="shared" si="145"/>
        <v>1.0033281654848005</v>
      </c>
      <c r="P369" s="342">
        <f t="shared" si="146"/>
        <v>0.39872257042490827</v>
      </c>
      <c r="Q369" s="343">
        <f t="shared" si="147"/>
        <v>6.5028208919743369</v>
      </c>
      <c r="R369" s="344">
        <f t="shared" si="148"/>
        <v>-129.39217080752701</v>
      </c>
      <c r="S369" s="346">
        <f t="shared" si="149"/>
        <v>50.607829192472991</v>
      </c>
      <c r="U369" s="319">
        <f t="shared" si="155"/>
        <v>1000000000</v>
      </c>
      <c r="V369" s="319">
        <f t="shared" si="156"/>
        <v>912040000</v>
      </c>
      <c r="X369" s="345">
        <f t="shared" si="150"/>
        <v>25.803318272574248</v>
      </c>
      <c r="Y369" s="346">
        <f t="shared" si="151"/>
        <v>-27.482351235056768</v>
      </c>
      <c r="AA369" s="345">
        <f t="shared" si="152"/>
        <v>42.939243953790069</v>
      </c>
      <c r="AB369" s="346">
        <f t="shared" si="153"/>
        <v>-101.9098195724702</v>
      </c>
      <c r="AD369">
        <f t="shared" si="157"/>
        <v>0</v>
      </c>
      <c r="AE369">
        <f t="shared" si="160"/>
        <v>0</v>
      </c>
    </row>
    <row r="370" spans="1:31" x14ac:dyDescent="0.25">
      <c r="A370" s="347">
        <v>30375.75</v>
      </c>
      <c r="B370" s="364">
        <f t="shared" si="154"/>
        <v>30.37575</v>
      </c>
      <c r="C370" s="337">
        <f t="shared" si="135"/>
        <v>6.9436672028877018</v>
      </c>
      <c r="D370" s="338">
        <f t="shared" si="136"/>
        <v>1.4262776723858019</v>
      </c>
      <c r="E370" s="338">
        <f t="shared" si="137"/>
        <v>1.0010485245864214</v>
      </c>
      <c r="F370" s="339">
        <f t="shared" si="138"/>
        <v>4.5773556461525498E-2</v>
      </c>
      <c r="G370" s="338">
        <f t="shared" si="139"/>
        <v>1</v>
      </c>
      <c r="H370" s="339">
        <f t="shared" si="140"/>
        <v>0</v>
      </c>
      <c r="I370" s="337">
        <f t="shared" si="141"/>
        <v>18326.944448954284</v>
      </c>
      <c r="J370" s="340">
        <f t="shared" si="142"/>
        <v>1.5707417623254467</v>
      </c>
      <c r="K370" s="348">
        <f t="shared" si="158"/>
        <v>4.8283867242704366</v>
      </c>
      <c r="L370" s="349">
        <f t="shared" si="159"/>
        <v>1.3621778651591825</v>
      </c>
      <c r="M370" s="337">
        <f t="shared" si="143"/>
        <v>1.037997097157074</v>
      </c>
      <c r="N370" s="340">
        <f t="shared" si="144"/>
        <v>0.2714100601499892</v>
      </c>
      <c r="O370" s="341">
        <f t="shared" si="145"/>
        <v>1.0034003831645193</v>
      </c>
      <c r="P370" s="342">
        <f t="shared" si="146"/>
        <v>0.401145013436562</v>
      </c>
      <c r="Q370" s="343">
        <f t="shared" si="147"/>
        <v>6.4471736437347316</v>
      </c>
      <c r="R370" s="344">
        <f t="shared" si="148"/>
        <v>-129.58145786401576</v>
      </c>
      <c r="S370" s="346">
        <f t="shared" si="149"/>
        <v>50.418542135984239</v>
      </c>
      <c r="U370" s="319">
        <f t="shared" si="155"/>
        <v>1000000000</v>
      </c>
      <c r="V370" s="319">
        <f t="shared" si="156"/>
        <v>922686188.0625</v>
      </c>
      <c r="X370" s="345">
        <f t="shared" si="150"/>
        <v>25.797541295032261</v>
      </c>
      <c r="Y370" s="346">
        <f t="shared" si="151"/>
        <v>-27.50048206183752</v>
      </c>
      <c r="AA370" s="345">
        <f t="shared" si="152"/>
        <v>42.889373683092444</v>
      </c>
      <c r="AB370" s="346">
        <f t="shared" si="153"/>
        <v>-102.08097580217819</v>
      </c>
      <c r="AD370">
        <f t="shared" si="157"/>
        <v>0</v>
      </c>
      <c r="AE370">
        <f t="shared" si="160"/>
        <v>0</v>
      </c>
    </row>
    <row r="371" spans="1:31" x14ac:dyDescent="0.25">
      <c r="A371" s="347">
        <v>30551.5</v>
      </c>
      <c r="B371" s="364">
        <f t="shared" si="154"/>
        <v>30.551500000000001</v>
      </c>
      <c r="C371" s="337">
        <f t="shared" si="135"/>
        <v>6.9830114158837446</v>
      </c>
      <c r="D371" s="338">
        <f t="shared" si="136"/>
        <v>1.4270975980600689</v>
      </c>
      <c r="E371" s="338">
        <f t="shared" si="137"/>
        <v>1.0010606864846665</v>
      </c>
      <c r="F371" s="339">
        <f t="shared" si="138"/>
        <v>4.6038023110456933E-2</v>
      </c>
      <c r="G371" s="338">
        <f t="shared" si="139"/>
        <v>1</v>
      </c>
      <c r="H371" s="339">
        <f t="shared" si="140"/>
        <v>0</v>
      </c>
      <c r="I371" s="337">
        <f t="shared" si="141"/>
        <v>18432.981681856898</v>
      </c>
      <c r="J371" s="340">
        <f t="shared" si="142"/>
        <v>1.5707420762120148</v>
      </c>
      <c r="K371" s="348">
        <f t="shared" si="158"/>
        <v>4.8551281174668697</v>
      </c>
      <c r="L371" s="349">
        <f t="shared" si="159"/>
        <v>1.3633437288082439</v>
      </c>
      <c r="M371" s="337">
        <f t="shared" si="143"/>
        <v>1.0384299000988337</v>
      </c>
      <c r="N371" s="340">
        <f t="shared" si="144"/>
        <v>0.27290379031740636</v>
      </c>
      <c r="O371" s="341">
        <f t="shared" si="145"/>
        <v>1.0034737928402553</v>
      </c>
      <c r="P371" s="342">
        <f t="shared" si="146"/>
        <v>0.40356909154415072</v>
      </c>
      <c r="Q371" s="343">
        <f t="shared" si="147"/>
        <v>6.3918081161735643</v>
      </c>
      <c r="R371" s="344">
        <f t="shared" si="148"/>
        <v>-129.77097611897236</v>
      </c>
      <c r="S371" s="346">
        <f t="shared" si="149"/>
        <v>50.229023881027643</v>
      </c>
      <c r="U371" s="319">
        <f t="shared" si="155"/>
        <v>1000000000</v>
      </c>
      <c r="V371" s="319">
        <f t="shared" si="156"/>
        <v>933394152.25</v>
      </c>
      <c r="X371" s="345">
        <f t="shared" si="150"/>
        <v>25.79178277197526</v>
      </c>
      <c r="Y371" s="346">
        <f t="shared" si="151"/>
        <v>-27.519285413980032</v>
      </c>
      <c r="AA371" s="345">
        <f t="shared" si="152"/>
        <v>42.839766678588276</v>
      </c>
      <c r="AB371" s="346">
        <f t="shared" si="153"/>
        <v>-102.25169070499234</v>
      </c>
      <c r="AD371">
        <f t="shared" si="157"/>
        <v>0</v>
      </c>
      <c r="AE371">
        <f t="shared" si="160"/>
        <v>0</v>
      </c>
    </row>
    <row r="372" spans="1:31" x14ac:dyDescent="0.25">
      <c r="A372" s="347">
        <v>30727.25</v>
      </c>
      <c r="B372" s="364">
        <f t="shared" si="154"/>
        <v>30.727250000000002</v>
      </c>
      <c r="C372" s="337">
        <f t="shared" si="135"/>
        <v>7.0223602707995987</v>
      </c>
      <c r="D372" s="338">
        <f t="shared" si="136"/>
        <v>1.4279083355869757</v>
      </c>
      <c r="E372" s="338">
        <f t="shared" si="137"/>
        <v>1.0010729183980034</v>
      </c>
      <c r="F372" s="339">
        <f t="shared" si="138"/>
        <v>4.6302483314952958E-2</v>
      </c>
      <c r="G372" s="338">
        <f t="shared" si="139"/>
        <v>1</v>
      </c>
      <c r="H372" s="339">
        <f t="shared" si="140"/>
        <v>0</v>
      </c>
      <c r="I372" s="337">
        <f t="shared" si="141"/>
        <v>18539.018914761309</v>
      </c>
      <c r="J372" s="340">
        <f t="shared" si="142"/>
        <v>1.5707423865079222</v>
      </c>
      <c r="K372" s="348">
        <f t="shared" si="158"/>
        <v>4.8818760376354344</v>
      </c>
      <c r="L372" s="349">
        <f t="shared" si="159"/>
        <v>1.3644968184185184</v>
      </c>
      <c r="M372" s="337">
        <f t="shared" si="143"/>
        <v>1.0388650180827743</v>
      </c>
      <c r="N372" s="340">
        <f t="shared" si="144"/>
        <v>0.27439627254537985</v>
      </c>
      <c r="O372" s="341">
        <f t="shared" si="145"/>
        <v>1.0035484077568304</v>
      </c>
      <c r="P372" s="342">
        <f t="shared" si="146"/>
        <v>0.40599480994574999</v>
      </c>
      <c r="Q372" s="343">
        <f t="shared" si="147"/>
        <v>6.3367205081391278</v>
      </c>
      <c r="R372" s="344">
        <f t="shared" si="148"/>
        <v>-129.96072247414386</v>
      </c>
      <c r="S372" s="346">
        <f t="shared" si="149"/>
        <v>50.039277525856136</v>
      </c>
      <c r="U372" s="319">
        <f t="shared" si="155"/>
        <v>1000000000</v>
      </c>
      <c r="V372" s="319">
        <f t="shared" si="156"/>
        <v>944163892.5625</v>
      </c>
      <c r="X372" s="345">
        <f t="shared" si="150"/>
        <v>25.786041950370219</v>
      </c>
      <c r="Y372" s="346">
        <f t="shared" si="151"/>
        <v>-27.538748957240223</v>
      </c>
      <c r="AA372" s="345">
        <f t="shared" si="152"/>
        <v>42.79041989215888</v>
      </c>
      <c r="AB372" s="346">
        <f t="shared" si="153"/>
        <v>-102.42197351690362</v>
      </c>
      <c r="AD372">
        <f t="shared" si="157"/>
        <v>0</v>
      </c>
      <c r="AE372">
        <f t="shared" si="160"/>
        <v>0</v>
      </c>
    </row>
    <row r="373" spans="1:31" x14ac:dyDescent="0.25">
      <c r="A373" s="347">
        <v>30903</v>
      </c>
      <c r="B373" s="364">
        <f t="shared" si="154"/>
        <v>30.902999999999999</v>
      </c>
      <c r="C373" s="337">
        <f t="shared" si="135"/>
        <v>7.0617136900389887</v>
      </c>
      <c r="D373" s="338">
        <f t="shared" si="136"/>
        <v>1.4287100375024633</v>
      </c>
      <c r="E373" s="338">
        <f t="shared" si="137"/>
        <v>1.0010852203238652</v>
      </c>
      <c r="F373" s="339">
        <f t="shared" si="138"/>
        <v>4.6566937038258226E-2</v>
      </c>
      <c r="G373" s="338">
        <f t="shared" si="139"/>
        <v>1</v>
      </c>
      <c r="H373" s="339">
        <f t="shared" si="140"/>
        <v>0</v>
      </c>
      <c r="I373" s="337">
        <f t="shared" si="141"/>
        <v>18645.056147667481</v>
      </c>
      <c r="J373" s="340">
        <f t="shared" si="142"/>
        <v>1.5707426932744311</v>
      </c>
      <c r="K373" s="348">
        <f t="shared" si="158"/>
        <v>4.9086303780765519</v>
      </c>
      <c r="L373" s="349">
        <f t="shared" si="159"/>
        <v>1.3656373397718697</v>
      </c>
      <c r="M373" s="337">
        <f t="shared" si="143"/>
        <v>1.039302448201225</v>
      </c>
      <c r="N373" s="340">
        <f t="shared" si="144"/>
        <v>0.27588750175648236</v>
      </c>
      <c r="O373" s="341">
        <f t="shared" si="145"/>
        <v>1.0036242412287306</v>
      </c>
      <c r="P373" s="342">
        <f t="shared" si="146"/>
        <v>0.40842217375980922</v>
      </c>
      <c r="Q373" s="343">
        <f t="shared" si="147"/>
        <v>6.2819070857965613</v>
      </c>
      <c r="R373" s="344">
        <f t="shared" si="148"/>
        <v>-130.15069388672981</v>
      </c>
      <c r="S373" s="346">
        <f t="shared" si="149"/>
        <v>49.849306113270188</v>
      </c>
      <c r="U373" s="319">
        <f t="shared" si="155"/>
        <v>1000000000</v>
      </c>
      <c r="V373" s="319">
        <f t="shared" si="156"/>
        <v>954995409</v>
      </c>
      <c r="X373" s="345">
        <f t="shared" si="150"/>
        <v>25.78031809907397</v>
      </c>
      <c r="Y373" s="346">
        <f t="shared" si="151"/>
        <v>-27.558860613780674</v>
      </c>
      <c r="AA373" s="345">
        <f t="shared" si="152"/>
        <v>42.741330321112571</v>
      </c>
      <c r="AB373" s="346">
        <f t="shared" si="153"/>
        <v>-102.59183327294916</v>
      </c>
      <c r="AD373">
        <f t="shared" si="157"/>
        <v>0</v>
      </c>
      <c r="AE373">
        <f t="shared" si="160"/>
        <v>0</v>
      </c>
    </row>
    <row r="374" spans="1:31" x14ac:dyDescent="0.25">
      <c r="A374" s="347">
        <v>31083</v>
      </c>
      <c r="B374" s="364">
        <f t="shared" si="154"/>
        <v>31.082999999999998</v>
      </c>
      <c r="C374" s="337">
        <f t="shared" si="135"/>
        <v>7.1020234086223093</v>
      </c>
      <c r="D374" s="338">
        <f t="shared" si="136"/>
        <v>1.4295219161150743</v>
      </c>
      <c r="E374" s="338">
        <f t="shared" si="137"/>
        <v>1.0010978923057141</v>
      </c>
      <c r="F374" s="339">
        <f t="shared" si="138"/>
        <v>4.6837779045234618E-2</v>
      </c>
      <c r="G374" s="338">
        <f t="shared" si="139"/>
        <v>1</v>
      </c>
      <c r="H374" s="339">
        <f t="shared" si="140"/>
        <v>0</v>
      </c>
      <c r="I374" s="337">
        <f t="shared" si="141"/>
        <v>18753.6575810867</v>
      </c>
      <c r="J374" s="340">
        <f t="shared" si="142"/>
        <v>1.5707430038632952</v>
      </c>
      <c r="K374" s="348">
        <f t="shared" si="158"/>
        <v>4.9360382399789779</v>
      </c>
      <c r="L374" s="349">
        <f t="shared" si="159"/>
        <v>1.3667926239523456</v>
      </c>
      <c r="M374" s="337">
        <f t="shared" si="143"/>
        <v>1.0397528499178983</v>
      </c>
      <c r="N374" s="340">
        <f t="shared" si="144"/>
        <v>0.27741348787973524</v>
      </c>
      <c r="O374" s="341">
        <f t="shared" si="145"/>
        <v>1.0037031856095093</v>
      </c>
      <c r="P374" s="342">
        <f t="shared" si="146"/>
        <v>0.41090994711392043</v>
      </c>
      <c r="Q374" s="343">
        <f t="shared" si="147"/>
        <v>6.2260485399793719</v>
      </c>
      <c r="R374" s="344">
        <f t="shared" si="148"/>
        <v>-130.34548936680255</v>
      </c>
      <c r="S374" s="346">
        <f t="shared" si="149"/>
        <v>49.654510633197447</v>
      </c>
      <c r="U374" s="319">
        <f t="shared" si="155"/>
        <v>1000000000</v>
      </c>
      <c r="V374" s="319">
        <f t="shared" si="156"/>
        <v>966152889</v>
      </c>
      <c r="X374" s="345">
        <f t="shared" si="150"/>
        <v>25.774472682285282</v>
      </c>
      <c r="Y374" s="346">
        <f t="shared" si="151"/>
        <v>-27.580118066014467</v>
      </c>
      <c r="AA374" s="345">
        <f t="shared" si="152"/>
        <v>42.691317192084071</v>
      </c>
      <c r="AB374" s="346">
        <f t="shared" si="153"/>
        <v>-102.76537130078808</v>
      </c>
      <c r="AD374">
        <f t="shared" si="157"/>
        <v>0</v>
      </c>
      <c r="AE374">
        <f t="shared" si="160"/>
        <v>0</v>
      </c>
    </row>
    <row r="375" spans="1:31" x14ac:dyDescent="0.25">
      <c r="A375" s="347">
        <v>31263</v>
      </c>
      <c r="B375" s="364">
        <f t="shared" si="154"/>
        <v>31.263000000000002</v>
      </c>
      <c r="C375" s="337">
        <f t="shared" si="135"/>
        <v>7.1423377556403178</v>
      </c>
      <c r="D375" s="338">
        <f t="shared" si="136"/>
        <v>1.4303246300856727</v>
      </c>
      <c r="E375" s="338">
        <f t="shared" si="137"/>
        <v>1.0011106377216299</v>
      </c>
      <c r="F375" s="339">
        <f t="shared" si="138"/>
        <v>4.7108614175749082E-2</v>
      </c>
      <c r="G375" s="338">
        <f t="shared" si="139"/>
        <v>1</v>
      </c>
      <c r="H375" s="339">
        <f t="shared" si="140"/>
        <v>0</v>
      </c>
      <c r="I375" s="337">
        <f t="shared" si="141"/>
        <v>18862.259014507705</v>
      </c>
      <c r="J375" s="340">
        <f t="shared" si="142"/>
        <v>1.5707433108756634</v>
      </c>
      <c r="K375" s="348">
        <f t="shared" si="158"/>
        <v>4.9634526171579703</v>
      </c>
      <c r="L375" s="349">
        <f t="shared" si="159"/>
        <v>1.3679351478028359</v>
      </c>
      <c r="M375" s="337">
        <f t="shared" si="143"/>
        <v>1.0402056707380285</v>
      </c>
      <c r="N375" s="340">
        <f t="shared" si="144"/>
        <v>0.27893814897067515</v>
      </c>
      <c r="O375" s="341">
        <f t="shared" si="145"/>
        <v>1.0037834366859089</v>
      </c>
      <c r="P375" s="342">
        <f t="shared" si="146"/>
        <v>0.41339945703098202</v>
      </c>
      <c r="Q375" s="343">
        <f t="shared" si="147"/>
        <v>6.170469882474233</v>
      </c>
      <c r="R375" s="344">
        <f t="shared" si="148"/>
        <v>-130.54051463266362</v>
      </c>
      <c r="S375" s="346">
        <f t="shared" si="149"/>
        <v>49.459485367336384</v>
      </c>
      <c r="U375" s="319">
        <f t="shared" si="155"/>
        <v>1000000000</v>
      </c>
      <c r="V375" s="319">
        <f t="shared" si="156"/>
        <v>977375169</v>
      </c>
      <c r="X375" s="345">
        <f t="shared" si="150"/>
        <v>25.768643581440859</v>
      </c>
      <c r="Y375" s="346">
        <f t="shared" si="151"/>
        <v>-27.60203050762501</v>
      </c>
      <c r="AA375" s="345">
        <f t="shared" si="152"/>
        <v>42.641567635423357</v>
      </c>
      <c r="AB375" s="346">
        <f t="shared" si="153"/>
        <v>-102.93848412503861</v>
      </c>
      <c r="AD375">
        <f t="shared" si="157"/>
        <v>0</v>
      </c>
      <c r="AE375">
        <f t="shared" si="160"/>
        <v>0</v>
      </c>
    </row>
    <row r="376" spans="1:31" x14ac:dyDescent="0.25">
      <c r="A376" s="347">
        <v>31443</v>
      </c>
      <c r="B376" s="364">
        <f t="shared" si="154"/>
        <v>31.443000000000001</v>
      </c>
      <c r="C376" s="337">
        <f t="shared" si="135"/>
        <v>7.182656653158487</v>
      </c>
      <c r="D376" s="338">
        <f t="shared" si="136"/>
        <v>1.4311183327045278</v>
      </c>
      <c r="E376" s="338">
        <f t="shared" si="137"/>
        <v>1.0011234565688079</v>
      </c>
      <c r="F376" s="339">
        <f t="shared" si="138"/>
        <v>4.737944239033258E-2</v>
      </c>
      <c r="G376" s="338">
        <f t="shared" si="139"/>
        <v>1</v>
      </c>
      <c r="H376" s="339">
        <f t="shared" si="140"/>
        <v>0</v>
      </c>
      <c r="I376" s="337">
        <f t="shared" si="141"/>
        <v>18970.860447930467</v>
      </c>
      <c r="J376" s="340">
        <f t="shared" si="142"/>
        <v>1.5707436143729583</v>
      </c>
      <c r="K376" s="348">
        <f t="shared" si="158"/>
        <v>4.9908734022502079</v>
      </c>
      <c r="L376" s="349">
        <f t="shared" si="159"/>
        <v>1.3690651186385523</v>
      </c>
      <c r="M376" s="337">
        <f t="shared" si="143"/>
        <v>1.0406609075037561</v>
      </c>
      <c r="N376" s="340">
        <f t="shared" si="144"/>
        <v>0.28046147967519341</v>
      </c>
      <c r="O376" s="341">
        <f t="shared" si="145"/>
        <v>1.0038650089878773</v>
      </c>
      <c r="P376" s="342">
        <f t="shared" si="146"/>
        <v>0.41589070874625023</v>
      </c>
      <c r="Q376" s="343">
        <f t="shared" si="147"/>
        <v>6.1151673110455089</v>
      </c>
      <c r="R376" s="344">
        <f t="shared" si="148"/>
        <v>-130.73576658788272</v>
      </c>
      <c r="S376" s="346">
        <f t="shared" si="149"/>
        <v>49.264233412117278</v>
      </c>
      <c r="U376" s="319">
        <f t="shared" si="155"/>
        <v>1000000000</v>
      </c>
      <c r="V376" s="319">
        <f t="shared" si="156"/>
        <v>988662249</v>
      </c>
      <c r="X376" s="345">
        <f t="shared" si="150"/>
        <v>25.76283007795152</v>
      </c>
      <c r="Y376" s="346">
        <f t="shared" si="151"/>
        <v>-27.624585757077028</v>
      </c>
      <c r="AA376" s="345">
        <f t="shared" si="152"/>
        <v>42.592078567483966</v>
      </c>
      <c r="AB376" s="346">
        <f t="shared" si="153"/>
        <v>-103.11118083080572</v>
      </c>
      <c r="AD376">
        <f t="shared" si="157"/>
        <v>0</v>
      </c>
      <c r="AE376">
        <f t="shared" si="160"/>
        <v>0</v>
      </c>
    </row>
    <row r="377" spans="1:31" x14ac:dyDescent="0.25">
      <c r="A377" s="347">
        <v>31623</v>
      </c>
      <c r="B377" s="364">
        <f t="shared" si="154"/>
        <v>31.623000000000001</v>
      </c>
      <c r="C377" s="337">
        <f t="shared" si="135"/>
        <v>7.2229800249737197</v>
      </c>
      <c r="D377" s="338">
        <f t="shared" si="136"/>
        <v>1.4319031738848416</v>
      </c>
      <c r="E377" s="338">
        <f t="shared" si="137"/>
        <v>1.0011363488444271</v>
      </c>
      <c r="F377" s="339">
        <f t="shared" si="138"/>
        <v>4.7650263649522191E-2</v>
      </c>
      <c r="G377" s="338">
        <f t="shared" si="139"/>
        <v>1</v>
      </c>
      <c r="H377" s="339">
        <f t="shared" si="140"/>
        <v>0</v>
      </c>
      <c r="I377" s="337">
        <f t="shared" si="141"/>
        <v>19079.461881354953</v>
      </c>
      <c r="J377" s="340">
        <f t="shared" si="142"/>
        <v>1.570743914415204</v>
      </c>
      <c r="K377" s="348">
        <f t="shared" si="158"/>
        <v>5.0183004902141475</v>
      </c>
      <c r="L377" s="349">
        <f t="shared" si="159"/>
        <v>1.3701827393722725</v>
      </c>
      <c r="M377" s="337">
        <f t="shared" si="143"/>
        <v>1.0411185570459107</v>
      </c>
      <c r="N377" s="340">
        <f t="shared" si="144"/>
        <v>0.28198347467321855</v>
      </c>
      <c r="O377" s="341">
        <f t="shared" si="145"/>
        <v>1.0039479171211652</v>
      </c>
      <c r="P377" s="342">
        <f t="shared" si="146"/>
        <v>0.41838370740477676</v>
      </c>
      <c r="Q377" s="343">
        <f t="shared" si="147"/>
        <v>6.060137090601768</v>
      </c>
      <c r="R377" s="344">
        <f t="shared" si="148"/>
        <v>-130.93124219148027</v>
      </c>
      <c r="S377" s="346">
        <f t="shared" si="149"/>
        <v>49.068757808519734</v>
      </c>
      <c r="U377" s="319">
        <f t="shared" si="155"/>
        <v>1000000000</v>
      </c>
      <c r="V377" s="319">
        <f t="shared" si="156"/>
        <v>1000014129</v>
      </c>
      <c r="X377" s="345">
        <f t="shared" si="150"/>
        <v>25.757031474355681</v>
      </c>
      <c r="Y377" s="346">
        <f t="shared" si="151"/>
        <v>-27.647771886946259</v>
      </c>
      <c r="AA377" s="345">
        <f t="shared" si="152"/>
        <v>42.542846950636068</v>
      </c>
      <c r="AB377" s="346">
        <f t="shared" si="153"/>
        <v>-103.28347030453399</v>
      </c>
      <c r="AD377">
        <f t="shared" si="157"/>
        <v>0</v>
      </c>
      <c r="AE377">
        <f t="shared" si="160"/>
        <v>0</v>
      </c>
    </row>
    <row r="378" spans="1:31" x14ac:dyDescent="0.25">
      <c r="A378" s="347">
        <v>31807</v>
      </c>
      <c r="B378" s="364">
        <f t="shared" si="154"/>
        <v>31.806999999999999</v>
      </c>
      <c r="C378" s="337">
        <f t="shared" si="135"/>
        <v>7.2642040186806147</v>
      </c>
      <c r="D378" s="338">
        <f t="shared" si="136"/>
        <v>1.4326964496282582</v>
      </c>
      <c r="E378" s="338">
        <f t="shared" si="137"/>
        <v>1.0011496035062932</v>
      </c>
      <c r="F378" s="339">
        <f t="shared" si="138"/>
        <v>4.7927095928874411E-2</v>
      </c>
      <c r="G378" s="338">
        <f t="shared" si="139"/>
        <v>1</v>
      </c>
      <c r="H378" s="339">
        <f t="shared" si="140"/>
        <v>0</v>
      </c>
      <c r="I378" s="337">
        <f t="shared" si="141"/>
        <v>19190.476679968411</v>
      </c>
      <c r="J378" s="340">
        <f t="shared" si="142"/>
        <v>1.5707442176150608</v>
      </c>
      <c r="K378" s="348">
        <f t="shared" si="158"/>
        <v>5.0463434765383433</v>
      </c>
      <c r="L378" s="349">
        <f t="shared" si="159"/>
        <v>1.3713126380919405</v>
      </c>
      <c r="M378" s="337">
        <f t="shared" si="143"/>
        <v>1.0415888670643523</v>
      </c>
      <c r="N378" s="340">
        <f t="shared" si="144"/>
        <v>0.28353790571869275</v>
      </c>
      <c r="O378" s="341">
        <f t="shared" si="145"/>
        <v>1.0040340636334475</v>
      </c>
      <c r="P378" s="342">
        <f t="shared" si="146"/>
        <v>0.42093391690161502</v>
      </c>
      <c r="Q378" s="343">
        <f t="shared" si="147"/>
        <v>6.0041616524505725</v>
      </c>
      <c r="R378" s="344">
        <f t="shared" si="148"/>
        <v>-131.13128974620756</v>
      </c>
      <c r="S378" s="346">
        <f t="shared" si="149"/>
        <v>48.868710253792443</v>
      </c>
      <c r="U378" s="319">
        <f t="shared" si="155"/>
        <v>1000000000</v>
      </c>
      <c r="V378" s="319">
        <f t="shared" si="156"/>
        <v>1011685249</v>
      </c>
      <c r="X378" s="345">
        <f t="shared" si="150"/>
        <v>25.75111870832125</v>
      </c>
      <c r="Y378" s="346">
        <f t="shared" si="151"/>
        <v>-27.672113169581777</v>
      </c>
      <c r="AA378" s="345">
        <f t="shared" si="152"/>
        <v>42.492784278519302</v>
      </c>
      <c r="AB378" s="346">
        <f t="shared" si="153"/>
        <v>-103.45917657662579</v>
      </c>
      <c r="AD378">
        <f t="shared" si="157"/>
        <v>0</v>
      </c>
      <c r="AE378">
        <f t="shared" si="160"/>
        <v>0</v>
      </c>
    </row>
    <row r="379" spans="1:31" x14ac:dyDescent="0.25">
      <c r="A379" s="347">
        <v>31991</v>
      </c>
      <c r="B379" s="364">
        <f t="shared" si="154"/>
        <v>31.991</v>
      </c>
      <c r="C379" s="337">
        <f t="shared" si="135"/>
        <v>7.3054325320600837</v>
      </c>
      <c r="D379" s="338">
        <f t="shared" si="136"/>
        <v>1.4334807720910772</v>
      </c>
      <c r="E379" s="338">
        <f t="shared" si="137"/>
        <v>1.0011629348903361</v>
      </c>
      <c r="F379" s="339">
        <f t="shared" si="138"/>
        <v>4.8203920856899868E-2</v>
      </c>
      <c r="G379" s="338">
        <f t="shared" si="139"/>
        <v>1</v>
      </c>
      <c r="H379" s="339">
        <f t="shared" si="140"/>
        <v>0</v>
      </c>
      <c r="I379" s="337">
        <f t="shared" si="141"/>
        <v>19301.491478583612</v>
      </c>
      <c r="J379" s="340">
        <f t="shared" si="142"/>
        <v>1.5707445173271384</v>
      </c>
      <c r="K379" s="348">
        <f t="shared" si="158"/>
        <v>5.0743928341711886</v>
      </c>
      <c r="L379" s="349">
        <f t="shared" si="159"/>
        <v>1.3724300469046942</v>
      </c>
      <c r="M379" s="337">
        <f t="shared" si="143"/>
        <v>1.0420616915527203</v>
      </c>
      <c r="N379" s="340">
        <f t="shared" si="144"/>
        <v>0.28509092990049612</v>
      </c>
      <c r="O379" s="341">
        <f t="shared" si="145"/>
        <v>1.0041216371117447</v>
      </c>
      <c r="P379" s="342">
        <f t="shared" si="146"/>
        <v>0.42348596242711112</v>
      </c>
      <c r="Q379" s="343">
        <f t="shared" si="147"/>
        <v>5.9484631194047086</v>
      </c>
      <c r="R379" s="344">
        <f t="shared" si="148"/>
        <v>-131.33156474540425</v>
      </c>
      <c r="S379" s="346">
        <f t="shared" si="149"/>
        <v>48.668435254595749</v>
      </c>
      <c r="U379" s="319">
        <f t="shared" si="155"/>
        <v>1000000000</v>
      </c>
      <c r="V379" s="319">
        <f t="shared" si="156"/>
        <v>1023424081</v>
      </c>
      <c r="X379" s="345">
        <f t="shared" si="150"/>
        <v>25.745220102605536</v>
      </c>
      <c r="Y379" s="346">
        <f t="shared" si="151"/>
        <v>-27.697089263985013</v>
      </c>
      <c r="AA379" s="345">
        <f t="shared" si="152"/>
        <v>42.442984351189146</v>
      </c>
      <c r="AB379" s="346">
        <f t="shared" si="153"/>
        <v>-103.63447548141924</v>
      </c>
      <c r="AD379">
        <f t="shared" si="157"/>
        <v>0</v>
      </c>
      <c r="AE379">
        <f t="shared" si="160"/>
        <v>0</v>
      </c>
    </row>
    <row r="380" spans="1:31" x14ac:dyDescent="0.25">
      <c r="A380" s="347">
        <v>32175</v>
      </c>
      <c r="B380" s="364">
        <f t="shared" si="154"/>
        <v>32.174999999999997</v>
      </c>
      <c r="C380" s="337">
        <f t="shared" si="135"/>
        <v>7.346665489020717</v>
      </c>
      <c r="D380" s="338">
        <f t="shared" si="136"/>
        <v>1.4342562910502332</v>
      </c>
      <c r="E380" s="338">
        <f t="shared" si="137"/>
        <v>1.0011763429934912</v>
      </c>
      <c r="F380" s="339">
        <f t="shared" si="138"/>
        <v>4.8480738391465765E-2</v>
      </c>
      <c r="G380" s="338">
        <f t="shared" si="139"/>
        <v>1</v>
      </c>
      <c r="H380" s="339">
        <f t="shared" si="140"/>
        <v>0</v>
      </c>
      <c r="I380" s="337">
        <f t="shared" si="141"/>
        <v>19412.506277200526</v>
      </c>
      <c r="J380" s="340">
        <f t="shared" si="142"/>
        <v>1.5707448136112736</v>
      </c>
      <c r="K380" s="348">
        <f t="shared" si="158"/>
        <v>5.1024484580389435</v>
      </c>
      <c r="L380" s="349">
        <f t="shared" si="159"/>
        <v>1.3735351690227466</v>
      </c>
      <c r="M380" s="337">
        <f t="shared" si="143"/>
        <v>1.0425370270898331</v>
      </c>
      <c r="N380" s="340">
        <f t="shared" si="144"/>
        <v>0.28664254164648967</v>
      </c>
      <c r="O380" s="341">
        <f t="shared" si="145"/>
        <v>1.0042106534014423</v>
      </c>
      <c r="P380" s="342">
        <f t="shared" si="146"/>
        <v>0.42603984918043514</v>
      </c>
      <c r="Q380" s="343">
        <f t="shared" si="147"/>
        <v>5.8930377089454407</v>
      </c>
      <c r="R380" s="344">
        <f t="shared" si="148"/>
        <v>-131.53206411192727</v>
      </c>
      <c r="S380" s="346">
        <f t="shared" si="149"/>
        <v>48.467935888072731</v>
      </c>
      <c r="U380" s="319">
        <f t="shared" si="155"/>
        <v>1000000000</v>
      </c>
      <c r="V380" s="319">
        <f t="shared" si="156"/>
        <v>1035230625</v>
      </c>
      <c r="X380" s="345">
        <f t="shared" si="150"/>
        <v>25.739334976326916</v>
      </c>
      <c r="Y380" s="346">
        <f t="shared" si="151"/>
        <v>-27.722688211122151</v>
      </c>
      <c r="AA380" s="345">
        <f t="shared" si="152"/>
        <v>42.393444067008502</v>
      </c>
      <c r="AB380" s="346">
        <f t="shared" si="153"/>
        <v>-103.80937590080509</v>
      </c>
      <c r="AD380">
        <f t="shared" si="157"/>
        <v>0</v>
      </c>
      <c r="AE380">
        <f t="shared" si="160"/>
        <v>0</v>
      </c>
    </row>
    <row r="381" spans="1:31" x14ac:dyDescent="0.25">
      <c r="A381" s="347">
        <v>32359</v>
      </c>
      <c r="B381" s="364">
        <f t="shared" si="154"/>
        <v>32.359000000000002</v>
      </c>
      <c r="C381" s="337">
        <f t="shared" si="135"/>
        <v>7.3879028151617012</v>
      </c>
      <c r="D381" s="338">
        <f t="shared" si="136"/>
        <v>1.4350231529814992</v>
      </c>
      <c r="E381" s="338">
        <f t="shared" si="137"/>
        <v>1.0011898278126765</v>
      </c>
      <c r="F381" s="339">
        <f t="shared" si="138"/>
        <v>4.8757548490446077E-2</v>
      </c>
      <c r="G381" s="338">
        <f t="shared" si="139"/>
        <v>1</v>
      </c>
      <c r="H381" s="339">
        <f t="shared" si="140"/>
        <v>0</v>
      </c>
      <c r="I381" s="337">
        <f t="shared" si="141"/>
        <v>19523.521075819124</v>
      </c>
      <c r="J381" s="340">
        <f t="shared" si="142"/>
        <v>1.5707451065259423</v>
      </c>
      <c r="K381" s="348">
        <f t="shared" si="158"/>
        <v>5.1305102453429869</v>
      </c>
      <c r="L381" s="349">
        <f t="shared" si="159"/>
        <v>1.3746282033339023</v>
      </c>
      <c r="M381" s="337">
        <f t="shared" si="143"/>
        <v>1.0430148702425928</v>
      </c>
      <c r="N381" s="340">
        <f t="shared" si="144"/>
        <v>0.28819273542186885</v>
      </c>
      <c r="O381" s="341">
        <f t="shared" si="145"/>
        <v>1.0043011284296794</v>
      </c>
      <c r="P381" s="342">
        <f t="shared" si="146"/>
        <v>0.42859558225936484</v>
      </c>
      <c r="Q381" s="343">
        <f t="shared" si="147"/>
        <v>5.8378817050206422</v>
      </c>
      <c r="R381" s="344">
        <f t="shared" si="148"/>
        <v>-131.73278482351259</v>
      </c>
      <c r="S381" s="346">
        <f t="shared" si="149"/>
        <v>48.267215176487412</v>
      </c>
      <c r="U381" s="319">
        <f t="shared" si="155"/>
        <v>1000000000</v>
      </c>
      <c r="V381" s="319">
        <f t="shared" si="156"/>
        <v>1047104881</v>
      </c>
      <c r="X381" s="345">
        <f t="shared" si="150"/>
        <v>25.733462668834729</v>
      </c>
      <c r="Y381" s="346">
        <f t="shared" si="151"/>
        <v>-27.748898301790835</v>
      </c>
      <c r="AA381" s="345">
        <f t="shared" si="152"/>
        <v>42.344160370575885</v>
      </c>
      <c r="AB381" s="346">
        <f t="shared" si="153"/>
        <v>-103.98388652172177</v>
      </c>
      <c r="AD381">
        <f t="shared" si="157"/>
        <v>0</v>
      </c>
      <c r="AE381">
        <f t="shared" si="160"/>
        <v>0</v>
      </c>
    </row>
    <row r="382" spans="1:31" x14ac:dyDescent="0.25">
      <c r="A382" s="347">
        <v>32547.5</v>
      </c>
      <c r="B382" s="364">
        <f t="shared" si="154"/>
        <v>32.547499999999999</v>
      </c>
      <c r="C382" s="337">
        <f t="shared" si="135"/>
        <v>7.4301531175830551</v>
      </c>
      <c r="D382" s="338">
        <f t="shared" si="136"/>
        <v>1.4357999422441896</v>
      </c>
      <c r="E382" s="338">
        <f t="shared" si="137"/>
        <v>1.001203721973678</v>
      </c>
      <c r="F382" s="339">
        <f t="shared" si="138"/>
        <v>4.9041120647014651E-2</v>
      </c>
      <c r="G382" s="338">
        <f t="shared" si="139"/>
        <v>1</v>
      </c>
      <c r="H382" s="339">
        <f t="shared" si="140"/>
        <v>0</v>
      </c>
      <c r="I382" s="337">
        <f t="shared" si="141"/>
        <v>19637.250910275223</v>
      </c>
      <c r="J382" s="340">
        <f t="shared" si="142"/>
        <v>1.5707454031699453</v>
      </c>
      <c r="K382" s="348">
        <f t="shared" si="158"/>
        <v>5.1592646126015449</v>
      </c>
      <c r="L382" s="349">
        <f t="shared" si="159"/>
        <v>1.3757356380974137</v>
      </c>
      <c r="M382" s="337">
        <f t="shared" si="143"/>
        <v>1.0435069965322099</v>
      </c>
      <c r="N382" s="340">
        <f t="shared" si="144"/>
        <v>0.28977936538541399</v>
      </c>
      <c r="O382" s="341">
        <f t="shared" si="145"/>
        <v>1.0043953455872465</v>
      </c>
      <c r="P382" s="342">
        <f t="shared" si="146"/>
        <v>0.43121573951170822</v>
      </c>
      <c r="Q382" s="343">
        <f t="shared" si="147"/>
        <v>5.7816523306269989</v>
      </c>
      <c r="R382" s="344">
        <f t="shared" si="148"/>
        <v>-131.93864089350637</v>
      </c>
      <c r="S382" s="346">
        <f t="shared" si="149"/>
        <v>48.061359106493626</v>
      </c>
      <c r="U382" s="319">
        <f t="shared" si="155"/>
        <v>1000000000</v>
      </c>
      <c r="V382" s="319">
        <f t="shared" si="156"/>
        <v>1059339756.25</v>
      </c>
      <c r="X382" s="345">
        <f t="shared" si="150"/>
        <v>25.727459367922766</v>
      </c>
      <c r="Y382" s="346">
        <f t="shared" si="151"/>
        <v>-27.776371160796476</v>
      </c>
      <c r="AA382" s="345">
        <f t="shared" si="152"/>
        <v>42.293934297094211</v>
      </c>
      <c r="AB382" s="346">
        <f t="shared" si="153"/>
        <v>-104.16226973270992</v>
      </c>
      <c r="AD382">
        <f t="shared" si="157"/>
        <v>0</v>
      </c>
      <c r="AE382">
        <f t="shared" si="160"/>
        <v>0</v>
      </c>
    </row>
    <row r="383" spans="1:31" x14ac:dyDescent="0.25">
      <c r="A383" s="347">
        <v>32736</v>
      </c>
      <c r="B383" s="364">
        <f t="shared" si="154"/>
        <v>32.735999999999997</v>
      </c>
      <c r="C383" s="337">
        <f t="shared" si="135"/>
        <v>7.4724078526693418</v>
      </c>
      <c r="D383" s="338">
        <f t="shared" si="136"/>
        <v>1.4365679468393335</v>
      </c>
      <c r="E383" s="338">
        <f t="shared" si="137"/>
        <v>1.0012176966424042</v>
      </c>
      <c r="F383" s="339">
        <f t="shared" si="138"/>
        <v>4.9324684910370405E-2</v>
      </c>
      <c r="G383" s="338">
        <f t="shared" si="139"/>
        <v>1</v>
      </c>
      <c r="H383" s="339">
        <f t="shared" si="140"/>
        <v>0</v>
      </c>
      <c r="I383" s="337">
        <f t="shared" si="141"/>
        <v>19750.980744733028</v>
      </c>
      <c r="J383" s="340">
        <f t="shared" si="142"/>
        <v>1.5707456963976849</v>
      </c>
      <c r="K383" s="348">
        <f t="shared" si="158"/>
        <v>5.1880252370999784</v>
      </c>
      <c r="L383" s="349">
        <f t="shared" si="159"/>
        <v>1.3768307957180836</v>
      </c>
      <c r="M383" s="337">
        <f t="shared" si="143"/>
        <v>1.0440017472603147</v>
      </c>
      <c r="N383" s="340">
        <f t="shared" si="144"/>
        <v>0.29136449553350113</v>
      </c>
      <c r="O383" s="341">
        <f t="shared" si="145"/>
        <v>1.0044911278092996</v>
      </c>
      <c r="P383" s="342">
        <f t="shared" si="146"/>
        <v>0.43383784500520539</v>
      </c>
      <c r="Q383" s="343">
        <f t="shared" si="147"/>
        <v>5.7256980129088211</v>
      </c>
      <c r="R383" s="344">
        <f t="shared" si="148"/>
        <v>-132.14472301700499</v>
      </c>
      <c r="S383" s="346">
        <f t="shared" si="149"/>
        <v>47.855276982995008</v>
      </c>
      <c r="U383" s="319">
        <f t="shared" si="155"/>
        <v>1000000000</v>
      </c>
      <c r="V383" s="319">
        <f t="shared" si="156"/>
        <v>1071645696</v>
      </c>
      <c r="X383" s="345">
        <f t="shared" si="150"/>
        <v>25.721468179091445</v>
      </c>
      <c r="Y383" s="346">
        <f t="shared" si="151"/>
        <v>-27.804461319438854</v>
      </c>
      <c r="AA383" s="345">
        <f t="shared" si="152"/>
        <v>42.243971168207359</v>
      </c>
      <c r="AB383" s="346">
        <f t="shared" si="153"/>
        <v>-104.34026169756613</v>
      </c>
      <c r="AD383">
        <f t="shared" si="157"/>
        <v>0</v>
      </c>
      <c r="AE383">
        <f t="shared" si="160"/>
        <v>0</v>
      </c>
    </row>
    <row r="384" spans="1:31" x14ac:dyDescent="0.25">
      <c r="A384" s="347">
        <v>32924.5</v>
      </c>
      <c r="B384" s="364">
        <f t="shared" si="154"/>
        <v>32.924500000000002</v>
      </c>
      <c r="C384" s="337">
        <f t="shared" si="135"/>
        <v>7.5146669456463542</v>
      </c>
      <c r="D384" s="338">
        <f t="shared" si="136"/>
        <v>1.4373273140562244</v>
      </c>
      <c r="E384" s="338">
        <f t="shared" si="137"/>
        <v>1.0012317518154843</v>
      </c>
      <c r="F384" s="339">
        <f t="shared" si="138"/>
        <v>4.9608241235242739E-2</v>
      </c>
      <c r="G384" s="338">
        <f t="shared" si="139"/>
        <v>1</v>
      </c>
      <c r="H384" s="339">
        <f t="shared" si="140"/>
        <v>0</v>
      </c>
      <c r="I384" s="337">
        <f t="shared" si="141"/>
        <v>19864.710579192513</v>
      </c>
      <c r="J384" s="340">
        <f t="shared" si="142"/>
        <v>1.5707459862678381</v>
      </c>
      <c r="K384" s="348">
        <f t="shared" si="158"/>
        <v>5.2167920153481795</v>
      </c>
      <c r="L384" s="349">
        <f t="shared" si="159"/>
        <v>1.377913876645241</v>
      </c>
      <c r="M384" s="337">
        <f t="shared" si="143"/>
        <v>1.0444991186975325</v>
      </c>
      <c r="N384" s="340">
        <f t="shared" si="144"/>
        <v>0.29294812003735948</v>
      </c>
      <c r="O384" s="341">
        <f t="shared" si="145"/>
        <v>1.0045884924855053</v>
      </c>
      <c r="P384" s="342">
        <f t="shared" si="146"/>
        <v>0.436461903885005</v>
      </c>
      <c r="Q384" s="343">
        <f t="shared" si="147"/>
        <v>5.6700149630946903</v>
      </c>
      <c r="R384" s="344">
        <f t="shared" si="148"/>
        <v>-132.35102811494983</v>
      </c>
      <c r="S384" s="346">
        <f t="shared" si="149"/>
        <v>47.648971885050173</v>
      </c>
      <c r="U384" s="319">
        <f t="shared" si="155"/>
        <v>1000000000</v>
      </c>
      <c r="V384" s="319">
        <f t="shared" si="156"/>
        <v>1084022700.25</v>
      </c>
      <c r="X384" s="345">
        <f t="shared" si="150"/>
        <v>25.715488453884618</v>
      </c>
      <c r="Y384" s="346">
        <f t="shared" si="151"/>
        <v>-27.833156962215391</v>
      </c>
      <c r="AA384" s="345">
        <f t="shared" si="152"/>
        <v>42.194267843600045</v>
      </c>
      <c r="AB384" s="346">
        <f t="shared" si="153"/>
        <v>-104.51787115273444</v>
      </c>
      <c r="AD384">
        <f t="shared" si="157"/>
        <v>0</v>
      </c>
      <c r="AE384">
        <f t="shared" si="160"/>
        <v>0</v>
      </c>
    </row>
    <row r="385" spans="1:31" x14ac:dyDescent="0.25">
      <c r="A385" s="347">
        <v>33113</v>
      </c>
      <c r="B385" s="364">
        <f t="shared" si="154"/>
        <v>33.113</v>
      </c>
      <c r="C385" s="337">
        <f t="shared" si="135"/>
        <v>7.5569303234048419</v>
      </c>
      <c r="D385" s="338">
        <f t="shared" si="136"/>
        <v>1.4380781879295552</v>
      </c>
      <c r="E385" s="338">
        <f t="shared" si="137"/>
        <v>1.0012458874895278</v>
      </c>
      <c r="F385" s="339">
        <f t="shared" si="138"/>
        <v>4.9891789576368709E-2</v>
      </c>
      <c r="G385" s="338">
        <f t="shared" si="139"/>
        <v>1</v>
      </c>
      <c r="H385" s="339">
        <f t="shared" si="140"/>
        <v>0</v>
      </c>
      <c r="I385" s="337">
        <f t="shared" si="141"/>
        <v>19978.440413653643</v>
      </c>
      <c r="J385" s="340">
        <f t="shared" si="142"/>
        <v>1.5707462728377453</v>
      </c>
      <c r="K385" s="348">
        <f t="shared" si="158"/>
        <v>5.2455648461043021</v>
      </c>
      <c r="L385" s="349">
        <f t="shared" si="159"/>
        <v>1.3789850770449688</v>
      </c>
      <c r="M385" s="337">
        <f t="shared" si="143"/>
        <v>1.044999107101853</v>
      </c>
      <c r="N385" s="340">
        <f t="shared" si="144"/>
        <v>0.29453023310949317</v>
      </c>
      <c r="O385" s="341">
        <f t="shared" si="145"/>
        <v>1.0046874570943629</v>
      </c>
      <c r="P385" s="342">
        <f t="shared" si="146"/>
        <v>0.43908792118131174</v>
      </c>
      <c r="Q385" s="343">
        <f t="shared" si="147"/>
        <v>5.614599458791445</v>
      </c>
      <c r="R385" s="344">
        <f t="shared" si="148"/>
        <v>-132.55755316292144</v>
      </c>
      <c r="S385" s="346">
        <f t="shared" si="149"/>
        <v>47.442446837078563</v>
      </c>
      <c r="U385" s="319">
        <f t="shared" si="155"/>
        <v>1000000000</v>
      </c>
      <c r="V385" s="319">
        <f t="shared" si="156"/>
        <v>1096470769</v>
      </c>
      <c r="X385" s="345">
        <f t="shared" si="150"/>
        <v>25.709519563383076</v>
      </c>
      <c r="Y385" s="346">
        <f t="shared" si="151"/>
        <v>-27.86244652132368</v>
      </c>
      <c r="AA385" s="345">
        <f t="shared" si="152"/>
        <v>42.144821229798346</v>
      </c>
      <c r="AB385" s="346">
        <f t="shared" si="153"/>
        <v>-104.69510664159775</v>
      </c>
      <c r="AD385">
        <f t="shared" si="157"/>
        <v>0</v>
      </c>
      <c r="AE385">
        <f t="shared" si="160"/>
        <v>0</v>
      </c>
    </row>
    <row r="386" spans="1:31" x14ac:dyDescent="0.25">
      <c r="A386" s="347">
        <v>33305.75</v>
      </c>
      <c r="B386" s="364">
        <f t="shared" si="154"/>
        <v>33.305750000000003</v>
      </c>
      <c r="C386" s="337">
        <f t="shared" si="135"/>
        <v>7.6001509452986209</v>
      </c>
      <c r="D386" s="338">
        <f t="shared" si="136"/>
        <v>1.4388373553213516</v>
      </c>
      <c r="E386" s="338">
        <f t="shared" si="137"/>
        <v>1.0012604251127872</v>
      </c>
      <c r="F386" s="339">
        <f t="shared" si="138"/>
        <v>5.0181722614296397E-2</v>
      </c>
      <c r="G386" s="338">
        <f t="shared" si="139"/>
        <v>1</v>
      </c>
      <c r="H386" s="339">
        <f t="shared" si="140"/>
        <v>0</v>
      </c>
      <c r="I386" s="337">
        <f t="shared" si="141"/>
        <v>20094.734448628184</v>
      </c>
      <c r="J386" s="340">
        <f t="shared" si="142"/>
        <v>1.5707465625144594</v>
      </c>
      <c r="K386" s="348">
        <f t="shared" si="158"/>
        <v>5.2749925567150688</v>
      </c>
      <c r="L386" s="349">
        <f t="shared" si="159"/>
        <v>1.3800683438409147</v>
      </c>
      <c r="M386" s="337">
        <f t="shared" si="143"/>
        <v>1.0455130706796909</v>
      </c>
      <c r="N386" s="340">
        <f t="shared" si="144"/>
        <v>0.29614644824766956</v>
      </c>
      <c r="O386" s="341">
        <f t="shared" si="145"/>
        <v>1.0047903257518322</v>
      </c>
      <c r="P386" s="342">
        <f t="shared" si="146"/>
        <v>0.44177517603073646</v>
      </c>
      <c r="Q386" s="343">
        <f t="shared" si="147"/>
        <v>5.5582073848088518</v>
      </c>
      <c r="R386" s="344">
        <f t="shared" si="148"/>
        <v>-132.76895896055174</v>
      </c>
      <c r="S386" s="346">
        <f t="shared" si="149"/>
        <v>47.231041039448257</v>
      </c>
      <c r="U386" s="319">
        <f t="shared" si="155"/>
        <v>1000000000</v>
      </c>
      <c r="V386" s="319">
        <f t="shared" si="156"/>
        <v>1109272983.0625</v>
      </c>
      <c r="X386" s="345">
        <f t="shared" si="150"/>
        <v>25.70342666422772</v>
      </c>
      <c r="Y386" s="346">
        <f t="shared" si="151"/>
        <v>-27.892998809320037</v>
      </c>
      <c r="AA386" s="345">
        <f t="shared" si="152"/>
        <v>42.094522054971108</v>
      </c>
      <c r="AB386" s="346">
        <f t="shared" si="153"/>
        <v>-104.87596015123172</v>
      </c>
      <c r="AD386">
        <f t="shared" si="157"/>
        <v>0</v>
      </c>
      <c r="AE386">
        <f t="shared" si="160"/>
        <v>0</v>
      </c>
    </row>
    <row r="387" spans="1:31" x14ac:dyDescent="0.25">
      <c r="A387" s="347">
        <v>33498.5</v>
      </c>
      <c r="B387" s="364">
        <f t="shared" si="154"/>
        <v>33.4985</v>
      </c>
      <c r="C387" s="337">
        <f t="shared" si="135"/>
        <v>7.6433758978875233</v>
      </c>
      <c r="D387" s="338">
        <f t="shared" si="136"/>
        <v>1.4395879366283364</v>
      </c>
      <c r="E387" s="338">
        <f t="shared" si="137"/>
        <v>1.0012750469007179</v>
      </c>
      <c r="F387" s="339">
        <f t="shared" si="138"/>
        <v>5.0471647208713048E-2</v>
      </c>
      <c r="G387" s="338">
        <f t="shared" si="139"/>
        <v>1</v>
      </c>
      <c r="H387" s="339">
        <f t="shared" si="140"/>
        <v>0</v>
      </c>
      <c r="I387" s="337">
        <f t="shared" si="141"/>
        <v>20211.028483604383</v>
      </c>
      <c r="J387" s="340">
        <f t="shared" si="142"/>
        <v>1.5707468488575804</v>
      </c>
      <c r="K387" s="348">
        <f t="shared" si="158"/>
        <v>5.3044263886694019</v>
      </c>
      <c r="L387" s="349">
        <f t="shared" si="159"/>
        <v>1.3811395899630925</v>
      </c>
      <c r="M387" s="337">
        <f t="shared" si="143"/>
        <v>1.0460297626079977</v>
      </c>
      <c r="N387" s="340">
        <f t="shared" si="144"/>
        <v>0.29776107092400683</v>
      </c>
      <c r="O387" s="341">
        <f t="shared" si="145"/>
        <v>1.0048949045467814</v>
      </c>
      <c r="P387" s="342">
        <f t="shared" si="146"/>
        <v>0.44446448886917012</v>
      </c>
      <c r="Q387" s="343">
        <f t="shared" si="147"/>
        <v>5.5020873902763148</v>
      </c>
      <c r="R387" s="344">
        <f t="shared" si="148"/>
        <v>-132.98058851115269</v>
      </c>
      <c r="S387" s="346">
        <f t="shared" si="149"/>
        <v>47.019411488847311</v>
      </c>
      <c r="U387" s="319">
        <f t="shared" si="155"/>
        <v>1000000000</v>
      </c>
      <c r="V387" s="319">
        <f t="shared" si="156"/>
        <v>1122149502.25</v>
      </c>
      <c r="X387" s="345">
        <f t="shared" si="150"/>
        <v>25.697343823659299</v>
      </c>
      <c r="Y387" s="346">
        <f t="shared" si="151"/>
        <v>-27.924148398847649</v>
      </c>
      <c r="AA387" s="345">
        <f t="shared" si="152"/>
        <v>42.044484901006996</v>
      </c>
      <c r="AB387" s="346">
        <f t="shared" si="153"/>
        <v>-105.05644011230508</v>
      </c>
      <c r="AD387">
        <f t="shared" si="157"/>
        <v>0</v>
      </c>
      <c r="AE387">
        <f t="shared" si="160"/>
        <v>0</v>
      </c>
    </row>
    <row r="388" spans="1:31" x14ac:dyDescent="0.25">
      <c r="A388" s="347">
        <v>33691.25</v>
      </c>
      <c r="B388" s="364">
        <f t="shared" si="154"/>
        <v>33.691249999999997</v>
      </c>
      <c r="C388" s="337">
        <f t="shared" si="135"/>
        <v>7.6866051081116922</v>
      </c>
      <c r="D388" s="338">
        <f t="shared" si="136"/>
        <v>1.4403300758611433</v>
      </c>
      <c r="E388" s="338">
        <f t="shared" si="137"/>
        <v>1.0012897528496325</v>
      </c>
      <c r="F388" s="339">
        <f t="shared" si="138"/>
        <v>5.0761563311249681E-2</v>
      </c>
      <c r="G388" s="338">
        <f t="shared" si="139"/>
        <v>1</v>
      </c>
      <c r="H388" s="339">
        <f t="shared" si="140"/>
        <v>0</v>
      </c>
      <c r="I388" s="337">
        <f t="shared" si="141"/>
        <v>20327.322518582219</v>
      </c>
      <c r="J388" s="340">
        <f t="shared" si="142"/>
        <v>1.5707471319243234</v>
      </c>
      <c r="K388" s="348">
        <f t="shared" si="158"/>
        <v>5.3338662406292192</v>
      </c>
      <c r="L388" s="349">
        <f t="shared" si="159"/>
        <v>1.3821990119737395</v>
      </c>
      <c r="M388" s="337">
        <f t="shared" si="143"/>
        <v>1.0465491788457304</v>
      </c>
      <c r="N388" s="340">
        <f t="shared" si="144"/>
        <v>0.29937409508474111</v>
      </c>
      <c r="O388" s="341">
        <f t="shared" si="145"/>
        <v>1.005001212452828</v>
      </c>
      <c r="P388" s="342">
        <f t="shared" si="146"/>
        <v>0.44715586469654767</v>
      </c>
      <c r="Q388" s="343">
        <f t="shared" si="147"/>
        <v>5.4462357003351958</v>
      </c>
      <c r="R388" s="344">
        <f t="shared" si="148"/>
        <v>-133.19243874940881</v>
      </c>
      <c r="S388" s="346">
        <f t="shared" si="149"/>
        <v>46.807561250591192</v>
      </c>
      <c r="U388" s="319">
        <f t="shared" si="155"/>
        <v>1000000000</v>
      </c>
      <c r="V388" s="319">
        <f t="shared" si="156"/>
        <v>1135100326.5625</v>
      </c>
      <c r="X388" s="345">
        <f t="shared" si="150"/>
        <v>25.691270428592915</v>
      </c>
      <c r="Y388" s="346">
        <f t="shared" si="151"/>
        <v>-27.955883684142979</v>
      </c>
      <c r="AA388" s="345">
        <f t="shared" si="152"/>
        <v>41.994706606132262</v>
      </c>
      <c r="AB388" s="346">
        <f t="shared" si="153"/>
        <v>-105.23655506526582</v>
      </c>
      <c r="AD388">
        <f t="shared" si="157"/>
        <v>0</v>
      </c>
      <c r="AE388">
        <f t="shared" si="160"/>
        <v>0</v>
      </c>
    </row>
    <row r="389" spans="1:31" x14ac:dyDescent="0.25">
      <c r="A389" s="347">
        <v>33884</v>
      </c>
      <c r="B389" s="364">
        <f t="shared" si="154"/>
        <v>33.884</v>
      </c>
      <c r="C389" s="337">
        <f t="shared" si="135"/>
        <v>7.7298385045385061</v>
      </c>
      <c r="D389" s="338">
        <f t="shared" si="136"/>
        <v>1.4410639138462444</v>
      </c>
      <c r="E389" s="338">
        <f t="shared" si="137"/>
        <v>1.0013045429558227</v>
      </c>
      <c r="F389" s="339">
        <f t="shared" si="138"/>
        <v>5.1051470873545848E-2</v>
      </c>
      <c r="G389" s="338">
        <f t="shared" si="139"/>
        <v>1</v>
      </c>
      <c r="H389" s="339">
        <f t="shared" si="140"/>
        <v>0</v>
      </c>
      <c r="I389" s="337">
        <f t="shared" si="141"/>
        <v>20443.616553561671</v>
      </c>
      <c r="J389" s="340">
        <f t="shared" si="142"/>
        <v>1.5707474117706015</v>
      </c>
      <c r="K389" s="348">
        <f t="shared" si="158"/>
        <v>5.3633120134609591</v>
      </c>
      <c r="L389" s="349">
        <f t="shared" si="159"/>
        <v>1.3832468022259106</v>
      </c>
      <c r="M389" s="337">
        <f t="shared" si="143"/>
        <v>1.0470713153385793</v>
      </c>
      <c r="N389" s="340">
        <f t="shared" si="144"/>
        <v>0.30098551472136192</v>
      </c>
      <c r="O389" s="341">
        <f t="shared" si="145"/>
        <v>1.0051092685392615</v>
      </c>
      <c r="P389" s="342">
        <f t="shared" si="146"/>
        <v>0.44984930838349746</v>
      </c>
      <c r="Q389" s="343">
        <f t="shared" si="147"/>
        <v>5.390648605929</v>
      </c>
      <c r="R389" s="344">
        <f t="shared" si="148"/>
        <v>-133.40450666384285</v>
      </c>
      <c r="S389" s="346">
        <f t="shared" si="149"/>
        <v>46.595493336157148</v>
      </c>
      <c r="U389" s="319">
        <f t="shared" si="155"/>
        <v>1000000000</v>
      </c>
      <c r="V389" s="319">
        <f t="shared" si="156"/>
        <v>1148125456</v>
      </c>
      <c r="X389" s="345">
        <f t="shared" si="150"/>
        <v>25.685205884664541</v>
      </c>
      <c r="Y389" s="346">
        <f t="shared" si="151"/>
        <v>-27.988193303129062</v>
      </c>
      <c r="AA389" s="345">
        <f t="shared" si="152"/>
        <v>41.945184055654437</v>
      </c>
      <c r="AB389" s="346">
        <f t="shared" si="153"/>
        <v>-105.4163133607138</v>
      </c>
      <c r="AD389">
        <f t="shared" si="157"/>
        <v>0</v>
      </c>
      <c r="AE389">
        <f t="shared" si="160"/>
        <v>0</v>
      </c>
    </row>
    <row r="390" spans="1:31" x14ac:dyDescent="0.25">
      <c r="A390" s="347">
        <v>34081.5</v>
      </c>
      <c r="B390" s="364">
        <f t="shared" si="154"/>
        <v>34.081499999999998</v>
      </c>
      <c r="C390" s="337">
        <f t="shared" si="135"/>
        <v>7.7741415845818587</v>
      </c>
      <c r="D390" s="338">
        <f t="shared" si="136"/>
        <v>1.4418073694284164</v>
      </c>
      <c r="E390" s="338">
        <f t="shared" si="137"/>
        <v>1.00131978482914</v>
      </c>
      <c r="F390" s="339">
        <f t="shared" si="138"/>
        <v>5.1348513811686092E-2</v>
      </c>
      <c r="G390" s="338">
        <f t="shared" si="139"/>
        <v>1</v>
      </c>
      <c r="H390" s="339">
        <f t="shared" si="140"/>
        <v>0</v>
      </c>
      <c r="I390" s="337">
        <f t="shared" si="141"/>
        <v>20562.776459703084</v>
      </c>
      <c r="J390" s="340">
        <f t="shared" si="142"/>
        <v>1.5707476952298765</v>
      </c>
      <c r="K390" s="348">
        <f t="shared" si="158"/>
        <v>5.3934894680250327</v>
      </c>
      <c r="L390" s="349">
        <f t="shared" si="159"/>
        <v>1.3843085450994523</v>
      </c>
      <c r="M390" s="337">
        <f t="shared" si="143"/>
        <v>1.047609136389817</v>
      </c>
      <c r="N390" s="340">
        <f t="shared" si="144"/>
        <v>0.30263497452981158</v>
      </c>
      <c r="O390" s="341">
        <f t="shared" si="145"/>
        <v>1.005221820861844</v>
      </c>
      <c r="P390" s="342">
        <f t="shared" si="146"/>
        <v>0.45261127734858425</v>
      </c>
      <c r="Q390" s="343">
        <f t="shared" si="147"/>
        <v>5.3339623062668204</v>
      </c>
      <c r="R390" s="344">
        <f t="shared" si="148"/>
        <v>-133.62202333030001</v>
      </c>
      <c r="S390" s="346">
        <f t="shared" si="149"/>
        <v>46.37797666969999</v>
      </c>
      <c r="U390" s="319">
        <f t="shared" si="155"/>
        <v>1000000000</v>
      </c>
      <c r="V390" s="319">
        <f t="shared" si="156"/>
        <v>1161548642.25</v>
      </c>
      <c r="X390" s="345">
        <f t="shared" si="150"/>
        <v>25.679000468723739</v>
      </c>
      <c r="Y390" s="346">
        <f t="shared" si="151"/>
        <v>-28.02188324410627</v>
      </c>
      <c r="AA390" s="345">
        <f t="shared" si="152"/>
        <v>41.89470317193306</v>
      </c>
      <c r="AB390" s="346">
        <f t="shared" si="153"/>
        <v>-105.60014008619372</v>
      </c>
      <c r="AD390">
        <f t="shared" si="157"/>
        <v>0</v>
      </c>
      <c r="AE390">
        <f t="shared" si="160"/>
        <v>0</v>
      </c>
    </row>
    <row r="391" spans="1:31" x14ac:dyDescent="0.25">
      <c r="A391" s="347">
        <v>34279</v>
      </c>
      <c r="B391" s="364">
        <f t="shared" si="154"/>
        <v>34.279000000000003</v>
      </c>
      <c r="C391" s="337">
        <f t="shared" si="135"/>
        <v>7.8184489128981882</v>
      </c>
      <c r="D391" s="338">
        <f t="shared" si="136"/>
        <v>1.4425423990535473</v>
      </c>
      <c r="E391" s="338">
        <f t="shared" si="137"/>
        <v>1.0013351150507208</v>
      </c>
      <c r="F391" s="339">
        <f t="shared" si="138"/>
        <v>5.1645547680709489E-2</v>
      </c>
      <c r="G391" s="338">
        <f t="shared" si="139"/>
        <v>1</v>
      </c>
      <c r="H391" s="339">
        <f t="shared" si="140"/>
        <v>0</v>
      </c>
      <c r="I391" s="337">
        <f t="shared" si="141"/>
        <v>20681.936365846133</v>
      </c>
      <c r="J391" s="340">
        <f t="shared" si="142"/>
        <v>1.5707479754228248</v>
      </c>
      <c r="K391" s="348">
        <f t="shared" si="158"/>
        <v>5.4236729349953201</v>
      </c>
      <c r="L391" s="349">
        <f t="shared" si="159"/>
        <v>1.3853584716627687</v>
      </c>
      <c r="M391" s="337">
        <f t="shared" si="143"/>
        <v>1.0481498047602029</v>
      </c>
      <c r="N391" s="340">
        <f t="shared" si="144"/>
        <v>0.30428273713185283</v>
      </c>
      <c r="O391" s="341">
        <f t="shared" si="145"/>
        <v>1.0053362494295692</v>
      </c>
      <c r="P391" s="342">
        <f t="shared" si="146"/>
        <v>0.45537542727998359</v>
      </c>
      <c r="Q391" s="343">
        <f t="shared" si="147"/>
        <v>5.2775461246732736</v>
      </c>
      <c r="R391" s="344">
        <f t="shared" si="148"/>
        <v>-133.8397622995621</v>
      </c>
      <c r="S391" s="346">
        <f t="shared" si="149"/>
        <v>46.160237700437904</v>
      </c>
      <c r="U391" s="319">
        <f t="shared" si="155"/>
        <v>1000000000</v>
      </c>
      <c r="V391" s="319">
        <f t="shared" si="156"/>
        <v>1175049841</v>
      </c>
      <c r="X391" s="345">
        <f t="shared" si="150"/>
        <v>25.672803139790524</v>
      </c>
      <c r="Y391" s="346">
        <f t="shared" si="151"/>
        <v>-28.056152779878577</v>
      </c>
      <c r="AA391" s="345">
        <f t="shared" si="152"/>
        <v>41.844484319272723</v>
      </c>
      <c r="AB391" s="346">
        <f t="shared" si="153"/>
        <v>-105.78360951968354</v>
      </c>
      <c r="AD391">
        <f t="shared" si="157"/>
        <v>0</v>
      </c>
      <c r="AE391">
        <f t="shared" si="160"/>
        <v>0</v>
      </c>
    </row>
    <row r="392" spans="1:31" x14ac:dyDescent="0.25">
      <c r="A392" s="347">
        <v>34476.5</v>
      </c>
      <c r="B392" s="364">
        <f t="shared" si="154"/>
        <v>34.476500000000001</v>
      </c>
      <c r="C392" s="337">
        <f t="shared" si="135"/>
        <v>7.8627604176693477</v>
      </c>
      <c r="D392" s="338">
        <f t="shared" si="136"/>
        <v>1.443269144377016</v>
      </c>
      <c r="E392" s="338">
        <f t="shared" si="137"/>
        <v>1.0013505336165069</v>
      </c>
      <c r="F392" s="339">
        <f t="shared" si="138"/>
        <v>5.1942572428619702E-2</v>
      </c>
      <c r="G392" s="338">
        <f t="shared" si="139"/>
        <v>1</v>
      </c>
      <c r="H392" s="339">
        <f t="shared" si="140"/>
        <v>0</v>
      </c>
      <c r="I392" s="337">
        <f t="shared" si="141"/>
        <v>20801.096271990787</v>
      </c>
      <c r="J392" s="340">
        <f t="shared" si="142"/>
        <v>1.5707482524055802</v>
      </c>
      <c r="K392" s="348">
        <f t="shared" si="158"/>
        <v>5.4538623145479246</v>
      </c>
      <c r="L392" s="349">
        <f t="shared" si="159"/>
        <v>1.3863967758061342</v>
      </c>
      <c r="M392" s="337">
        <f t="shared" si="143"/>
        <v>1.0486933160458121</v>
      </c>
      <c r="N392" s="340">
        <f t="shared" si="144"/>
        <v>0.30592879621173164</v>
      </c>
      <c r="O392" s="341">
        <f t="shared" si="145"/>
        <v>1.0054525750665733</v>
      </c>
      <c r="P392" s="342">
        <f t="shared" si="146"/>
        <v>0.45814176298885168</v>
      </c>
      <c r="Q392" s="343">
        <f t="shared" si="147"/>
        <v>5.2213962757973533</v>
      </c>
      <c r="R392" s="344">
        <f t="shared" si="148"/>
        <v>-134.05772049877837</v>
      </c>
      <c r="S392" s="346">
        <f t="shared" si="149"/>
        <v>45.942279501221634</v>
      </c>
      <c r="U392" s="319">
        <f t="shared" si="155"/>
        <v>1000000000</v>
      </c>
      <c r="V392" s="319">
        <f t="shared" si="156"/>
        <v>1188629052.25</v>
      </c>
      <c r="X392" s="345">
        <f t="shared" si="150"/>
        <v>25.66661331573119</v>
      </c>
      <c r="Y392" s="346">
        <f t="shared" si="151"/>
        <v>-28.09099044270172</v>
      </c>
      <c r="AA392" s="345">
        <f t="shared" si="152"/>
        <v>41.794524294456139</v>
      </c>
      <c r="AB392" s="346">
        <f t="shared" si="153"/>
        <v>-105.96673005607667</v>
      </c>
      <c r="AD392">
        <f t="shared" si="157"/>
        <v>0</v>
      </c>
      <c r="AE392">
        <f t="shared" si="160"/>
        <v>0</v>
      </c>
    </row>
    <row r="393" spans="1:31" x14ac:dyDescent="0.25">
      <c r="A393" s="347">
        <v>34674</v>
      </c>
      <c r="B393" s="364">
        <f t="shared" si="154"/>
        <v>34.673999999999999</v>
      </c>
      <c r="C393" s="337">
        <f t="shared" si="135"/>
        <v>7.9070760286803834</v>
      </c>
      <c r="D393" s="338">
        <f t="shared" si="136"/>
        <v>1.4439877439139965</v>
      </c>
      <c r="E393" s="338">
        <f t="shared" si="137"/>
        <v>1.0013660405224183</v>
      </c>
      <c r="F393" s="339">
        <f t="shared" si="138"/>
        <v>5.2239588003430044E-2</v>
      </c>
      <c r="G393" s="338">
        <f t="shared" si="139"/>
        <v>1</v>
      </c>
      <c r="H393" s="339">
        <f t="shared" si="140"/>
        <v>0</v>
      </c>
      <c r="I393" s="337">
        <f t="shared" si="141"/>
        <v>20920.256178137017</v>
      </c>
      <c r="J393" s="340">
        <f t="shared" si="142"/>
        <v>1.5707485262329979</v>
      </c>
      <c r="K393" s="348">
        <f t="shared" si="158"/>
        <v>5.4840575090377053</v>
      </c>
      <c r="L393" s="349">
        <f t="shared" si="159"/>
        <v>1.3874236472510859</v>
      </c>
      <c r="M393" s="337">
        <f t="shared" si="143"/>
        <v>1.0492396658287131</v>
      </c>
      <c r="N393" s="340">
        <f t="shared" si="144"/>
        <v>0.30757314550367193</v>
      </c>
      <c r="O393" s="341">
        <f t="shared" si="145"/>
        <v>1.00557081870071</v>
      </c>
      <c r="P393" s="342">
        <f t="shared" si="146"/>
        <v>0.46091028913972726</v>
      </c>
      <c r="Q393" s="343">
        <f t="shared" si="147"/>
        <v>5.165509040061103</v>
      </c>
      <c r="R393" s="344">
        <f t="shared" si="148"/>
        <v>-134.27589490841788</v>
      </c>
      <c r="S393" s="346">
        <f t="shared" si="149"/>
        <v>45.724105091582118</v>
      </c>
      <c r="U393" s="319">
        <f t="shared" si="155"/>
        <v>1000000000</v>
      </c>
      <c r="V393" s="319">
        <f t="shared" si="156"/>
        <v>1202286276</v>
      </c>
      <c r="X393" s="345">
        <f t="shared" si="150"/>
        <v>25.660430432492941</v>
      </c>
      <c r="Y393" s="346">
        <f t="shared" si="151"/>
        <v>-28.126385006472777</v>
      </c>
      <c r="AA393" s="345">
        <f t="shared" si="152"/>
        <v>41.744819941958141</v>
      </c>
      <c r="AB393" s="346">
        <f t="shared" si="153"/>
        <v>-106.14950990194505</v>
      </c>
      <c r="AD393">
        <f t="shared" si="157"/>
        <v>0</v>
      </c>
      <c r="AE393">
        <f t="shared" si="160"/>
        <v>0</v>
      </c>
    </row>
    <row r="394" spans="1:31" x14ac:dyDescent="0.25">
      <c r="A394" s="347">
        <v>34875.75</v>
      </c>
      <c r="B394" s="364">
        <f t="shared" si="154"/>
        <v>34.875749999999996</v>
      </c>
      <c r="C394" s="337">
        <f t="shared" si="135"/>
        <v>7.9523494351095669</v>
      </c>
      <c r="D394" s="338">
        <f t="shared" si="136"/>
        <v>1.4447135372305937</v>
      </c>
      <c r="E394" s="338">
        <f t="shared" si="137"/>
        <v>1.0013819723290374</v>
      </c>
      <c r="F394" s="339">
        <f t="shared" si="138"/>
        <v>5.2542985527265856E-2</v>
      </c>
      <c r="G394" s="338">
        <f t="shared" si="139"/>
        <v>1</v>
      </c>
      <c r="H394" s="339">
        <f t="shared" si="140"/>
        <v>0</v>
      </c>
      <c r="I394" s="337">
        <f t="shared" si="141"/>
        <v>21041.980284796857</v>
      </c>
      <c r="J394" s="340">
        <f t="shared" si="142"/>
        <v>1.5707488027507315</v>
      </c>
      <c r="K394" s="348">
        <f t="shared" si="158"/>
        <v>5.5149083781899826</v>
      </c>
      <c r="L394" s="349">
        <f t="shared" si="159"/>
        <v>1.388461004605652</v>
      </c>
      <c r="M394" s="337">
        <f t="shared" si="143"/>
        <v>1.0498006986737953</v>
      </c>
      <c r="N394" s="340">
        <f t="shared" si="144"/>
        <v>0.30925110769042896</v>
      </c>
      <c r="O394" s="341">
        <f t="shared" si="145"/>
        <v>1.0056936090405337</v>
      </c>
      <c r="P394" s="342">
        <f t="shared" si="146"/>
        <v>0.46374065751946647</v>
      </c>
      <c r="Q394" s="343">
        <f t="shared" si="147"/>
        <v>5.108686517356734</v>
      </c>
      <c r="R394" s="344">
        <f t="shared" si="148"/>
        <v>-134.49898436402773</v>
      </c>
      <c r="S394" s="346">
        <f t="shared" si="149"/>
        <v>45.501015635972266</v>
      </c>
      <c r="U394" s="319">
        <f t="shared" si="155"/>
        <v>1000000000</v>
      </c>
      <c r="V394" s="319">
        <f t="shared" si="156"/>
        <v>1216317938.0625</v>
      </c>
      <c r="X394" s="345">
        <f t="shared" si="150"/>
        <v>25.654121098055562</v>
      </c>
      <c r="Y394" s="346">
        <f t="shared" si="151"/>
        <v>-28.163104803034059</v>
      </c>
      <c r="AA394" s="345">
        <f t="shared" si="152"/>
        <v>41.694306753691151</v>
      </c>
      <c r="AB394" s="346">
        <f t="shared" si="153"/>
        <v>-106.33587956099366</v>
      </c>
      <c r="AD394">
        <f t="shared" si="157"/>
        <v>0</v>
      </c>
      <c r="AE394">
        <f t="shared" si="160"/>
        <v>0</v>
      </c>
    </row>
    <row r="395" spans="1:31" x14ac:dyDescent="0.25">
      <c r="A395" s="347">
        <v>35077.5</v>
      </c>
      <c r="B395" s="364">
        <f t="shared" si="154"/>
        <v>35.077500000000001</v>
      </c>
      <c r="C395" s="337">
        <f t="shared" si="135"/>
        <v>7.9976269832159623</v>
      </c>
      <c r="D395" s="338">
        <f t="shared" si="136"/>
        <v>1.4454311129485087</v>
      </c>
      <c r="E395" s="338">
        <f t="shared" si="137"/>
        <v>1.0013979963099864</v>
      </c>
      <c r="F395" s="339">
        <f t="shared" si="138"/>
        <v>5.2846373369329645E-2</v>
      </c>
      <c r="G395" s="338">
        <f t="shared" si="139"/>
        <v>1</v>
      </c>
      <c r="H395" s="339">
        <f t="shared" si="140"/>
        <v>0</v>
      </c>
      <c r="I395" s="337">
        <f t="shared" si="141"/>
        <v>21163.70439145829</v>
      </c>
      <c r="J395" s="340">
        <f t="shared" si="142"/>
        <v>1.5707490760876539</v>
      </c>
      <c r="K395" s="348">
        <f t="shared" si="158"/>
        <v>5.5457651159597274</v>
      </c>
      <c r="L395" s="349">
        <f t="shared" si="159"/>
        <v>1.3894868193035936</v>
      </c>
      <c r="M395" s="337">
        <f t="shared" si="143"/>
        <v>1.0503646841302929</v>
      </c>
      <c r="N395" s="340">
        <f t="shared" si="144"/>
        <v>0.31092727265383407</v>
      </c>
      <c r="O395" s="341">
        <f t="shared" si="145"/>
        <v>1.0058184452877403</v>
      </c>
      <c r="P395" s="342">
        <f t="shared" si="146"/>
        <v>0.46657332099515364</v>
      </c>
      <c r="Q395" s="343">
        <f t="shared" si="147"/>
        <v>5.0521303885722784</v>
      </c>
      <c r="R395" s="344">
        <f t="shared" si="148"/>
        <v>-134.72229322990071</v>
      </c>
      <c r="S395" s="346">
        <f t="shared" si="149"/>
        <v>45.277706770099286</v>
      </c>
      <c r="U395" s="319">
        <f t="shared" si="155"/>
        <v>1000000000</v>
      </c>
      <c r="V395" s="319">
        <f t="shared" si="156"/>
        <v>1230431006.25</v>
      </c>
      <c r="X395" s="345">
        <f t="shared" si="150"/>
        <v>25.647817871726431</v>
      </c>
      <c r="Y395" s="346">
        <f t="shared" si="151"/>
        <v>-28.200382789544971</v>
      </c>
      <c r="AA395" s="345">
        <f t="shared" si="152"/>
        <v>41.644053851235824</v>
      </c>
      <c r="AB395" s="346">
        <f t="shared" si="153"/>
        <v>-106.52191044035574</v>
      </c>
      <c r="AD395">
        <f t="shared" si="157"/>
        <v>0</v>
      </c>
      <c r="AE395">
        <f t="shared" si="160"/>
        <v>0</v>
      </c>
    </row>
    <row r="396" spans="1:31" x14ac:dyDescent="0.25">
      <c r="A396" s="347">
        <v>35279.25</v>
      </c>
      <c r="B396" s="364">
        <f t="shared" si="154"/>
        <v>35.279249999999998</v>
      </c>
      <c r="C396" s="337">
        <f t="shared" si="135"/>
        <v>8.0429086030528598</v>
      </c>
      <c r="D396" s="338">
        <f t="shared" si="136"/>
        <v>1.446140609117827</v>
      </c>
      <c r="E396" s="338">
        <f t="shared" si="137"/>
        <v>1.0014141124608409</v>
      </c>
      <c r="F396" s="339">
        <f t="shared" si="138"/>
        <v>5.3149751474237325E-2</v>
      </c>
      <c r="G396" s="338">
        <f t="shared" si="139"/>
        <v>1</v>
      </c>
      <c r="H396" s="339">
        <f t="shared" si="140"/>
        <v>0</v>
      </c>
      <c r="I396" s="337">
        <f t="shared" si="141"/>
        <v>21285.42849812128</v>
      </c>
      <c r="J396" s="340">
        <f t="shared" si="142"/>
        <v>1.5707493462983351</v>
      </c>
      <c r="K396" s="348">
        <f t="shared" si="158"/>
        <v>5.5766276249297908</v>
      </c>
      <c r="L396" s="349">
        <f t="shared" si="159"/>
        <v>1.390501280808073</v>
      </c>
      <c r="M396" s="337">
        <f t="shared" si="143"/>
        <v>1.0509316174446244</v>
      </c>
      <c r="N396" s="340">
        <f t="shared" si="144"/>
        <v>0.31260163387648099</v>
      </c>
      <c r="O396" s="341">
        <f t="shared" si="145"/>
        <v>1.0059453500827384</v>
      </c>
      <c r="P396" s="342">
        <f t="shared" si="146"/>
        <v>0.46940828405837148</v>
      </c>
      <c r="Q396" s="343">
        <f t="shared" si="147"/>
        <v>4.9958368912717219</v>
      </c>
      <c r="R396" s="344">
        <f t="shared" si="148"/>
        <v>-134.9458184505132</v>
      </c>
      <c r="S396" s="346">
        <f t="shared" si="149"/>
        <v>45.054181549486799</v>
      </c>
      <c r="U396" s="319">
        <f t="shared" si="155"/>
        <v>1000000000</v>
      </c>
      <c r="V396" s="319">
        <f t="shared" si="156"/>
        <v>1244625480.5625</v>
      </c>
      <c r="X396" s="345">
        <f t="shared" si="150"/>
        <v>25.641520206959267</v>
      </c>
      <c r="Y396" s="346">
        <f t="shared" si="151"/>
        <v>-28.238207740272674</v>
      </c>
      <c r="AA396" s="345">
        <f t="shared" si="152"/>
        <v>41.594058018702427</v>
      </c>
      <c r="AB396" s="346">
        <f t="shared" si="153"/>
        <v>-106.70761071024054</v>
      </c>
      <c r="AD396">
        <f t="shared" si="157"/>
        <v>0</v>
      </c>
      <c r="AE396">
        <f t="shared" si="160"/>
        <v>0</v>
      </c>
    </row>
    <row r="397" spans="1:31" x14ac:dyDescent="0.25">
      <c r="A397" s="347">
        <v>35481</v>
      </c>
      <c r="B397" s="364">
        <f t="shared" si="154"/>
        <v>35.481000000000002</v>
      </c>
      <c r="C397" s="337">
        <f t="shared" ref="C397:C460" si="161">SQRT(1+(A397/pole1)^2)</f>
        <v>8.0881942262337194</v>
      </c>
      <c r="D397" s="338">
        <f t="shared" ref="D397:D460" si="162">ATAN(A397/pole1)</f>
        <v>1.4468421607298323</v>
      </c>
      <c r="E397" s="338">
        <f t="shared" ref="E397:E460" si="163">SQRT(1+(A397/Zero1)^2)</f>
        <v>1.0014303207771511</v>
      </c>
      <c r="F397" s="339">
        <f t="shared" ref="F397:F460" si="164">ATAN(A397/Zero1)</f>
        <v>5.3453119786615579E-2</v>
      </c>
      <c r="G397" s="338">
        <f t="shared" ref="G397:G460" si="165">IF(VIN_nom&gt;Vout, 1, SQRT(1+(A397/z_RHP)^2))</f>
        <v>1</v>
      </c>
      <c r="H397" s="339">
        <f t="shared" ref="H397:H460" si="166">IF(VIN_nom&gt;Vout, 0, -ATAN(A397/z_RHP))</f>
        <v>0</v>
      </c>
      <c r="I397" s="337">
        <f t="shared" ref="I397:I460" si="167">SQRT(1+(A397/Pole2)^2)</f>
        <v>21407.15260478581</v>
      </c>
      <c r="J397" s="340">
        <f t="shared" ref="J397:J460" si="168">ATAN(A397/Pole2)</f>
        <v>1.5707496134361036</v>
      </c>
      <c r="K397" s="348">
        <f t="shared" si="158"/>
        <v>5.6074958098096586</v>
      </c>
      <c r="L397" s="349">
        <f t="shared" si="159"/>
        <v>1.3915045745050663</v>
      </c>
      <c r="M397" s="337">
        <f t="shared" ref="M397:M460" si="169">SQRT(1+(A397/pole4)^2)</f>
        <v>1.0515014938486398</v>
      </c>
      <c r="N397" s="340">
        <f t="shared" ref="N397:N460" si="170">ATAN(A397/pole4)</f>
        <v>0.31427418489543635</v>
      </c>
      <c r="O397" s="341">
        <f t="shared" ref="O397:O460" si="171">SQRT((1-(V397/pterm2))^2+(A397/pterm1)^2)</f>
        <v>1.006074346176816</v>
      </c>
      <c r="P397" s="342">
        <f t="shared" ref="P397:P460" si="172">IF((ATAN((A397/pterm1)/(1-A397^2/pterm2))&gt;0),ATAN((A397/pterm1)/(1-A397^2/pterm2)),PI()+ATAN((A397/pterm1)/(1-A397^2/pterm2)))</f>
        <v>0.47224555103653676</v>
      </c>
      <c r="Q397" s="343">
        <f t="shared" ref="Q397:Q460" si="173">20*LOG10(((E397*K397*G397)/(C397*I397*O397*M397))*Adc)</f>
        <v>4.9398023279742436</v>
      </c>
      <c r="R397" s="344">
        <f t="shared" ref="R397:R460" si="174">((F397+L397+H397)-(D397+J397+P397+N397))*radconv</f>
        <v>-135.1695570223342</v>
      </c>
      <c r="S397" s="346">
        <f t="shared" ref="S397:S460" si="175">IF(R397&gt;0,R397,R397+180)</f>
        <v>44.830442977665797</v>
      </c>
      <c r="U397" s="319">
        <f t="shared" si="155"/>
        <v>1000000000</v>
      </c>
      <c r="V397" s="319">
        <f t="shared" si="156"/>
        <v>1258901361</v>
      </c>
      <c r="X397" s="345">
        <f t="shared" ref="X397:X460" si="176">20*LOG10((K397/(I397*M397))*AEA)</f>
        <v>25.635227574454316</v>
      </c>
      <c r="Y397" s="346">
        <f t="shared" ref="Y397:Y460" si="177">(L397-(J397+N397))*radconv</f>
        <v>-28.276568666139845</v>
      </c>
      <c r="AA397" s="345">
        <f t="shared" ref="AA397:AA460" si="178">20*LOG10((E397*G397/(C397*O397))*Acs*Am)</f>
        <v>41.544316087909905</v>
      </c>
      <c r="AB397" s="346">
        <f t="shared" ref="AB397:AB460" si="179">(F397+H397-(D397+P397))*radconv</f>
        <v>-106.89298835619431</v>
      </c>
      <c r="AD397">
        <f t="shared" si="157"/>
        <v>0</v>
      </c>
      <c r="AE397">
        <f t="shared" si="160"/>
        <v>0</v>
      </c>
    </row>
    <row r="398" spans="1:31" x14ac:dyDescent="0.25">
      <c r="A398" s="347">
        <v>35687.75</v>
      </c>
      <c r="B398" s="364">
        <f t="shared" ref="B398:B461" si="180">A398/1000</f>
        <v>35.687750000000001</v>
      </c>
      <c r="C398" s="337">
        <f t="shared" si="161"/>
        <v>8.1346062531489007</v>
      </c>
      <c r="D398" s="338">
        <f t="shared" si="162"/>
        <v>1.4475529947421921</v>
      </c>
      <c r="E398" s="338">
        <f t="shared" si="163"/>
        <v>1.0014470264018578</v>
      </c>
      <c r="F398" s="339">
        <f t="shared" si="164"/>
        <v>5.3763996303130744E-2</v>
      </c>
      <c r="G398" s="338">
        <f t="shared" si="165"/>
        <v>1</v>
      </c>
      <c r="H398" s="339">
        <f t="shared" si="166"/>
        <v>0</v>
      </c>
      <c r="I398" s="337">
        <f t="shared" si="167"/>
        <v>21531.893417936779</v>
      </c>
      <c r="J398" s="340">
        <f t="shared" si="168"/>
        <v>1.5707498840608114</v>
      </c>
      <c r="K398" s="348">
        <f t="shared" si="158"/>
        <v>5.6391347966194107</v>
      </c>
      <c r="L398" s="349">
        <f t="shared" si="159"/>
        <v>1.3925213363265279</v>
      </c>
      <c r="M398" s="337">
        <f t="shared" si="169"/>
        <v>1.0520885419827763</v>
      </c>
      <c r="N398" s="340">
        <f t="shared" si="170"/>
        <v>0.31598630223627416</v>
      </c>
      <c r="O398" s="341">
        <f t="shared" si="171"/>
        <v>1.0062087328000717</v>
      </c>
      <c r="P398" s="342">
        <f t="shared" si="172"/>
        <v>0.47515552904319985</v>
      </c>
      <c r="Q398" s="343">
        <f t="shared" si="173"/>
        <v>4.8826438901121056</v>
      </c>
      <c r="R398" s="344">
        <f t="shared" si="174"/>
        <v>-135.39905879952559</v>
      </c>
      <c r="S398" s="346">
        <f t="shared" si="175"/>
        <v>44.600941200474409</v>
      </c>
      <c r="U398" s="319">
        <f t="shared" ref="U398:U461" si="181">IF(Q398&lt;0,A398,1000000000)</f>
        <v>1000000000</v>
      </c>
      <c r="V398" s="319">
        <f t="shared" ref="V398:V461" si="182">A398^2</f>
        <v>1273615500.0625</v>
      </c>
      <c r="X398" s="345">
        <f t="shared" si="176"/>
        <v>25.628783675475312</v>
      </c>
      <c r="Y398" s="346">
        <f t="shared" si="177"/>
        <v>-28.316425108360363</v>
      </c>
      <c r="AA398" s="345">
        <f t="shared" si="178"/>
        <v>41.493601549026771</v>
      </c>
      <c r="AB398" s="346">
        <f t="shared" si="179"/>
        <v>-107.08263369116521</v>
      </c>
      <c r="AD398">
        <f t="shared" ref="AD398:AD461" si="183">SUM((Q399&lt;0)*(Q398&gt;0))*A398</f>
        <v>0</v>
      </c>
      <c r="AE398">
        <f t="shared" si="160"/>
        <v>0</v>
      </c>
    </row>
    <row r="399" spans="1:31" x14ac:dyDescent="0.25">
      <c r="A399" s="347">
        <v>35894.5</v>
      </c>
      <c r="B399" s="364">
        <f t="shared" si="180"/>
        <v>35.894500000000001</v>
      </c>
      <c r="C399" s="337">
        <f t="shared" si="161"/>
        <v>8.1810223437208478</v>
      </c>
      <c r="D399" s="338">
        <f t="shared" si="162"/>
        <v>1.4482557630885058</v>
      </c>
      <c r="E399" s="338">
        <f t="shared" si="163"/>
        <v>1.0014638288073854</v>
      </c>
      <c r="F399" s="339">
        <f t="shared" si="164"/>
        <v>5.4074862418012078E-2</v>
      </c>
      <c r="G399" s="338">
        <f t="shared" si="165"/>
        <v>1</v>
      </c>
      <c r="H399" s="339">
        <f t="shared" si="166"/>
        <v>0</v>
      </c>
      <c r="I399" s="337">
        <f t="shared" si="167"/>
        <v>21656.634231089301</v>
      </c>
      <c r="J399" s="340">
        <f t="shared" si="168"/>
        <v>1.5707501515679576</v>
      </c>
      <c r="K399" s="348">
        <f t="shared" si="158"/>
        <v>5.670779548137161</v>
      </c>
      <c r="L399" s="349">
        <f t="shared" si="159"/>
        <v>1.3935267514697582</v>
      </c>
      <c r="M399" s="337">
        <f t="shared" si="169"/>
        <v>1.0526786707072071</v>
      </c>
      <c r="N399" s="340">
        <f t="shared" si="170"/>
        <v>0.31769650496923124</v>
      </c>
      <c r="O399" s="341">
        <f t="shared" si="171"/>
        <v>1.0063453643976199</v>
      </c>
      <c r="P399" s="342">
        <f t="shared" si="172"/>
        <v>0.47806793524460689</v>
      </c>
      <c r="Q399" s="343">
        <f t="shared" si="173"/>
        <v>4.8257497198908359</v>
      </c>
      <c r="R399" s="344">
        <f t="shared" si="174"/>
        <v>-135.62877840857422</v>
      </c>
      <c r="S399" s="346">
        <f t="shared" si="175"/>
        <v>44.37122159142578</v>
      </c>
      <c r="U399" s="319">
        <f t="shared" si="181"/>
        <v>1000000000</v>
      </c>
      <c r="V399" s="319">
        <f t="shared" si="182"/>
        <v>1288415130.25</v>
      </c>
      <c r="X399" s="345">
        <f t="shared" si="176"/>
        <v>25.622343988921482</v>
      </c>
      <c r="Y399" s="346">
        <f t="shared" si="177"/>
        <v>-28.356821789781534</v>
      </c>
      <c r="AA399" s="345">
        <f t="shared" si="178"/>
        <v>41.443147065359334</v>
      </c>
      <c r="AB399" s="346">
        <f t="shared" si="179"/>
        <v>-107.27195661879273</v>
      </c>
      <c r="AD399">
        <f t="shared" si="183"/>
        <v>0</v>
      </c>
      <c r="AE399">
        <f t="shared" si="160"/>
        <v>0</v>
      </c>
    </row>
    <row r="400" spans="1:31" x14ac:dyDescent="0.25">
      <c r="A400" s="347">
        <v>36101.25</v>
      </c>
      <c r="B400" s="364">
        <f t="shared" si="180"/>
        <v>36.10125</v>
      </c>
      <c r="C400" s="337">
        <f t="shared" si="161"/>
        <v>8.2274424291727613</v>
      </c>
      <c r="D400" s="338">
        <f t="shared" si="162"/>
        <v>1.4489506015906397</v>
      </c>
      <c r="E400" s="338">
        <f t="shared" si="163"/>
        <v>1.0014807279888625</v>
      </c>
      <c r="F400" s="339">
        <f t="shared" si="164"/>
        <v>5.4385718071701832E-2</v>
      </c>
      <c r="G400" s="338">
        <f t="shared" si="165"/>
        <v>1</v>
      </c>
      <c r="H400" s="339">
        <f t="shared" si="166"/>
        <v>0</v>
      </c>
      <c r="I400" s="337">
        <f t="shared" si="167"/>
        <v>21781.375044243359</v>
      </c>
      <c r="J400" s="340">
        <f t="shared" si="168"/>
        <v>1.5707504160111045</v>
      </c>
      <c r="K400" s="348">
        <f t="shared" si="158"/>
        <v>5.7024299683918453</v>
      </c>
      <c r="L400" s="349">
        <f t="shared" si="159"/>
        <v>1.3945210068187193</v>
      </c>
      <c r="M400" s="337">
        <f t="shared" si="169"/>
        <v>1.0532718748439387</v>
      </c>
      <c r="N400" s="340">
        <f t="shared" si="170"/>
        <v>0.31940478631692099</v>
      </c>
      <c r="O400" s="341">
        <f t="shared" si="171"/>
        <v>1.0064842658133801</v>
      </c>
      <c r="P400" s="342">
        <f t="shared" si="172"/>
        <v>0.48098277375388265</v>
      </c>
      <c r="Q400" s="343">
        <f t="shared" si="173"/>
        <v>4.7691160402746569</v>
      </c>
      <c r="R400" s="344">
        <f t="shared" si="174"/>
        <v>-135.85871277766799</v>
      </c>
      <c r="S400" s="346">
        <f t="shared" si="175"/>
        <v>44.141287222332011</v>
      </c>
      <c r="U400" s="319">
        <f t="shared" si="181"/>
        <v>1000000000</v>
      </c>
      <c r="V400" s="319">
        <f t="shared" si="182"/>
        <v>1303300251.5625</v>
      </c>
      <c r="X400" s="345">
        <f t="shared" si="176"/>
        <v>25.61590799792188</v>
      </c>
      <c r="Y400" s="346">
        <f t="shared" si="177"/>
        <v>-28.3977476174943</v>
      </c>
      <c r="AA400" s="345">
        <f t="shared" si="178"/>
        <v>41.392949376742756</v>
      </c>
      <c r="AB400" s="346">
        <f t="shared" si="179"/>
        <v>-107.46096516017366</v>
      </c>
      <c r="AD400">
        <f t="shared" si="183"/>
        <v>0</v>
      </c>
      <c r="AE400">
        <f t="shared" si="160"/>
        <v>0</v>
      </c>
    </row>
    <row r="401" spans="1:31" x14ac:dyDescent="0.25">
      <c r="A401" s="347">
        <v>36308</v>
      </c>
      <c r="B401" s="364">
        <f t="shared" si="180"/>
        <v>36.308</v>
      </c>
      <c r="C401" s="337">
        <f t="shared" si="161"/>
        <v>8.2738664422654598</v>
      </c>
      <c r="D401" s="338">
        <f t="shared" si="162"/>
        <v>1.4496376430531401</v>
      </c>
      <c r="E401" s="338">
        <f t="shared" si="163"/>
        <v>1.0014977239413902</v>
      </c>
      <c r="F401" s="339">
        <f t="shared" si="164"/>
        <v>5.469656320465438E-2</v>
      </c>
      <c r="G401" s="338">
        <f t="shared" si="165"/>
        <v>1</v>
      </c>
      <c r="H401" s="339">
        <f t="shared" si="166"/>
        <v>0</v>
      </c>
      <c r="I401" s="337">
        <f t="shared" si="167"/>
        <v>21906.115857398923</v>
      </c>
      <c r="J401" s="340">
        <f t="shared" si="168"/>
        <v>1.5707506774425943</v>
      </c>
      <c r="K401" s="348">
        <f t="shared" si="158"/>
        <v>5.7340859635143273</v>
      </c>
      <c r="L401" s="349">
        <f t="shared" si="159"/>
        <v>1.3955042852198443</v>
      </c>
      <c r="M401" s="337">
        <f t="shared" si="169"/>
        <v>1.0538681491996824</v>
      </c>
      <c r="N401" s="340">
        <f t="shared" si="170"/>
        <v>0.32111113956203263</v>
      </c>
      <c r="O401" s="341">
        <f t="shared" si="171"/>
        <v>1.0066254620110904</v>
      </c>
      <c r="P401" s="342">
        <f t="shared" si="172"/>
        <v>0.48390004849805651</v>
      </c>
      <c r="Q401" s="343">
        <f t="shared" si="173"/>
        <v>4.7127391392092175</v>
      </c>
      <c r="R401" s="344">
        <f t="shared" si="174"/>
        <v>-136.08885888615714</v>
      </c>
      <c r="S401" s="346">
        <f t="shared" si="175"/>
        <v>43.911141113842859</v>
      </c>
      <c r="U401" s="319">
        <f t="shared" si="181"/>
        <v>1000000000</v>
      </c>
      <c r="V401" s="319">
        <f t="shared" si="182"/>
        <v>1318270864</v>
      </c>
      <c r="X401" s="345">
        <f t="shared" si="176"/>
        <v>25.609475202262896</v>
      </c>
      <c r="Y401" s="346">
        <f t="shared" si="177"/>
        <v>-28.439191733295178</v>
      </c>
      <c r="AA401" s="345">
        <f t="shared" si="178"/>
        <v>41.343005271336295</v>
      </c>
      <c r="AB401" s="346">
        <f t="shared" si="179"/>
        <v>-107.64966715286197</v>
      </c>
      <c r="AD401">
        <f t="shared" si="183"/>
        <v>0</v>
      </c>
      <c r="AE401">
        <f t="shared" si="160"/>
        <v>0</v>
      </c>
    </row>
    <row r="402" spans="1:31" x14ac:dyDescent="0.25">
      <c r="A402" s="347">
        <v>36519.5</v>
      </c>
      <c r="B402" s="364">
        <f t="shared" si="180"/>
        <v>36.519500000000001</v>
      </c>
      <c r="C402" s="337">
        <f t="shared" si="161"/>
        <v>8.3213610243069365</v>
      </c>
      <c r="D402" s="338">
        <f t="shared" si="162"/>
        <v>1.4503325366168633</v>
      </c>
      <c r="E402" s="338">
        <f t="shared" si="163"/>
        <v>1.0015152104956166</v>
      </c>
      <c r="F402" s="339">
        <f t="shared" si="164"/>
        <v>5.5014538934227475E-2</v>
      </c>
      <c r="G402" s="338">
        <f t="shared" si="165"/>
        <v>1</v>
      </c>
      <c r="H402" s="339">
        <f t="shared" si="166"/>
        <v>0</v>
      </c>
      <c r="I402" s="337">
        <f t="shared" si="167"/>
        <v>22033.722541716787</v>
      </c>
      <c r="J402" s="340">
        <f t="shared" si="168"/>
        <v>1.5707509418174626</v>
      </c>
      <c r="K402" s="348">
        <f t="shared" si="158"/>
        <v>5.76647491541575</v>
      </c>
      <c r="L402" s="349">
        <f t="shared" si="159"/>
        <v>1.3964989824482663</v>
      </c>
      <c r="M402" s="337">
        <f t="shared" si="169"/>
        <v>1.0544812941287094</v>
      </c>
      <c r="N402" s="340">
        <f t="shared" si="170"/>
        <v>0.32285469360402608</v>
      </c>
      <c r="O402" s="341">
        <f t="shared" si="171"/>
        <v>1.006772302759507</v>
      </c>
      <c r="P402" s="342">
        <f t="shared" si="172"/>
        <v>0.4868868712162342</v>
      </c>
      <c r="Q402" s="343">
        <f t="shared" si="173"/>
        <v>4.6553288925206147</v>
      </c>
      <c r="R402" s="344">
        <f t="shared" si="174"/>
        <v>-136.32450850589322</v>
      </c>
      <c r="S402" s="346">
        <f t="shared" si="175"/>
        <v>43.67549149410678</v>
      </c>
      <c r="U402" s="319">
        <f t="shared" si="181"/>
        <v>1000000000</v>
      </c>
      <c r="V402" s="319">
        <f t="shared" si="182"/>
        <v>1333673880.25</v>
      </c>
      <c r="X402" s="345">
        <f t="shared" si="176"/>
        <v>25.602897417300902</v>
      </c>
      <c r="Y402" s="346">
        <f t="shared" si="177"/>
        <v>-28.482113215785638</v>
      </c>
      <c r="AA402" s="345">
        <f t="shared" si="178"/>
        <v>41.292172809609688</v>
      </c>
      <c r="AB402" s="346">
        <f t="shared" si="179"/>
        <v>-107.84239529010756</v>
      </c>
      <c r="AD402">
        <f t="shared" si="183"/>
        <v>0</v>
      </c>
      <c r="AE402">
        <f t="shared" si="160"/>
        <v>0</v>
      </c>
    </row>
    <row r="403" spans="1:31" x14ac:dyDescent="0.25">
      <c r="A403" s="347">
        <v>36731</v>
      </c>
      <c r="B403" s="364">
        <f t="shared" si="180"/>
        <v>36.731000000000002</v>
      </c>
      <c r="C403" s="337">
        <f t="shared" si="161"/>
        <v>8.3688595789339182</v>
      </c>
      <c r="D403" s="338">
        <f t="shared" si="162"/>
        <v>1.4510195425909946</v>
      </c>
      <c r="E403" s="338">
        <f t="shared" si="163"/>
        <v>1.0015327983080662</v>
      </c>
      <c r="F403" s="339">
        <f t="shared" si="164"/>
        <v>5.5332503528071696E-2</v>
      </c>
      <c r="G403" s="338">
        <f t="shared" si="165"/>
        <v>1</v>
      </c>
      <c r="H403" s="339">
        <f t="shared" si="166"/>
        <v>0</v>
      </c>
      <c r="I403" s="337">
        <f t="shared" si="167"/>
        <v>22161.329226036174</v>
      </c>
      <c r="J403" s="340">
        <f t="shared" si="168"/>
        <v>1.570751203147748</v>
      </c>
      <c r="K403" s="348">
        <f t="shared" si="158"/>
        <v>5.7988695090596929</v>
      </c>
      <c r="L403" s="349">
        <f t="shared" si="159"/>
        <v>1.3974825671600162</v>
      </c>
      <c r="M403" s="337">
        <f t="shared" si="169"/>
        <v>1.0550976409291155</v>
      </c>
      <c r="N403" s="340">
        <f t="shared" si="170"/>
        <v>0.32459621590283311</v>
      </c>
      <c r="O403" s="341">
        <f t="shared" si="171"/>
        <v>1.0069215981737838</v>
      </c>
      <c r="P403" s="342">
        <f t="shared" si="172"/>
        <v>0.48987625111015637</v>
      </c>
      <c r="Q403" s="343">
        <f t="shared" si="173"/>
        <v>4.5981797018149724</v>
      </c>
      <c r="R403" s="344">
        <f t="shared" si="174"/>
        <v>-136.560373468997</v>
      </c>
      <c r="S403" s="346">
        <f t="shared" si="175"/>
        <v>43.439626531003</v>
      </c>
      <c r="U403" s="319">
        <f t="shared" si="181"/>
        <v>1000000000</v>
      </c>
      <c r="V403" s="319">
        <f t="shared" si="182"/>
        <v>1349166361</v>
      </c>
      <c r="X403" s="345">
        <f t="shared" si="176"/>
        <v>25.596321968292507</v>
      </c>
      <c r="Y403" s="346">
        <f t="shared" si="177"/>
        <v>-28.525554813830386</v>
      </c>
      <c r="AA403" s="345">
        <f t="shared" si="178"/>
        <v>41.241599067912446</v>
      </c>
      <c r="AB403" s="346">
        <f t="shared" si="179"/>
        <v>-108.03481865516659</v>
      </c>
      <c r="AD403">
        <f t="shared" si="183"/>
        <v>0</v>
      </c>
      <c r="AE403">
        <f t="shared" si="160"/>
        <v>0</v>
      </c>
    </row>
    <row r="404" spans="1:31" x14ac:dyDescent="0.25">
      <c r="A404" s="347">
        <v>36942.5</v>
      </c>
      <c r="B404" s="364">
        <f t="shared" si="180"/>
        <v>36.942500000000003</v>
      </c>
      <c r="C404" s="337">
        <f t="shared" si="161"/>
        <v>8.4163620388873888</v>
      </c>
      <c r="D404" s="338">
        <f t="shared" si="162"/>
        <v>1.4516987938755865</v>
      </c>
      <c r="E404" s="338">
        <f t="shared" si="163"/>
        <v>1.0015504873734049</v>
      </c>
      <c r="F404" s="339">
        <f t="shared" si="164"/>
        <v>5.5650456922481994E-2</v>
      </c>
      <c r="G404" s="338">
        <f t="shared" si="165"/>
        <v>1</v>
      </c>
      <c r="H404" s="339">
        <f t="shared" si="166"/>
        <v>0</v>
      </c>
      <c r="I404" s="337">
        <f t="shared" si="167"/>
        <v>22288.935910357053</v>
      </c>
      <c r="J404" s="340">
        <f t="shared" si="168"/>
        <v>1.5707514614857425</v>
      </c>
      <c r="K404" s="348">
        <f t="shared" si="158"/>
        <v>5.8312696504210297</v>
      </c>
      <c r="L404" s="349">
        <f t="shared" si="159"/>
        <v>1.3984552226685592</v>
      </c>
      <c r="M404" s="337">
        <f t="shared" si="169"/>
        <v>1.0557171839929695</v>
      </c>
      <c r="N404" s="340">
        <f t="shared" si="170"/>
        <v>0.32633569946251351</v>
      </c>
      <c r="O404" s="341">
        <f t="shared" si="171"/>
        <v>1.0070733753630106</v>
      </c>
      <c r="P404" s="342">
        <f t="shared" si="172"/>
        <v>0.49286819177098684</v>
      </c>
      <c r="Q404" s="343">
        <f t="shared" si="173"/>
        <v>4.541287794327606</v>
      </c>
      <c r="R404" s="344">
        <f t="shared" si="174"/>
        <v>-136.79645069855948</v>
      </c>
      <c r="S404" s="346">
        <f t="shared" si="175"/>
        <v>43.203549301440518</v>
      </c>
      <c r="U404" s="319">
        <f t="shared" si="181"/>
        <v>1000000000</v>
      </c>
      <c r="V404" s="319">
        <f t="shared" si="182"/>
        <v>1364748306.25</v>
      </c>
      <c r="X404" s="345">
        <f t="shared" si="176"/>
        <v>25.589748370387468</v>
      </c>
      <c r="Y404" s="346">
        <f t="shared" si="177"/>
        <v>-28.569505626499804</v>
      </c>
      <c r="AA404" s="345">
        <f t="shared" si="178"/>
        <v>41.191280758330116</v>
      </c>
      <c r="AB404" s="346">
        <f t="shared" si="179"/>
        <v>-108.22694507205966</v>
      </c>
      <c r="AD404">
        <f t="shared" si="183"/>
        <v>0</v>
      </c>
      <c r="AE404">
        <f t="shared" si="160"/>
        <v>0</v>
      </c>
    </row>
    <row r="405" spans="1:31" x14ac:dyDescent="0.25">
      <c r="A405" s="347">
        <v>37154</v>
      </c>
      <c r="B405" s="364">
        <f t="shared" si="180"/>
        <v>37.154000000000003</v>
      </c>
      <c r="C405" s="337">
        <f t="shared" si="161"/>
        <v>8.4638683384128051</v>
      </c>
      <c r="D405" s="338">
        <f t="shared" si="162"/>
        <v>1.4523704204159007</v>
      </c>
      <c r="E405" s="338">
        <f t="shared" si="163"/>
        <v>1.0015682776862675</v>
      </c>
      <c r="F405" s="339">
        <f t="shared" si="164"/>
        <v>5.5968399053766896E-2</v>
      </c>
      <c r="G405" s="338">
        <f t="shared" si="165"/>
        <v>1</v>
      </c>
      <c r="H405" s="339">
        <f t="shared" si="166"/>
        <v>0</v>
      </c>
      <c r="I405" s="337">
        <f t="shared" si="167"/>
        <v>22416.542594679409</v>
      </c>
      <c r="J405" s="340">
        <f t="shared" si="168"/>
        <v>1.5707517168825469</v>
      </c>
      <c r="K405" s="348">
        <f t="shared" si="158"/>
        <v>5.8636752475368761</v>
      </c>
      <c r="L405" s="349">
        <f t="shared" si="159"/>
        <v>1.3994171283187959</v>
      </c>
      <c r="M405" s="337">
        <f t="shared" si="169"/>
        <v>1.0563399176964487</v>
      </c>
      <c r="N405" s="340">
        <f t="shared" si="170"/>
        <v>0.3280731373528476</v>
      </c>
      <c r="O405" s="341">
        <f t="shared" si="171"/>
        <v>1.0072276615645515</v>
      </c>
      <c r="P405" s="342">
        <f t="shared" si="172"/>
        <v>0.49586269658052262</v>
      </c>
      <c r="Q405" s="343">
        <f t="shared" si="173"/>
        <v>4.4846494618508199</v>
      </c>
      <c r="R405" s="344">
        <f t="shared" si="174"/>
        <v>-137.03273716745736</v>
      </c>
      <c r="S405" s="346">
        <f t="shared" si="175"/>
        <v>42.967262832542644</v>
      </c>
      <c r="U405" s="319">
        <f t="shared" si="181"/>
        <v>1000000000</v>
      </c>
      <c r="V405" s="319">
        <f t="shared" si="182"/>
        <v>1380419716</v>
      </c>
      <c r="X405" s="345">
        <f t="shared" si="176"/>
        <v>25.583176154704439</v>
      </c>
      <c r="Y405" s="346">
        <f t="shared" si="177"/>
        <v>-28.613954983943486</v>
      </c>
      <c r="AA405" s="345">
        <f t="shared" si="178"/>
        <v>41.141214641536351</v>
      </c>
      <c r="AB405" s="346">
        <f t="shared" si="179"/>
        <v>-108.41878218351387</v>
      </c>
      <c r="AD405">
        <f t="shared" si="183"/>
        <v>0</v>
      </c>
      <c r="AE405">
        <f t="shared" si="160"/>
        <v>0</v>
      </c>
    </row>
    <row r="406" spans="1:31" x14ac:dyDescent="0.25">
      <c r="A406" s="347">
        <v>37370.25</v>
      </c>
      <c r="B406" s="364">
        <f t="shared" si="180"/>
        <v>37.370249999999999</v>
      </c>
      <c r="C406" s="337">
        <f t="shared" si="161"/>
        <v>8.5124454672113341</v>
      </c>
      <c r="D406" s="338">
        <f t="shared" si="162"/>
        <v>1.4530493795899599</v>
      </c>
      <c r="E406" s="338">
        <f t="shared" si="163"/>
        <v>1.0015865722234227</v>
      </c>
      <c r="F406" s="339">
        <f t="shared" si="164"/>
        <v>5.6293470017642087E-2</v>
      </c>
      <c r="G406" s="338">
        <f t="shared" si="165"/>
        <v>1</v>
      </c>
      <c r="H406" s="339">
        <f t="shared" si="166"/>
        <v>0</v>
      </c>
      <c r="I406" s="337">
        <f t="shared" si="167"/>
        <v>22547.015150164159</v>
      </c>
      <c r="J406" s="340">
        <f t="shared" si="168"/>
        <v>1.5707519750262182</v>
      </c>
      <c r="K406" s="348">
        <f t="shared" si="158"/>
        <v>5.896814177159925</v>
      </c>
      <c r="L406" s="349">
        <f t="shared" si="159"/>
        <v>1.4003897051151009</v>
      </c>
      <c r="M406" s="337">
        <f t="shared" si="169"/>
        <v>1.0569799302007714</v>
      </c>
      <c r="N406" s="340">
        <f t="shared" si="170"/>
        <v>0.32984747346598897</v>
      </c>
      <c r="O406" s="341">
        <f t="shared" si="171"/>
        <v>1.0073880354973552</v>
      </c>
      <c r="P406" s="342">
        <f t="shared" si="172"/>
        <v>0.49892710834037474</v>
      </c>
      <c r="Q406" s="343">
        <f t="shared" si="173"/>
        <v>4.4269974946988979</v>
      </c>
      <c r="R406" s="344">
        <f t="shared" si="174"/>
        <v>-137.2745435447093</v>
      </c>
      <c r="S406" s="346">
        <f t="shared" si="175"/>
        <v>42.725456455290697</v>
      </c>
      <c r="U406" s="319">
        <f t="shared" si="181"/>
        <v>1000000000</v>
      </c>
      <c r="V406" s="319">
        <f t="shared" si="182"/>
        <v>1396535585.0625</v>
      </c>
      <c r="X406" s="345">
        <f t="shared" si="176"/>
        <v>25.576457292958064</v>
      </c>
      <c r="Y406" s="346">
        <f t="shared" si="177"/>
        <v>-28.659907199578885</v>
      </c>
      <c r="AA406" s="345">
        <f t="shared" si="178"/>
        <v>41.090281536130817</v>
      </c>
      <c r="AB406" s="346">
        <f t="shared" si="179"/>
        <v>-108.61463634513044</v>
      </c>
      <c r="AD406">
        <f t="shared" si="183"/>
        <v>0</v>
      </c>
      <c r="AE406">
        <f t="shared" si="160"/>
        <v>0</v>
      </c>
    </row>
    <row r="407" spans="1:31" x14ac:dyDescent="0.25">
      <c r="A407" s="347">
        <v>37586.5</v>
      </c>
      <c r="B407" s="364">
        <f t="shared" si="180"/>
        <v>37.586500000000001</v>
      </c>
      <c r="C407" s="337">
        <f t="shared" si="161"/>
        <v>8.561026475590694</v>
      </c>
      <c r="D407" s="338">
        <f t="shared" si="162"/>
        <v>1.4537206333307136</v>
      </c>
      <c r="E407" s="338">
        <f t="shared" si="163"/>
        <v>1.0016049725954916</v>
      </c>
      <c r="F407" s="339">
        <f t="shared" si="164"/>
        <v>5.6618529072181505E-2</v>
      </c>
      <c r="G407" s="338">
        <f t="shared" si="165"/>
        <v>1</v>
      </c>
      <c r="H407" s="339">
        <f t="shared" si="166"/>
        <v>0</v>
      </c>
      <c r="I407" s="337">
        <f t="shared" si="167"/>
        <v>22677.487705650394</v>
      </c>
      <c r="J407" s="340">
        <f t="shared" si="168"/>
        <v>1.5707522301994843</v>
      </c>
      <c r="K407" s="348">
        <f t="shared" ref="K407:K470" si="184">SQRT(1+(A407/Zero2)^2)</f>
        <v>5.9299586222674225</v>
      </c>
      <c r="L407" s="349">
        <f t="shared" ref="L407:L470" si="185">ATAN(A407/Zero2)</f>
        <v>1.4013514107238754</v>
      </c>
      <c r="M407" s="337">
        <f t="shared" si="169"/>
        <v>1.057623266328346</v>
      </c>
      <c r="N407" s="340">
        <f t="shared" si="170"/>
        <v>0.33161965654952036</v>
      </c>
      <c r="O407" s="341">
        <f t="shared" si="171"/>
        <v>1.0075510904015514</v>
      </c>
      <c r="P407" s="342">
        <f t="shared" si="172"/>
        <v>0.50199420719121757</v>
      </c>
      <c r="Q407" s="343">
        <f t="shared" si="173"/>
        <v>4.3696029799430738</v>
      </c>
      <c r="R407" s="344">
        <f t="shared" si="174"/>
        <v>-137.5165624179437</v>
      </c>
      <c r="S407" s="346">
        <f t="shared" si="175"/>
        <v>42.483437582056297</v>
      </c>
      <c r="U407" s="319">
        <f t="shared" si="181"/>
        <v>1000000000</v>
      </c>
      <c r="V407" s="319">
        <f t="shared" si="182"/>
        <v>1412744982.25</v>
      </c>
      <c r="X407" s="345">
        <f t="shared" si="176"/>
        <v>25.569738933718074</v>
      </c>
      <c r="Y407" s="346">
        <f t="shared" si="177"/>
        <v>-28.706358758677155</v>
      </c>
      <c r="AA407" s="345">
        <f t="shared" si="178"/>
        <v>41.039605380614972</v>
      </c>
      <c r="AB407" s="346">
        <f t="shared" si="179"/>
        <v>-108.81020365926655</v>
      </c>
      <c r="AD407">
        <f t="shared" si="183"/>
        <v>0</v>
      </c>
      <c r="AE407">
        <f t="shared" si="160"/>
        <v>0</v>
      </c>
    </row>
    <row r="408" spans="1:31" x14ac:dyDescent="0.25">
      <c r="A408" s="347">
        <v>37802.75</v>
      </c>
      <c r="B408" s="364">
        <f t="shared" si="180"/>
        <v>37.802750000000003</v>
      </c>
      <c r="C408" s="337">
        <f t="shared" si="161"/>
        <v>8.6096112978775583</v>
      </c>
      <c r="D408" s="338">
        <f t="shared" si="162"/>
        <v>1.4543843114754638</v>
      </c>
      <c r="E408" s="338">
        <f t="shared" si="163"/>
        <v>1.0016234787966412</v>
      </c>
      <c r="F408" s="339">
        <f t="shared" si="164"/>
        <v>5.6943576149349716E-2</v>
      </c>
      <c r="G408" s="338">
        <f t="shared" si="165"/>
        <v>1</v>
      </c>
      <c r="H408" s="339">
        <f t="shared" si="166"/>
        <v>0</v>
      </c>
      <c r="I408" s="337">
        <f t="shared" si="167"/>
        <v>22807.960261138094</v>
      </c>
      <c r="J408" s="340">
        <f t="shared" si="168"/>
        <v>1.5707524824533214</v>
      </c>
      <c r="K408" s="348">
        <f t="shared" si="184"/>
        <v>5.9631084908900549</v>
      </c>
      <c r="L408" s="349">
        <f t="shared" si="185"/>
        <v>1.402302424655185</v>
      </c>
      <c r="M408" s="337">
        <f t="shared" si="169"/>
        <v>1.0582699200177499</v>
      </c>
      <c r="N408" s="340">
        <f t="shared" si="170"/>
        <v>0.33338967940863529</v>
      </c>
      <c r="O408" s="341">
        <f t="shared" si="171"/>
        <v>1.0077168558020233</v>
      </c>
      <c r="P408" s="342">
        <f t="shared" si="172"/>
        <v>0.50506399605984853</v>
      </c>
      <c r="Q408" s="343">
        <f t="shared" si="173"/>
        <v>4.3124621532977176</v>
      </c>
      <c r="R408" s="344">
        <f t="shared" si="174"/>
        <v>-137.75879070340076</v>
      </c>
      <c r="S408" s="346">
        <f t="shared" si="175"/>
        <v>42.241209296599237</v>
      </c>
      <c r="U408" s="319">
        <f t="shared" si="181"/>
        <v>1000000000</v>
      </c>
      <c r="V408" s="319">
        <f t="shared" si="182"/>
        <v>1429047907.5625</v>
      </c>
      <c r="X408" s="345">
        <f t="shared" si="176"/>
        <v>25.563020624250477</v>
      </c>
      <c r="Y408" s="346">
        <f t="shared" si="177"/>
        <v>-28.753298966757804</v>
      </c>
      <c r="AA408" s="345">
        <f t="shared" si="178"/>
        <v>40.989182863437215</v>
      </c>
      <c r="AB408" s="346">
        <f t="shared" si="179"/>
        <v>-109.00549173664295</v>
      </c>
      <c r="AD408">
        <f t="shared" si="183"/>
        <v>0</v>
      </c>
      <c r="AE408">
        <f t="shared" si="160"/>
        <v>0</v>
      </c>
    </row>
    <row r="409" spans="1:31" x14ac:dyDescent="0.25">
      <c r="A409" s="347">
        <v>38019</v>
      </c>
      <c r="B409" s="364">
        <f t="shared" si="180"/>
        <v>38.018999999999998</v>
      </c>
      <c r="C409" s="337">
        <f t="shared" si="161"/>
        <v>8.6581998698675786</v>
      </c>
      <c r="D409" s="338">
        <f t="shared" si="162"/>
        <v>1.4550405409740388</v>
      </c>
      <c r="E409" s="338">
        <f t="shared" si="163"/>
        <v>1.0016420908210057</v>
      </c>
      <c r="F409" s="339">
        <f t="shared" si="164"/>
        <v>5.726861118112641E-2</v>
      </c>
      <c r="G409" s="338">
        <f t="shared" si="165"/>
        <v>1</v>
      </c>
      <c r="H409" s="339">
        <f t="shared" si="166"/>
        <v>0</v>
      </c>
      <c r="I409" s="337">
        <f t="shared" si="167"/>
        <v>22938.432816627221</v>
      </c>
      <c r="J409" s="340">
        <f t="shared" si="168"/>
        <v>1.5707527318375467</v>
      </c>
      <c r="K409" s="348">
        <f t="shared" si="184"/>
        <v>5.9962636930773998</v>
      </c>
      <c r="L409" s="349">
        <f t="shared" si="185"/>
        <v>1.4032429225271648</v>
      </c>
      <c r="M409" s="337">
        <f t="shared" si="169"/>
        <v>1.0589198851911479</v>
      </c>
      <c r="N409" s="340">
        <f t="shared" si="170"/>
        <v>0.33515753492019984</v>
      </c>
      <c r="O409" s="341">
        <f t="shared" si="171"/>
        <v>1.0078853613603593</v>
      </c>
      <c r="P409" s="342">
        <f t="shared" si="172"/>
        <v>0.50813647763813341</v>
      </c>
      <c r="Q409" s="343">
        <f t="shared" si="173"/>
        <v>4.2555713144990417</v>
      </c>
      <c r="R409" s="344">
        <f t="shared" si="174"/>
        <v>-138.00122536545052</v>
      </c>
      <c r="S409" s="346">
        <f t="shared" si="175"/>
        <v>41.998774634549477</v>
      </c>
      <c r="U409" s="319">
        <f t="shared" si="181"/>
        <v>1000000000</v>
      </c>
      <c r="V409" s="319">
        <f t="shared" si="182"/>
        <v>1445444361</v>
      </c>
      <c r="X409" s="345">
        <f t="shared" si="176"/>
        <v>25.55630192709544</v>
      </c>
      <c r="Y409" s="346">
        <f t="shared" si="177"/>
        <v>-28.800717356371685</v>
      </c>
      <c r="AA409" s="345">
        <f t="shared" si="178"/>
        <v>40.939010721793572</v>
      </c>
      <c r="AB409" s="346">
        <f t="shared" si="179"/>
        <v>-109.20050800907883</v>
      </c>
      <c r="AD409">
        <f t="shared" si="183"/>
        <v>0</v>
      </c>
      <c r="AE409">
        <f t="shared" si="160"/>
        <v>0</v>
      </c>
    </row>
    <row r="410" spans="1:31" x14ac:dyDescent="0.25">
      <c r="A410" s="347">
        <v>38240.5</v>
      </c>
      <c r="B410" s="364">
        <f t="shared" si="180"/>
        <v>38.240499999999997</v>
      </c>
      <c r="C410" s="337">
        <f t="shared" si="161"/>
        <v>8.7079718705672775</v>
      </c>
      <c r="D410" s="338">
        <f t="shared" si="162"/>
        <v>1.4557051096865137</v>
      </c>
      <c r="E410" s="338">
        <f t="shared" si="163"/>
        <v>1.0016612643998983</v>
      </c>
      <c r="F410" s="339">
        <f t="shared" si="164"/>
        <v>5.7601524678135452E-2</v>
      </c>
      <c r="G410" s="338">
        <f t="shared" si="165"/>
        <v>1</v>
      </c>
      <c r="H410" s="339">
        <f t="shared" si="166"/>
        <v>0</v>
      </c>
      <c r="I410" s="337">
        <f t="shared" si="167"/>
        <v>23072.072913927379</v>
      </c>
      <c r="J410" s="340">
        <f t="shared" si="168"/>
        <v>1.5707529843521069</v>
      </c>
      <c r="K410" s="348">
        <f t="shared" si="184"/>
        <v>6.0302292566708111</v>
      </c>
      <c r="L410" s="349">
        <f t="shared" si="185"/>
        <v>1.4041955307384602</v>
      </c>
      <c r="M410" s="337">
        <f t="shared" si="169"/>
        <v>1.0595890565484067</v>
      </c>
      <c r="N410" s="340">
        <f t="shared" si="170"/>
        <v>0.33696605518543005</v>
      </c>
      <c r="O410" s="341">
        <f t="shared" si="171"/>
        <v>1.0080608296986693</v>
      </c>
      <c r="P410" s="342">
        <f t="shared" si="172"/>
        <v>0.51128634538077944</v>
      </c>
      <c r="Q410" s="343">
        <f t="shared" si="173"/>
        <v>4.1975546745012275</v>
      </c>
      <c r="R410" s="344">
        <f t="shared" si="174"/>
        <v>-138.24975655385558</v>
      </c>
      <c r="S410" s="346">
        <f t="shared" si="175"/>
        <v>41.750243446144424</v>
      </c>
      <c r="U410" s="319">
        <f t="shared" si="181"/>
        <v>1000000000</v>
      </c>
      <c r="V410" s="319">
        <f t="shared" si="182"/>
        <v>1462335840.25</v>
      </c>
      <c r="X410" s="345">
        <f t="shared" si="176"/>
        <v>25.549419273484041</v>
      </c>
      <c r="Y410" s="346">
        <f t="shared" si="177"/>
        <v>-28.849771972771141</v>
      </c>
      <c r="AA410" s="345">
        <f t="shared" si="178"/>
        <v>40.887876735407161</v>
      </c>
      <c r="AB410" s="346">
        <f t="shared" si="179"/>
        <v>-109.39998458108448</v>
      </c>
      <c r="AD410">
        <f t="shared" si="183"/>
        <v>0</v>
      </c>
      <c r="AE410">
        <f t="shared" ref="AE410:AE473" si="186">IF(AD410&gt;0,S410,0)</f>
        <v>0</v>
      </c>
    </row>
    <row r="411" spans="1:31" x14ac:dyDescent="0.25">
      <c r="A411" s="347">
        <v>38462</v>
      </c>
      <c r="B411" s="364">
        <f t="shared" si="180"/>
        <v>38.462000000000003</v>
      </c>
      <c r="C411" s="337">
        <f t="shared" si="161"/>
        <v>8.7577476734415818</v>
      </c>
      <c r="D411" s="338">
        <f t="shared" si="162"/>
        <v>1.4563621243602456</v>
      </c>
      <c r="E411" s="338">
        <f t="shared" si="163"/>
        <v>1.0016805489900504</v>
      </c>
      <c r="F411" s="339">
        <f t="shared" si="164"/>
        <v>5.7934425393380846E-2</v>
      </c>
      <c r="G411" s="338">
        <f t="shared" si="165"/>
        <v>1</v>
      </c>
      <c r="H411" s="339">
        <f t="shared" si="166"/>
        <v>0</v>
      </c>
      <c r="I411" s="337">
        <f t="shared" si="167"/>
        <v>23205.713011228985</v>
      </c>
      <c r="J411" s="340">
        <f t="shared" si="168"/>
        <v>1.5707532339582393</v>
      </c>
      <c r="K411" s="348">
        <f t="shared" si="184"/>
        <v>6.0642002311680692</v>
      </c>
      <c r="L411" s="349">
        <f t="shared" si="185"/>
        <v>1.4051374669862955</v>
      </c>
      <c r="M411" s="337">
        <f t="shared" si="169"/>
        <v>1.060261689170648</v>
      </c>
      <c r="N411" s="340">
        <f t="shared" si="170"/>
        <v>0.33877228669274856</v>
      </c>
      <c r="O411" s="341">
        <f t="shared" si="171"/>
        <v>1.0082392362877113</v>
      </c>
      <c r="P411" s="342">
        <f t="shared" si="172"/>
        <v>0.51443904311925914</v>
      </c>
      <c r="Q411" s="343">
        <f t="shared" si="173"/>
        <v>4.1397926486794816</v>
      </c>
      <c r="R411" s="344">
        <f t="shared" si="174"/>
        <v>-138.49849796253721</v>
      </c>
      <c r="S411" s="346">
        <f t="shared" si="175"/>
        <v>41.501502037462785</v>
      </c>
      <c r="U411" s="319">
        <f t="shared" si="181"/>
        <v>1000000000</v>
      </c>
      <c r="V411" s="319">
        <f t="shared" si="182"/>
        <v>1479325444</v>
      </c>
      <c r="X411" s="345">
        <f t="shared" si="176"/>
        <v>25.542535331051425</v>
      </c>
      <c r="Y411" s="346">
        <f t="shared" si="177"/>
        <v>-28.899306744827214</v>
      </c>
      <c r="AA411" s="345">
        <f t="shared" si="178"/>
        <v>40.836998652018039</v>
      </c>
      <c r="AB411" s="346">
        <f t="shared" si="179"/>
        <v>-109.59919121770999</v>
      </c>
      <c r="AD411">
        <f t="shared" si="183"/>
        <v>0</v>
      </c>
      <c r="AE411">
        <f t="shared" si="186"/>
        <v>0</v>
      </c>
    </row>
    <row r="412" spans="1:31" x14ac:dyDescent="0.25">
      <c r="A412" s="347">
        <v>38683.5</v>
      </c>
      <c r="B412" s="364">
        <f t="shared" si="180"/>
        <v>38.683500000000002</v>
      </c>
      <c r="C412" s="337">
        <f t="shared" si="161"/>
        <v>8.8075272140264378</v>
      </c>
      <c r="D412" s="338">
        <f t="shared" si="162"/>
        <v>1.457011712507875</v>
      </c>
      <c r="E412" s="338">
        <f t="shared" si="163"/>
        <v>1.0016999445850507</v>
      </c>
      <c r="F412" s="339">
        <f t="shared" si="164"/>
        <v>5.8267313253816934E-2</v>
      </c>
      <c r="G412" s="338">
        <f t="shared" si="165"/>
        <v>1</v>
      </c>
      <c r="H412" s="339">
        <f t="shared" si="166"/>
        <v>0</v>
      </c>
      <c r="I412" s="337">
        <f t="shared" si="167"/>
        <v>23339.353108532025</v>
      </c>
      <c r="J412" s="340">
        <f t="shared" si="168"/>
        <v>1.5707534807059045</v>
      </c>
      <c r="K412" s="348">
        <f t="shared" si="184"/>
        <v>6.0981765261419731</v>
      </c>
      <c r="L412" s="349">
        <f t="shared" si="185"/>
        <v>1.4060689079632258</v>
      </c>
      <c r="M412" s="337">
        <f t="shared" si="169"/>
        <v>1.0609377764745647</v>
      </c>
      <c r="N412" s="340">
        <f t="shared" si="170"/>
        <v>0.34057622202104187</v>
      </c>
      <c r="O412" s="341">
        <f t="shared" si="171"/>
        <v>1.0084206134422431</v>
      </c>
      <c r="P412" s="342">
        <f t="shared" si="172"/>
        <v>0.51759457296970879</v>
      </c>
      <c r="Q412" s="343">
        <f t="shared" si="173"/>
        <v>4.0822814596992556</v>
      </c>
      <c r="R412" s="344">
        <f t="shared" si="174"/>
        <v>-138.7474464767887</v>
      </c>
      <c r="S412" s="346">
        <f t="shared" si="175"/>
        <v>41.252553523211304</v>
      </c>
      <c r="U412" s="319">
        <f t="shared" si="181"/>
        <v>1000000000</v>
      </c>
      <c r="V412" s="319">
        <f t="shared" si="182"/>
        <v>1496413172.25</v>
      </c>
      <c r="X412" s="345">
        <f t="shared" si="176"/>
        <v>25.535649676323786</v>
      </c>
      <c r="Y412" s="346">
        <f t="shared" si="177"/>
        <v>-28.949311126466274</v>
      </c>
      <c r="AA412" s="345">
        <f t="shared" si="178"/>
        <v>40.786373117765457</v>
      </c>
      <c r="AB412" s="346">
        <f t="shared" si="179"/>
        <v>-109.7981353503224</v>
      </c>
      <c r="AD412">
        <f t="shared" si="183"/>
        <v>0</v>
      </c>
      <c r="AE412">
        <f t="shared" si="186"/>
        <v>0</v>
      </c>
    </row>
    <row r="413" spans="1:31" x14ac:dyDescent="0.25">
      <c r="A413" s="347">
        <v>38905</v>
      </c>
      <c r="B413" s="364">
        <f t="shared" si="180"/>
        <v>38.905000000000001</v>
      </c>
      <c r="C413" s="337">
        <f t="shared" si="161"/>
        <v>8.8573104293022062</v>
      </c>
      <c r="D413" s="338">
        <f t="shared" si="162"/>
        <v>1.4576539988006567</v>
      </c>
      <c r="E413" s="338">
        <f t="shared" si="163"/>
        <v>1.0017194511784511</v>
      </c>
      <c r="F413" s="339">
        <f t="shared" si="164"/>
        <v>5.8600188186415061E-2</v>
      </c>
      <c r="G413" s="338">
        <f t="shared" si="165"/>
        <v>1</v>
      </c>
      <c r="H413" s="339">
        <f t="shared" si="166"/>
        <v>0</v>
      </c>
      <c r="I413" s="337">
        <f t="shared" si="167"/>
        <v>23472.993205836468</v>
      </c>
      <c r="J413" s="340">
        <f t="shared" si="168"/>
        <v>1.5707537246439254</v>
      </c>
      <c r="K413" s="348">
        <f t="shared" si="184"/>
        <v>6.1321580531554281</v>
      </c>
      <c r="L413" s="349">
        <f t="shared" si="185"/>
        <v>1.4069900265189863</v>
      </c>
      <c r="M413" s="337">
        <f t="shared" si="169"/>
        <v>1.0616173118598502</v>
      </c>
      <c r="N413" s="340">
        <f t="shared" si="170"/>
        <v>0.3423778538278297</v>
      </c>
      <c r="O413" s="341">
        <f t="shared" si="171"/>
        <v>1.0086049936233279</v>
      </c>
      <c r="P413" s="342">
        <f t="shared" si="172"/>
        <v>0.52075293678294643</v>
      </c>
      <c r="Q413" s="343">
        <f t="shared" si="173"/>
        <v>4.0250173941839007</v>
      </c>
      <c r="R413" s="344">
        <f t="shared" si="174"/>
        <v>-138.99659902851889</v>
      </c>
      <c r="S413" s="346">
        <f t="shared" si="175"/>
        <v>41.003400971481113</v>
      </c>
      <c r="U413" s="319">
        <f t="shared" si="181"/>
        <v>1000000000</v>
      </c>
      <c r="V413" s="319">
        <f t="shared" si="182"/>
        <v>1513599025</v>
      </c>
      <c r="X413" s="345">
        <f t="shared" si="176"/>
        <v>25.52876190053572</v>
      </c>
      <c r="Y413" s="346">
        <f t="shared" si="177"/>
        <v>-28.999774796232213</v>
      </c>
      <c r="AA413" s="345">
        <f t="shared" si="178"/>
        <v>40.735996828038161</v>
      </c>
      <c r="AB413" s="346">
        <f t="shared" si="179"/>
        <v>-109.9968242322867</v>
      </c>
      <c r="AD413">
        <f t="shared" si="183"/>
        <v>0</v>
      </c>
      <c r="AE413">
        <f t="shared" si="186"/>
        <v>0</v>
      </c>
    </row>
    <row r="414" spans="1:31" x14ac:dyDescent="0.25">
      <c r="A414" s="347">
        <v>39131.5</v>
      </c>
      <c r="B414" s="364">
        <f t="shared" si="180"/>
        <v>39.131500000000003</v>
      </c>
      <c r="C414" s="337">
        <f t="shared" si="161"/>
        <v>8.9082211550528108</v>
      </c>
      <c r="D414" s="338">
        <f t="shared" si="162"/>
        <v>1.4583033596988222</v>
      </c>
      <c r="E414" s="338">
        <f t="shared" si="163"/>
        <v>1.0017395128796083</v>
      </c>
      <c r="F414" s="339">
        <f t="shared" si="164"/>
        <v>5.8940563780904696E-2</v>
      </c>
      <c r="G414" s="338">
        <f t="shared" si="165"/>
        <v>1</v>
      </c>
      <c r="H414" s="339">
        <f t="shared" si="166"/>
        <v>0</v>
      </c>
      <c r="I414" s="337">
        <f t="shared" si="167"/>
        <v>23609.650009627767</v>
      </c>
      <c r="J414" s="340">
        <f t="shared" si="168"/>
        <v>1.5707539712326628</v>
      </c>
      <c r="K414" s="348">
        <f t="shared" si="184"/>
        <v>6.1669119779437827</v>
      </c>
      <c r="L414" s="349">
        <f t="shared" si="185"/>
        <v>1.407921439423246</v>
      </c>
      <c r="M414" s="337">
        <f t="shared" si="169"/>
        <v>1.062315745462048</v>
      </c>
      <c r="N414" s="340">
        <f t="shared" si="170"/>
        <v>0.34421776485063305</v>
      </c>
      <c r="O414" s="341">
        <f t="shared" si="171"/>
        <v>1.0087966753327191</v>
      </c>
      <c r="P414" s="342">
        <f t="shared" si="172"/>
        <v>0.52398552778191987</v>
      </c>
      <c r="Q414" s="343">
        <f t="shared" si="173"/>
        <v>3.9667124366003117</v>
      </c>
      <c r="R414" s="344">
        <f t="shared" si="174"/>
        <v>-139.25158364015769</v>
      </c>
      <c r="S414" s="346">
        <f t="shared" si="175"/>
        <v>40.748416359842309</v>
      </c>
      <c r="U414" s="319">
        <f t="shared" si="181"/>
        <v>1000000000</v>
      </c>
      <c r="V414" s="319">
        <f t="shared" si="182"/>
        <v>1531274292.25</v>
      </c>
      <c r="X414" s="345">
        <f t="shared" si="176"/>
        <v>25.521716040073038</v>
      </c>
      <c r="Y414" s="346">
        <f t="shared" si="177"/>
        <v>-29.051842032673765</v>
      </c>
      <c r="AA414" s="345">
        <f t="shared" si="178"/>
        <v>40.684737730917256</v>
      </c>
      <c r="AB414" s="346">
        <f t="shared" si="179"/>
        <v>-110.19974160748393</v>
      </c>
      <c r="AD414">
        <f t="shared" si="183"/>
        <v>0</v>
      </c>
      <c r="AE414">
        <f t="shared" si="186"/>
        <v>0</v>
      </c>
    </row>
    <row r="415" spans="1:31" x14ac:dyDescent="0.25">
      <c r="A415" s="347">
        <v>39358</v>
      </c>
      <c r="B415" s="364">
        <f t="shared" si="180"/>
        <v>39.357999999999997</v>
      </c>
      <c r="C415" s="337">
        <f t="shared" si="161"/>
        <v>8.9591355944373241</v>
      </c>
      <c r="D415" s="338">
        <f t="shared" si="162"/>
        <v>1.4589453402767405</v>
      </c>
      <c r="E415" s="338">
        <f t="shared" si="163"/>
        <v>1.0017596906331869</v>
      </c>
      <c r="F415" s="339">
        <f t="shared" si="164"/>
        <v>5.9280925702924779E-2</v>
      </c>
      <c r="G415" s="338">
        <f t="shared" si="165"/>
        <v>1</v>
      </c>
      <c r="H415" s="339">
        <f t="shared" si="166"/>
        <v>0</v>
      </c>
      <c r="I415" s="337">
        <f t="shared" si="167"/>
        <v>23746.306813420488</v>
      </c>
      <c r="J415" s="340">
        <f t="shared" si="168"/>
        <v>1.5707542149832303</v>
      </c>
      <c r="K415" s="348">
        <f t="shared" si="184"/>
        <v>6.2016711927484121</v>
      </c>
      <c r="L415" s="349">
        <f t="shared" si="185"/>
        <v>1.4088424123264756</v>
      </c>
      <c r="M415" s="337">
        <f t="shared" si="169"/>
        <v>1.0630177705598518</v>
      </c>
      <c r="N415" s="340">
        <f t="shared" si="170"/>
        <v>0.34605525190426828</v>
      </c>
      <c r="O415" s="341">
        <f t="shared" si="171"/>
        <v>1.0089915662916285</v>
      </c>
      <c r="P415" s="342">
        <f t="shared" si="172"/>
        <v>0.52722108518995592</v>
      </c>
      <c r="Q415" s="343">
        <f t="shared" si="173"/>
        <v>3.9086582299130024</v>
      </c>
      <c r="R415" s="344">
        <f t="shared" si="174"/>
        <v>-139.50677525886846</v>
      </c>
      <c r="S415" s="346">
        <f t="shared" si="175"/>
        <v>40.493224741131542</v>
      </c>
      <c r="U415" s="319">
        <f t="shared" si="181"/>
        <v>1000000000</v>
      </c>
      <c r="V415" s="319">
        <f t="shared" si="182"/>
        <v>1549052164</v>
      </c>
      <c r="X415" s="345">
        <f t="shared" si="176"/>
        <v>25.51466714221883</v>
      </c>
      <c r="Y415" s="346">
        <f t="shared" si="177"/>
        <v>-29.104368391294823</v>
      </c>
      <c r="AA415" s="345">
        <f t="shared" si="178"/>
        <v>40.633732422084144</v>
      </c>
      <c r="AB415" s="346">
        <f t="shared" si="179"/>
        <v>-110.40240686757363</v>
      </c>
      <c r="AD415">
        <f t="shared" si="183"/>
        <v>0</v>
      </c>
      <c r="AE415">
        <f t="shared" si="186"/>
        <v>0</v>
      </c>
    </row>
    <row r="416" spans="1:31" x14ac:dyDescent="0.25">
      <c r="A416" s="347">
        <v>39584.5</v>
      </c>
      <c r="B416" s="364">
        <f t="shared" si="180"/>
        <v>39.584499999999998</v>
      </c>
      <c r="C416" s="337">
        <f t="shared" si="161"/>
        <v>9.0100536845002104</v>
      </c>
      <c r="D416" s="338">
        <f t="shared" si="162"/>
        <v>1.4595800651248678</v>
      </c>
      <c r="E416" s="338">
        <f t="shared" si="163"/>
        <v>1.0017799844321742</v>
      </c>
      <c r="F416" s="339">
        <f t="shared" si="164"/>
        <v>5.9621273874444596E-2</v>
      </c>
      <c r="G416" s="338">
        <f t="shared" si="165"/>
        <v>1</v>
      </c>
      <c r="H416" s="339">
        <f t="shared" si="166"/>
        <v>0</v>
      </c>
      <c r="I416" s="337">
        <f t="shared" si="167"/>
        <v>23882.963617214602</v>
      </c>
      <c r="J416" s="340">
        <f t="shared" si="168"/>
        <v>1.5707544559443471</v>
      </c>
      <c r="K416" s="348">
        <f t="shared" si="184"/>
        <v>6.2364356091164783</v>
      </c>
      <c r="L416" s="349">
        <f t="shared" si="185"/>
        <v>1.4097531182435195</v>
      </c>
      <c r="M416" s="337">
        <f t="shared" si="169"/>
        <v>1.0637233800424279</v>
      </c>
      <c r="N416" s="340">
        <f t="shared" si="170"/>
        <v>0.34789030739226201</v>
      </c>
      <c r="O416" s="341">
        <f t="shared" si="171"/>
        <v>1.0091897016767655</v>
      </c>
      <c r="P416" s="342">
        <f t="shared" si="172"/>
        <v>0.53045961011446441</v>
      </c>
      <c r="Q416" s="343">
        <f t="shared" si="173"/>
        <v>3.8508510012461845</v>
      </c>
      <c r="R416" s="344">
        <f t="shared" si="174"/>
        <v>-139.76217074560441</v>
      </c>
      <c r="S416" s="346">
        <f t="shared" si="175"/>
        <v>40.237829254395592</v>
      </c>
      <c r="U416" s="319">
        <f t="shared" si="181"/>
        <v>1000000000</v>
      </c>
      <c r="V416" s="319">
        <f t="shared" si="182"/>
        <v>1566932640.25</v>
      </c>
      <c r="X416" s="345">
        <f t="shared" si="176"/>
        <v>25.507614814525507</v>
      </c>
      <c r="Y416" s="346">
        <f t="shared" si="177"/>
        <v>-29.157343526620522</v>
      </c>
      <c r="AA416" s="345">
        <f t="shared" si="178"/>
        <v>40.582977521110656</v>
      </c>
      <c r="AB416" s="346">
        <f t="shared" si="179"/>
        <v>-110.6048272189839</v>
      </c>
      <c r="AD416">
        <f t="shared" si="183"/>
        <v>0</v>
      </c>
      <c r="AE416">
        <f t="shared" si="186"/>
        <v>0</v>
      </c>
    </row>
    <row r="417" spans="1:31" x14ac:dyDescent="0.25">
      <c r="A417" s="347">
        <v>39811</v>
      </c>
      <c r="B417" s="364">
        <f t="shared" si="180"/>
        <v>39.811</v>
      </c>
      <c r="C417" s="337">
        <f t="shared" si="161"/>
        <v>9.0609753636965866</v>
      </c>
      <c r="D417" s="338">
        <f t="shared" si="162"/>
        <v>1.4602076560566104</v>
      </c>
      <c r="E417" s="338">
        <f t="shared" si="163"/>
        <v>1.0018003942695177</v>
      </c>
      <c r="F417" s="339">
        <f t="shared" si="164"/>
        <v>5.9961608217452445E-2</v>
      </c>
      <c r="G417" s="338">
        <f t="shared" si="165"/>
        <v>1</v>
      </c>
      <c r="H417" s="339">
        <f t="shared" si="166"/>
        <v>0</v>
      </c>
      <c r="I417" s="337">
        <f t="shared" si="167"/>
        <v>24019.620421010088</v>
      </c>
      <c r="J417" s="340">
        <f t="shared" si="168"/>
        <v>1.5707546941636243</v>
      </c>
      <c r="K417" s="348">
        <f t="shared" si="184"/>
        <v>6.2712051405434011</v>
      </c>
      <c r="L417" s="349">
        <f t="shared" si="185"/>
        <v>1.4106537264212149</v>
      </c>
      <c r="M417" s="337">
        <f t="shared" si="169"/>
        <v>1.0644325667815395</v>
      </c>
      <c r="N417" s="340">
        <f t="shared" si="170"/>
        <v>0.3497229238037371</v>
      </c>
      <c r="O417" s="341">
        <f t="shared" si="171"/>
        <v>1.0093911168198688</v>
      </c>
      <c r="P417" s="342">
        <f t="shared" si="172"/>
        <v>0.53370110336543874</v>
      </c>
      <c r="Q417" s="343">
        <f t="shared" si="173"/>
        <v>3.7932870412098838</v>
      </c>
      <c r="R417" s="344">
        <f t="shared" si="174"/>
        <v>-140.01776700589545</v>
      </c>
      <c r="S417" s="346">
        <f t="shared" si="175"/>
        <v>39.98223299410455</v>
      </c>
      <c r="U417" s="319">
        <f t="shared" si="181"/>
        <v>1000000000</v>
      </c>
      <c r="V417" s="319">
        <f t="shared" si="182"/>
        <v>1584915721</v>
      </c>
      <c r="X417" s="345">
        <f t="shared" si="176"/>
        <v>25.500558678609053</v>
      </c>
      <c r="Y417" s="346">
        <f t="shared" si="177"/>
        <v>-29.210757313907767</v>
      </c>
      <c r="AA417" s="345">
        <f t="shared" si="178"/>
        <v>40.532469696990809</v>
      </c>
      <c r="AB417" s="346">
        <f t="shared" si="179"/>
        <v>-110.80700969198772</v>
      </c>
      <c r="AD417">
        <f t="shared" si="183"/>
        <v>0</v>
      </c>
      <c r="AE417">
        <f t="shared" si="186"/>
        <v>0</v>
      </c>
    </row>
    <row r="418" spans="1:31" x14ac:dyDescent="0.25">
      <c r="A418" s="347">
        <v>40042.75</v>
      </c>
      <c r="B418" s="364">
        <f t="shared" si="180"/>
        <v>40.042749999999998</v>
      </c>
      <c r="C418" s="337">
        <f t="shared" si="161"/>
        <v>9.1130809988459802</v>
      </c>
      <c r="D418" s="338">
        <f t="shared" si="162"/>
        <v>1.4608425341546576</v>
      </c>
      <c r="E418" s="338">
        <f t="shared" si="163"/>
        <v>1.0018213972791379</v>
      </c>
      <c r="F418" s="339">
        <f t="shared" si="164"/>
        <v>6.0309816710466591E-2</v>
      </c>
      <c r="G418" s="338">
        <f t="shared" si="165"/>
        <v>1</v>
      </c>
      <c r="H418" s="339">
        <f t="shared" si="166"/>
        <v>0</v>
      </c>
      <c r="I418" s="337">
        <f t="shared" si="167"/>
        <v>24159.444766616791</v>
      </c>
      <c r="J418" s="340">
        <f t="shared" si="168"/>
        <v>1.5707549351151644</v>
      </c>
      <c r="K418" s="348">
        <f t="shared" si="184"/>
        <v>6.3067857942968688</v>
      </c>
      <c r="L418" s="349">
        <f t="shared" si="185"/>
        <v>1.4115649307744302</v>
      </c>
      <c r="M418" s="337">
        <f t="shared" si="169"/>
        <v>1.0651618867632415</v>
      </c>
      <c r="N418" s="340">
        <f t="shared" si="170"/>
        <v>0.35159548580058164</v>
      </c>
      <c r="O418" s="341">
        <f t="shared" si="171"/>
        <v>1.009600632209688</v>
      </c>
      <c r="P418" s="342">
        <f t="shared" si="172"/>
        <v>0.53702080342411396</v>
      </c>
      <c r="Q418" s="343">
        <f t="shared" si="173"/>
        <v>3.7346368051865104</v>
      </c>
      <c r="R418" s="344">
        <f t="shared" si="174"/>
        <v>-140.27949230837794</v>
      </c>
      <c r="S418" s="346">
        <f t="shared" si="175"/>
        <v>39.720507691622061</v>
      </c>
      <c r="U418" s="319">
        <f t="shared" si="181"/>
        <v>1000000000</v>
      </c>
      <c r="V418" s="319">
        <f t="shared" si="182"/>
        <v>1603421827.5625</v>
      </c>
      <c r="X418" s="345">
        <f t="shared" si="176"/>
        <v>25.493334667820498</v>
      </c>
      <c r="Y418" s="346">
        <f t="shared" si="177"/>
        <v>-29.265852855059624</v>
      </c>
      <c r="AA418" s="345">
        <f t="shared" si="178"/>
        <v>40.481043471755989</v>
      </c>
      <c r="AB418" s="346">
        <f t="shared" si="179"/>
        <v>-111.01363945331832</v>
      </c>
      <c r="AD418">
        <f t="shared" si="183"/>
        <v>0</v>
      </c>
      <c r="AE418">
        <f t="shared" si="186"/>
        <v>0</v>
      </c>
    </row>
    <row r="419" spans="1:31" x14ac:dyDescent="0.25">
      <c r="A419" s="347">
        <v>40274.5</v>
      </c>
      <c r="B419" s="364">
        <f t="shared" si="180"/>
        <v>40.274500000000003</v>
      </c>
      <c r="C419" s="337">
        <f t="shared" si="161"/>
        <v>9.1651902654402537</v>
      </c>
      <c r="D419" s="338">
        <f t="shared" si="162"/>
        <v>1.4614701932244654</v>
      </c>
      <c r="E419" s="338">
        <f t="shared" si="163"/>
        <v>1.0018425217536535</v>
      </c>
      <c r="F419" s="339">
        <f t="shared" si="164"/>
        <v>6.0658010561310892E-2</v>
      </c>
      <c r="G419" s="338">
        <f t="shared" si="165"/>
        <v>1</v>
      </c>
      <c r="H419" s="339">
        <f t="shared" si="166"/>
        <v>0</v>
      </c>
      <c r="I419" s="337">
        <f t="shared" si="167"/>
        <v>24299.269112224887</v>
      </c>
      <c r="J419" s="340">
        <f t="shared" si="168"/>
        <v>1.5707551732937084</v>
      </c>
      <c r="K419" s="348">
        <f t="shared" si="184"/>
        <v>6.3423716257770213</v>
      </c>
      <c r="L419" s="349">
        <f t="shared" si="185"/>
        <v>1.4124659106828132</v>
      </c>
      <c r="M419" s="337">
        <f t="shared" si="169"/>
        <v>1.065894936603957</v>
      </c>
      <c r="N419" s="340">
        <f t="shared" si="170"/>
        <v>0.353465478706182</v>
      </c>
      <c r="O419" s="341">
        <f t="shared" si="171"/>
        <v>1.0098136564872819</v>
      </c>
      <c r="P419" s="342">
        <f t="shared" si="172"/>
        <v>0.54034361176294277</v>
      </c>
      <c r="Q419" s="343">
        <f t="shared" si="173"/>
        <v>3.6762335862233035</v>
      </c>
      <c r="R419" s="344">
        <f t="shared" si="174"/>
        <v>-140.54142138184955</v>
      </c>
      <c r="S419" s="346">
        <f t="shared" si="175"/>
        <v>39.458578618150455</v>
      </c>
      <c r="U419" s="319">
        <f t="shared" si="181"/>
        <v>1000000000</v>
      </c>
      <c r="V419" s="319">
        <f t="shared" si="182"/>
        <v>1622035350.25</v>
      </c>
      <c r="X419" s="345">
        <f t="shared" si="176"/>
        <v>25.486105911893095</v>
      </c>
      <c r="Y419" s="346">
        <f t="shared" si="177"/>
        <v>-29.321386856782297</v>
      </c>
      <c r="AA419" s="345">
        <f t="shared" si="178"/>
        <v>40.429869008720189</v>
      </c>
      <c r="AB419" s="346">
        <f t="shared" si="179"/>
        <v>-111.22003452506723</v>
      </c>
      <c r="AD419">
        <f t="shared" si="183"/>
        <v>0</v>
      </c>
      <c r="AE419">
        <f t="shared" si="186"/>
        <v>0</v>
      </c>
    </row>
    <row r="420" spans="1:31" x14ac:dyDescent="0.25">
      <c r="A420" s="347">
        <v>40506.25</v>
      </c>
      <c r="B420" s="364">
        <f t="shared" si="180"/>
        <v>40.506250000000001</v>
      </c>
      <c r="C420" s="337">
        <f t="shared" si="161"/>
        <v>9.2173031018891791</v>
      </c>
      <c r="D420" s="338">
        <f t="shared" si="162"/>
        <v>1.4620907552121905</v>
      </c>
      <c r="E420" s="338">
        <f t="shared" si="163"/>
        <v>1.0018637676853819</v>
      </c>
      <c r="F420" s="339">
        <f t="shared" si="164"/>
        <v>6.100618968648492E-2</v>
      </c>
      <c r="G420" s="338">
        <f t="shared" si="165"/>
        <v>1</v>
      </c>
      <c r="H420" s="339">
        <f t="shared" si="166"/>
        <v>0</v>
      </c>
      <c r="I420" s="337">
        <f t="shared" si="167"/>
        <v>24439.093457834344</v>
      </c>
      <c r="J420" s="340">
        <f t="shared" si="168"/>
        <v>1.5707554087468518</v>
      </c>
      <c r="K420" s="348">
        <f t="shared" si="184"/>
        <v>6.3779625483165052</v>
      </c>
      <c r="L420" s="349">
        <f t="shared" si="185"/>
        <v>1.4133568358375199</v>
      </c>
      <c r="M420" s="337">
        <f t="shared" si="169"/>
        <v>1.0666317086135741</v>
      </c>
      <c r="N420" s="340">
        <f t="shared" si="170"/>
        <v>0.35533289475267754</v>
      </c>
      <c r="O420" s="341">
        <f t="shared" si="171"/>
        <v>1.010030227994003</v>
      </c>
      <c r="P420" s="342">
        <f t="shared" si="172"/>
        <v>0.5436695282709213</v>
      </c>
      <c r="Q420" s="343">
        <f t="shared" si="173"/>
        <v>3.6180736076401936</v>
      </c>
      <c r="R420" s="344">
        <f t="shared" si="174"/>
        <v>-140.80355104680885</v>
      </c>
      <c r="S420" s="346">
        <f t="shared" si="175"/>
        <v>39.196448953191151</v>
      </c>
      <c r="U420" s="319">
        <f t="shared" si="181"/>
        <v>1000000000</v>
      </c>
      <c r="V420" s="319">
        <f t="shared" si="182"/>
        <v>1640756289.0625</v>
      </c>
      <c r="X420" s="345">
        <f t="shared" si="176"/>
        <v>25.478872048269888</v>
      </c>
      <c r="Y420" s="346">
        <f t="shared" si="177"/>
        <v>-29.377349154150103</v>
      </c>
      <c r="AA420" s="345">
        <f t="shared" si="178"/>
        <v>40.378942893760275</v>
      </c>
      <c r="AB420" s="346">
        <f t="shared" si="179"/>
        <v>-111.42620189265874</v>
      </c>
      <c r="AD420">
        <f t="shared" si="183"/>
        <v>0</v>
      </c>
      <c r="AE420">
        <f t="shared" si="186"/>
        <v>0</v>
      </c>
    </row>
    <row r="421" spans="1:31" x14ac:dyDescent="0.25">
      <c r="A421" s="347">
        <v>40738</v>
      </c>
      <c r="B421" s="364">
        <f t="shared" si="180"/>
        <v>40.738</v>
      </c>
      <c r="C421" s="337">
        <f t="shared" si="161"/>
        <v>9.2694194479834024</v>
      </c>
      <c r="D421" s="338">
        <f t="shared" si="162"/>
        <v>1.462704339343619</v>
      </c>
      <c r="E421" s="338">
        <f t="shared" si="163"/>
        <v>1.0018851350665958</v>
      </c>
      <c r="F421" s="339">
        <f t="shared" si="164"/>
        <v>6.1354354002509569E-2</v>
      </c>
      <c r="G421" s="338">
        <f t="shared" si="165"/>
        <v>1</v>
      </c>
      <c r="H421" s="339">
        <f t="shared" si="166"/>
        <v>0</v>
      </c>
      <c r="I421" s="337">
        <f t="shared" si="167"/>
        <v>24578.91780344514</v>
      </c>
      <c r="J421" s="340">
        <f t="shared" si="168"/>
        <v>1.5707556415211075</v>
      </c>
      <c r="K421" s="348">
        <f t="shared" si="184"/>
        <v>6.4135584771594871</v>
      </c>
      <c r="L421" s="349">
        <f t="shared" si="185"/>
        <v>1.4142378722271505</v>
      </c>
      <c r="M421" s="337">
        <f t="shared" si="169"/>
        <v>1.0673721950842197</v>
      </c>
      <c r="N421" s="340">
        <f t="shared" si="170"/>
        <v>0.35719772626548968</v>
      </c>
      <c r="O421" s="341">
        <f t="shared" si="171"/>
        <v>1.0102503852352529</v>
      </c>
      <c r="P421" s="342">
        <f t="shared" si="172"/>
        <v>0.54699855250316087</v>
      </c>
      <c r="Q421" s="343">
        <f t="shared" si="173"/>
        <v>3.5601531559458808</v>
      </c>
      <c r="R421" s="344">
        <f t="shared" si="174"/>
        <v>-141.06587816618077</v>
      </c>
      <c r="S421" s="346">
        <f t="shared" si="175"/>
        <v>38.934121833819233</v>
      </c>
      <c r="U421" s="319">
        <f t="shared" si="181"/>
        <v>1000000000</v>
      </c>
      <c r="V421" s="319">
        <f t="shared" si="182"/>
        <v>1659584644</v>
      </c>
      <c r="X421" s="345">
        <f t="shared" si="176"/>
        <v>25.47163272786748</v>
      </c>
      <c r="Y421" s="346">
        <f t="shared" si="177"/>
        <v>-29.433729799660817</v>
      </c>
      <c r="AA421" s="345">
        <f t="shared" si="178"/>
        <v>40.328261762468372</v>
      </c>
      <c r="AB421" s="346">
        <f t="shared" si="179"/>
        <v>-111.63214836651996</v>
      </c>
      <c r="AD421">
        <f t="shared" si="183"/>
        <v>0</v>
      </c>
      <c r="AE421">
        <f t="shared" si="186"/>
        <v>0</v>
      </c>
    </row>
    <row r="422" spans="1:31" x14ac:dyDescent="0.25">
      <c r="A422" s="347">
        <v>40975.25</v>
      </c>
      <c r="B422" s="364">
        <f t="shared" si="180"/>
        <v>40.975250000000003</v>
      </c>
      <c r="C422" s="337">
        <f t="shared" si="161"/>
        <v>9.3227762178344662</v>
      </c>
      <c r="D422" s="338">
        <f t="shared" si="162"/>
        <v>1.4633253788210414</v>
      </c>
      <c r="E422" s="338">
        <f t="shared" si="163"/>
        <v>1.0019071353475695</v>
      </c>
      <c r="F422" s="339">
        <f t="shared" si="164"/>
        <v>6.171076569019348E-2</v>
      </c>
      <c r="G422" s="338">
        <f t="shared" si="165"/>
        <v>1</v>
      </c>
      <c r="H422" s="339">
        <f t="shared" si="166"/>
        <v>0</v>
      </c>
      <c r="I422" s="337">
        <f t="shared" si="167"/>
        <v>24722.060526191537</v>
      </c>
      <c r="J422" s="340">
        <f t="shared" si="168"/>
        <v>1.5707558770921215</v>
      </c>
      <c r="K422" s="348">
        <f t="shared" si="184"/>
        <v>6.4500042847202463</v>
      </c>
      <c r="L422" s="349">
        <f t="shared" si="185"/>
        <v>1.415129743730533</v>
      </c>
      <c r="M422" s="337">
        <f t="shared" si="169"/>
        <v>1.0681340947992399</v>
      </c>
      <c r="N422" s="340">
        <f t="shared" si="170"/>
        <v>0.35910412965425509</v>
      </c>
      <c r="O422" s="341">
        <f t="shared" si="171"/>
        <v>1.0104795221167342</v>
      </c>
      <c r="P422" s="342">
        <f t="shared" si="172"/>
        <v>0.55040980111741045</v>
      </c>
      <c r="Q422" s="343">
        <f t="shared" si="173"/>
        <v>3.5011024176636152</v>
      </c>
      <c r="R422" s="344">
        <f t="shared" si="174"/>
        <v>-141.33463226288691</v>
      </c>
      <c r="S422" s="346">
        <f t="shared" si="175"/>
        <v>38.665367737113087</v>
      </c>
      <c r="U422" s="319">
        <f t="shared" si="181"/>
        <v>1000000000</v>
      </c>
      <c r="V422" s="319">
        <f t="shared" si="182"/>
        <v>1678971112.5625</v>
      </c>
      <c r="X422" s="345">
        <f t="shared" si="176"/>
        <v>25.464215597149931</v>
      </c>
      <c r="Y422" s="346">
        <f t="shared" si="177"/>
        <v>-29.491871692166015</v>
      </c>
      <c r="AA422" s="345">
        <f t="shared" si="178"/>
        <v>40.276628154903662</v>
      </c>
      <c r="AB422" s="346">
        <f t="shared" si="179"/>
        <v>-111.84276057072086</v>
      </c>
      <c r="AD422">
        <f t="shared" si="183"/>
        <v>0</v>
      </c>
      <c r="AE422">
        <f t="shared" si="186"/>
        <v>0</v>
      </c>
    </row>
    <row r="423" spans="1:31" x14ac:dyDescent="0.25">
      <c r="A423" s="347">
        <v>41212.5</v>
      </c>
      <c r="B423" s="364">
        <f t="shared" si="180"/>
        <v>41.212499999999999</v>
      </c>
      <c r="C423" s="337">
        <f t="shared" si="161"/>
        <v>9.3761365424624756</v>
      </c>
      <c r="D423" s="338">
        <f t="shared" si="162"/>
        <v>1.4639393497647812</v>
      </c>
      <c r="E423" s="338">
        <f t="shared" si="163"/>
        <v>1.0019292628944976</v>
      </c>
      <c r="F423" s="339">
        <f t="shared" si="164"/>
        <v>6.2067161680487502E-2</v>
      </c>
      <c r="G423" s="338">
        <f t="shared" si="165"/>
        <v>1</v>
      </c>
      <c r="H423" s="339">
        <f t="shared" si="166"/>
        <v>0</v>
      </c>
      <c r="I423" s="337">
        <f t="shared" si="167"/>
        <v>24865.203248939291</v>
      </c>
      <c r="J423" s="340">
        <f t="shared" si="168"/>
        <v>1.5707561099508893</v>
      </c>
      <c r="K423" s="348">
        <f t="shared" si="184"/>
        <v>6.4864551651816686</v>
      </c>
      <c r="L423" s="349">
        <f t="shared" si="185"/>
        <v>1.4160115921174319</v>
      </c>
      <c r="M423" s="337">
        <f t="shared" si="169"/>
        <v>1.0688998709706028</v>
      </c>
      <c r="N423" s="340">
        <f t="shared" si="170"/>
        <v>0.3610078084005291</v>
      </c>
      <c r="O423" s="341">
        <f t="shared" si="171"/>
        <v>1.0107124991362983</v>
      </c>
      <c r="P423" s="342">
        <f t="shared" si="172"/>
        <v>0.55382430469023203</v>
      </c>
      <c r="Q423" s="343">
        <f t="shared" si="173"/>
        <v>3.4422950307388827</v>
      </c>
      <c r="R423" s="344">
        <f t="shared" si="174"/>
        <v>-141.60358677358511</v>
      </c>
      <c r="S423" s="346">
        <f t="shared" si="175"/>
        <v>38.396413226414893</v>
      </c>
      <c r="U423" s="319">
        <f t="shared" si="181"/>
        <v>1000000000</v>
      </c>
      <c r="V423" s="319">
        <f t="shared" si="182"/>
        <v>1698470156.25</v>
      </c>
      <c r="X423" s="345">
        <f t="shared" si="176"/>
        <v>25.456792048551009</v>
      </c>
      <c r="Y423" s="346">
        <f t="shared" si="177"/>
        <v>-29.55043160102808</v>
      </c>
      <c r="AA423" s="345">
        <f t="shared" si="178"/>
        <v>40.225244316577857</v>
      </c>
      <c r="AB423" s="346">
        <f t="shared" si="179"/>
        <v>-112.05315517255701</v>
      </c>
      <c r="AD423">
        <f t="shared" si="183"/>
        <v>0</v>
      </c>
      <c r="AE423">
        <f t="shared" si="186"/>
        <v>0</v>
      </c>
    </row>
    <row r="424" spans="1:31" x14ac:dyDescent="0.25">
      <c r="A424" s="347">
        <v>41449.75</v>
      </c>
      <c r="B424" s="364">
        <f t="shared" si="180"/>
        <v>41.449750000000002</v>
      </c>
      <c r="C424" s="337">
        <f t="shared" si="161"/>
        <v>9.4295003615193611</v>
      </c>
      <c r="D424" s="338">
        <f t="shared" si="162"/>
        <v>1.4645463717155947</v>
      </c>
      <c r="E424" s="338">
        <f t="shared" si="163"/>
        <v>1.0019515176989484</v>
      </c>
      <c r="F424" s="339">
        <f t="shared" si="164"/>
        <v>6.242354188389717E-2</v>
      </c>
      <c r="G424" s="338">
        <f t="shared" si="165"/>
        <v>1</v>
      </c>
      <c r="H424" s="339">
        <f t="shared" si="166"/>
        <v>0</v>
      </c>
      <c r="I424" s="337">
        <f t="shared" si="167"/>
        <v>25008.345971688374</v>
      </c>
      <c r="J424" s="340">
        <f t="shared" si="168"/>
        <v>1.5707563401439841</v>
      </c>
      <c r="K424" s="348">
        <f t="shared" si="184"/>
        <v>6.5229110334996561</v>
      </c>
      <c r="L424" s="349">
        <f t="shared" si="185"/>
        <v>1.4168835840591236</v>
      </c>
      <c r="M424" s="337">
        <f t="shared" si="169"/>
        <v>1.0696695152728457</v>
      </c>
      <c r="N424" s="340">
        <f t="shared" si="170"/>
        <v>0.36290875457304667</v>
      </c>
      <c r="O424" s="341">
        <f t="shared" si="171"/>
        <v>1.0109493581305051</v>
      </c>
      <c r="P424" s="342">
        <f t="shared" si="172"/>
        <v>0.55724206164412649</v>
      </c>
      <c r="Q424" s="343">
        <f t="shared" si="173"/>
        <v>3.3837272071227535</v>
      </c>
      <c r="R424" s="344">
        <f t="shared" si="174"/>
        <v>-141.87273846087959</v>
      </c>
      <c r="S424" s="346">
        <f t="shared" si="175"/>
        <v>38.127261539120411</v>
      </c>
      <c r="U424" s="319">
        <f t="shared" si="181"/>
        <v>1000000000</v>
      </c>
      <c r="V424" s="319">
        <f t="shared" si="182"/>
        <v>1718081775.0625</v>
      </c>
      <c r="X424" s="345">
        <f t="shared" si="176"/>
        <v>25.449361748565465</v>
      </c>
      <c r="Y424" s="346">
        <f t="shared" si="177"/>
        <v>-29.609399524926726</v>
      </c>
      <c r="AA424" s="345">
        <f t="shared" si="178"/>
        <v>40.174106792947264</v>
      </c>
      <c r="AB424" s="346">
        <f t="shared" si="179"/>
        <v>-112.26333893595286</v>
      </c>
      <c r="AD424">
        <f t="shared" si="183"/>
        <v>0</v>
      </c>
      <c r="AE424">
        <f t="shared" si="186"/>
        <v>0</v>
      </c>
    </row>
    <row r="425" spans="1:31" x14ac:dyDescent="0.25">
      <c r="A425" s="347">
        <v>41687</v>
      </c>
      <c r="B425" s="364">
        <f t="shared" si="180"/>
        <v>41.686999999999998</v>
      </c>
      <c r="C425" s="337">
        <f t="shared" si="161"/>
        <v>9.4828676160115499</v>
      </c>
      <c r="D425" s="338">
        <f t="shared" si="162"/>
        <v>1.4651465615440031</v>
      </c>
      <c r="E425" s="338">
        <f t="shared" si="163"/>
        <v>1.0019738997524426</v>
      </c>
      <c r="F425" s="339">
        <f t="shared" si="164"/>
        <v>6.2779906210951975E-2</v>
      </c>
      <c r="G425" s="338">
        <f t="shared" si="165"/>
        <v>1</v>
      </c>
      <c r="H425" s="339">
        <f t="shared" si="166"/>
        <v>0</v>
      </c>
      <c r="I425" s="337">
        <f t="shared" si="167"/>
        <v>25151.488694438773</v>
      </c>
      <c r="J425" s="340">
        <f t="shared" si="168"/>
        <v>1.5707565677169186</v>
      </c>
      <c r="K425" s="348">
        <f t="shared" si="184"/>
        <v>6.5593718065092439</v>
      </c>
      <c r="L425" s="349">
        <f t="shared" si="185"/>
        <v>1.4177458825817844</v>
      </c>
      <c r="M425" s="337">
        <f t="shared" si="169"/>
        <v>1.0704430193624561</v>
      </c>
      <c r="N425" s="340">
        <f t="shared" si="170"/>
        <v>0.36480696034229021</v>
      </c>
      <c r="O425" s="341">
        <f t="shared" si="171"/>
        <v>1.0111901411091306</v>
      </c>
      <c r="P425" s="342">
        <f t="shared" si="172"/>
        <v>0.56066307002633686</v>
      </c>
      <c r="Q425" s="343">
        <f t="shared" si="173"/>
        <v>3.3253952218180398</v>
      </c>
      <c r="R425" s="344">
        <f t="shared" si="174"/>
        <v>-142.14208412749699</v>
      </c>
      <c r="S425" s="346">
        <f t="shared" si="175"/>
        <v>37.857915872503014</v>
      </c>
      <c r="U425" s="319">
        <f t="shared" si="181"/>
        <v>1000000000</v>
      </c>
      <c r="V425" s="319">
        <f t="shared" si="182"/>
        <v>1737805969</v>
      </c>
      <c r="X425" s="345">
        <f t="shared" si="176"/>
        <v>25.441924376617258</v>
      </c>
      <c r="Y425" s="346">
        <f t="shared" si="177"/>
        <v>-29.668765677159456</v>
      </c>
      <c r="AA425" s="345">
        <f t="shared" si="178"/>
        <v>40.123212179590759</v>
      </c>
      <c r="AB425" s="346">
        <f t="shared" si="179"/>
        <v>-112.47331845033753</v>
      </c>
      <c r="AD425">
        <f t="shared" si="183"/>
        <v>0</v>
      </c>
      <c r="AE425">
        <f t="shared" si="186"/>
        <v>0</v>
      </c>
    </row>
    <row r="426" spans="1:31" x14ac:dyDescent="0.25">
      <c r="A426" s="347">
        <v>41929.75</v>
      </c>
      <c r="B426" s="364">
        <f t="shared" si="180"/>
        <v>41.929749999999999</v>
      </c>
      <c r="C426" s="337">
        <f t="shared" si="161"/>
        <v>9.5374755417246835</v>
      </c>
      <c r="D426" s="338">
        <f t="shared" si="162"/>
        <v>1.4657537127938689</v>
      </c>
      <c r="E426" s="338">
        <f t="shared" si="163"/>
        <v>1.001996932372581</v>
      </c>
      <c r="F426" s="339">
        <f t="shared" si="164"/>
        <v>6.3144515355739381E-2</v>
      </c>
      <c r="G426" s="338">
        <f t="shared" si="165"/>
        <v>1</v>
      </c>
      <c r="H426" s="339">
        <f t="shared" si="166"/>
        <v>0</v>
      </c>
      <c r="I426" s="337">
        <f t="shared" si="167"/>
        <v>25297.949794324864</v>
      </c>
      <c r="J426" s="340">
        <f t="shared" si="168"/>
        <v>1.5707567978999313</v>
      </c>
      <c r="K426" s="348">
        <f t="shared" si="184"/>
        <v>6.5966828157286894</v>
      </c>
      <c r="L426" s="349">
        <f t="shared" si="185"/>
        <v>1.4186183043901408</v>
      </c>
      <c r="M426" s="337">
        <f t="shared" si="169"/>
        <v>1.0712384413751872</v>
      </c>
      <c r="N426" s="340">
        <f t="shared" si="170"/>
        <v>0.3667463263888579</v>
      </c>
      <c r="O426" s="341">
        <f t="shared" si="171"/>
        <v>1.0114406114772949</v>
      </c>
      <c r="P426" s="342">
        <f t="shared" si="172"/>
        <v>0.56416674817411783</v>
      </c>
      <c r="Q426" s="343">
        <f t="shared" si="173"/>
        <v>3.2659512489474785</v>
      </c>
      <c r="R426" s="344">
        <f t="shared" si="174"/>
        <v>-142.41787132776784</v>
      </c>
      <c r="S426" s="346">
        <f t="shared" si="175"/>
        <v>37.582128672232159</v>
      </c>
      <c r="U426" s="319">
        <f t="shared" si="181"/>
        <v>1000000000</v>
      </c>
      <c r="V426" s="319">
        <f t="shared" si="182"/>
        <v>1758103935.0625</v>
      </c>
      <c r="X426" s="345">
        <f t="shared" si="176"/>
        <v>25.434306948260719</v>
      </c>
      <c r="Y426" s="346">
        <f t="shared" si="177"/>
        <v>-29.729910267569764</v>
      </c>
      <c r="AA426" s="345">
        <f t="shared" si="178"/>
        <v>40.071385635076737</v>
      </c>
      <c r="AB426" s="346">
        <f t="shared" si="179"/>
        <v>-112.68796106019808</v>
      </c>
      <c r="AD426">
        <f t="shared" si="183"/>
        <v>0</v>
      </c>
      <c r="AE426">
        <f t="shared" si="186"/>
        <v>0</v>
      </c>
    </row>
    <row r="427" spans="1:31" x14ac:dyDescent="0.25">
      <c r="A427" s="347">
        <v>42172.5</v>
      </c>
      <c r="B427" s="364">
        <f t="shared" si="180"/>
        <v>42.172499999999999</v>
      </c>
      <c r="C427" s="337">
        <f t="shared" si="161"/>
        <v>9.5920869432305462</v>
      </c>
      <c r="D427" s="338">
        <f t="shared" si="162"/>
        <v>1.4663539507766394</v>
      </c>
      <c r="E427" s="338">
        <f t="shared" si="163"/>
        <v>1.0020200981918856</v>
      </c>
      <c r="F427" s="339">
        <f t="shared" si="164"/>
        <v>6.3509107690111227E-2</v>
      </c>
      <c r="G427" s="338">
        <f t="shared" si="165"/>
        <v>1</v>
      </c>
      <c r="H427" s="339">
        <f t="shared" si="166"/>
        <v>0</v>
      </c>
      <c r="I427" s="337">
        <f t="shared" si="167"/>
        <v>25444.410894212277</v>
      </c>
      <c r="J427" s="340">
        <f t="shared" si="168"/>
        <v>1.5707570254330212</v>
      </c>
      <c r="K427" s="348">
        <f t="shared" si="184"/>
        <v>6.6339987893350836</v>
      </c>
      <c r="L427" s="349">
        <f t="shared" si="185"/>
        <v>1.4194809121744647</v>
      </c>
      <c r="M427" s="337">
        <f t="shared" si="169"/>
        <v>1.0720378864786211</v>
      </c>
      <c r="N427" s="340">
        <f t="shared" si="170"/>
        <v>0.36868280724354757</v>
      </c>
      <c r="O427" s="341">
        <f t="shared" si="171"/>
        <v>1.0116952793998528</v>
      </c>
      <c r="P427" s="342">
        <f t="shared" si="172"/>
        <v>0.56767382490070439</v>
      </c>
      <c r="Q427" s="343">
        <f t="shared" si="173"/>
        <v>3.2067464816362081</v>
      </c>
      <c r="R427" s="344">
        <f t="shared" si="174"/>
        <v>-142.69385495540951</v>
      </c>
      <c r="S427" s="346">
        <f t="shared" si="175"/>
        <v>37.306145044590494</v>
      </c>
      <c r="U427" s="319">
        <f t="shared" si="181"/>
        <v>1000000000</v>
      </c>
      <c r="V427" s="319">
        <f t="shared" si="182"/>
        <v>1778519756.25</v>
      </c>
      <c r="X427" s="345">
        <f t="shared" si="176"/>
        <v>25.426681476865806</v>
      </c>
      <c r="Y427" s="346">
        <f t="shared" si="177"/>
        <v>-29.791451698990546</v>
      </c>
      <c r="AA427" s="345">
        <f t="shared" si="178"/>
        <v>40.019806339160382</v>
      </c>
      <c r="AB427" s="346">
        <f t="shared" si="179"/>
        <v>-112.90240325641894</v>
      </c>
      <c r="AD427">
        <f t="shared" si="183"/>
        <v>0</v>
      </c>
      <c r="AE427">
        <f t="shared" si="186"/>
        <v>0</v>
      </c>
    </row>
    <row r="428" spans="1:31" x14ac:dyDescent="0.25">
      <c r="A428" s="347">
        <v>42415.25</v>
      </c>
      <c r="B428" s="364">
        <f t="shared" si="180"/>
        <v>42.41525</v>
      </c>
      <c r="C428" s="337">
        <f t="shared" si="161"/>
        <v>9.6467017614982122</v>
      </c>
      <c r="D428" s="338">
        <f t="shared" si="162"/>
        <v>1.4669473924745051</v>
      </c>
      <c r="E428" s="338">
        <f t="shared" si="163"/>
        <v>1.0020433972011185</v>
      </c>
      <c r="F428" s="339">
        <f t="shared" si="164"/>
        <v>6.3873683118308058E-2</v>
      </c>
      <c r="G428" s="338">
        <f t="shared" si="165"/>
        <v>1</v>
      </c>
      <c r="H428" s="339">
        <f t="shared" si="166"/>
        <v>0</v>
      </c>
      <c r="I428" s="337">
        <f t="shared" si="167"/>
        <v>25590.871994100995</v>
      </c>
      <c r="J428" s="340">
        <f t="shared" si="168"/>
        <v>1.5707572503616869</v>
      </c>
      <c r="K428" s="348">
        <f t="shared" si="184"/>
        <v>6.67131964402365</v>
      </c>
      <c r="L428" s="349">
        <f t="shared" si="185"/>
        <v>1.4203338693456835</v>
      </c>
      <c r="M428" s="337">
        <f t="shared" si="169"/>
        <v>1.0728413456791444</v>
      </c>
      <c r="N428" s="340">
        <f t="shared" si="170"/>
        <v>0.3706163948490348</v>
      </c>
      <c r="O428" s="341">
        <f t="shared" si="171"/>
        <v>1.011954190427484</v>
      </c>
      <c r="P428" s="342">
        <f t="shared" si="172"/>
        <v>0.57118429688087924</v>
      </c>
      <c r="Q428" s="343">
        <f t="shared" si="173"/>
        <v>3.1477771251761641</v>
      </c>
      <c r="R428" s="344">
        <f t="shared" si="174"/>
        <v>-142.97003170617316</v>
      </c>
      <c r="S428" s="346">
        <f t="shared" si="175"/>
        <v>37.02996829382684</v>
      </c>
      <c r="U428" s="319">
        <f t="shared" si="181"/>
        <v>1000000000</v>
      </c>
      <c r="V428" s="319">
        <f t="shared" si="182"/>
        <v>1799053432.5625</v>
      </c>
      <c r="X428" s="345">
        <f t="shared" si="176"/>
        <v>25.419047658323578</v>
      </c>
      <c r="Y428" s="346">
        <f t="shared" si="177"/>
        <v>-29.853380149621522</v>
      </c>
      <c r="AA428" s="345">
        <f t="shared" si="178"/>
        <v>39.96847080124256</v>
      </c>
      <c r="AB428" s="346">
        <f t="shared" si="179"/>
        <v>-113.11665155655163</v>
      </c>
      <c r="AD428">
        <f t="shared" si="183"/>
        <v>0</v>
      </c>
      <c r="AE428">
        <f t="shared" si="186"/>
        <v>0</v>
      </c>
    </row>
    <row r="429" spans="1:31" x14ac:dyDescent="0.25">
      <c r="A429" s="347">
        <v>42658</v>
      </c>
      <c r="B429" s="364">
        <f t="shared" si="180"/>
        <v>42.658000000000001</v>
      </c>
      <c r="C429" s="337">
        <f t="shared" si="161"/>
        <v>9.7013199388223939</v>
      </c>
      <c r="D429" s="338">
        <f t="shared" si="162"/>
        <v>1.4675341522546259</v>
      </c>
      <c r="E429" s="338">
        <f t="shared" si="163"/>
        <v>1.0020668293909887</v>
      </c>
      <c r="F429" s="339">
        <f t="shared" si="164"/>
        <v>6.4238241544597244E-2</v>
      </c>
      <c r="G429" s="338">
        <f t="shared" si="165"/>
        <v>1</v>
      </c>
      <c r="H429" s="339">
        <f t="shared" si="166"/>
        <v>0</v>
      </c>
      <c r="I429" s="337">
        <f t="shared" si="167"/>
        <v>25737.333093990994</v>
      </c>
      <c r="J429" s="340">
        <f t="shared" si="168"/>
        <v>1.5707574727303903</v>
      </c>
      <c r="K429" s="348">
        <f t="shared" si="184"/>
        <v>6.7086452983325637</v>
      </c>
      <c r="L429" s="349">
        <f t="shared" si="185"/>
        <v>1.4211773357348578</v>
      </c>
      <c r="M429" s="337">
        <f t="shared" si="169"/>
        <v>1.0736488099649739</v>
      </c>
      <c r="N429" s="340">
        <f t="shared" si="170"/>
        <v>0.37254708125859004</v>
      </c>
      <c r="O429" s="341">
        <f t="shared" si="171"/>
        <v>1.0122173902924569</v>
      </c>
      <c r="P429" s="342">
        <f t="shared" si="172"/>
        <v>0.57469816036905852</v>
      </c>
      <c r="Q429" s="343">
        <f t="shared" si="173"/>
        <v>3.0890394476659293</v>
      </c>
      <c r="R429" s="344">
        <f t="shared" si="174"/>
        <v>-143.24639831328156</v>
      </c>
      <c r="S429" s="346">
        <f t="shared" si="175"/>
        <v>36.75360168671844</v>
      </c>
      <c r="U429" s="319">
        <f t="shared" si="181"/>
        <v>1000000000</v>
      </c>
      <c r="V429" s="319">
        <f t="shared" si="182"/>
        <v>1819704964</v>
      </c>
      <c r="X429" s="345">
        <f t="shared" si="176"/>
        <v>25.411405200897626</v>
      </c>
      <c r="Y429" s="346">
        <f t="shared" si="177"/>
        <v>-29.915686009050869</v>
      </c>
      <c r="AA429" s="345">
        <f t="shared" si="178"/>
        <v>39.917375581158282</v>
      </c>
      <c r="AB429" s="346">
        <f t="shared" si="179"/>
        <v>-113.33071230423069</v>
      </c>
      <c r="AD429">
        <f t="shared" si="183"/>
        <v>0</v>
      </c>
      <c r="AE429">
        <f t="shared" si="186"/>
        <v>0</v>
      </c>
    </row>
    <row r="430" spans="1:31" x14ac:dyDescent="0.25">
      <c r="A430" s="347">
        <v>42906.5</v>
      </c>
      <c r="B430" s="364">
        <f t="shared" si="180"/>
        <v>42.906500000000001</v>
      </c>
      <c r="C430" s="337">
        <f t="shared" si="161"/>
        <v>9.7572352730385603</v>
      </c>
      <c r="D430" s="338">
        <f t="shared" si="162"/>
        <v>1.4681280060920316</v>
      </c>
      <c r="E430" s="338">
        <f t="shared" si="163"/>
        <v>1.002090954557487</v>
      </c>
      <c r="F430" s="339">
        <f t="shared" si="164"/>
        <v>6.4611417526743584E-2</v>
      </c>
      <c r="G430" s="338">
        <f t="shared" si="165"/>
        <v>1</v>
      </c>
      <c r="H430" s="339">
        <f t="shared" si="166"/>
        <v>0</v>
      </c>
      <c r="I430" s="337">
        <f t="shared" si="167"/>
        <v>25887.263406341066</v>
      </c>
      <c r="J430" s="340">
        <f t="shared" si="168"/>
        <v>1.5707576977600484</v>
      </c>
      <c r="K430" s="348">
        <f t="shared" si="184"/>
        <v>6.7468599707913119</v>
      </c>
      <c r="L430" s="349">
        <f t="shared" si="185"/>
        <v>1.4220311137943507</v>
      </c>
      <c r="M430" s="337">
        <f t="shared" si="169"/>
        <v>1.0744795396775324</v>
      </c>
      <c r="N430" s="340">
        <f t="shared" si="170"/>
        <v>0.37452048641318664</v>
      </c>
      <c r="O430" s="341">
        <f t="shared" si="171"/>
        <v>1.0124913149087151</v>
      </c>
      <c r="P430" s="342">
        <f t="shared" si="172"/>
        <v>0.57829876506990818</v>
      </c>
      <c r="Q430" s="343">
        <f t="shared" si="173"/>
        <v>3.0291465993694819</v>
      </c>
      <c r="R430" s="344">
        <f t="shared" si="174"/>
        <v>-143.52950447682466</v>
      </c>
      <c r="S430" s="346">
        <f t="shared" si="175"/>
        <v>36.470495523175344</v>
      </c>
      <c r="U430" s="319">
        <f t="shared" si="181"/>
        <v>1000000000</v>
      </c>
      <c r="V430" s="319">
        <f t="shared" si="182"/>
        <v>1840967742.25</v>
      </c>
      <c r="X430" s="345">
        <f t="shared" si="176"/>
        <v>25.403572476926797</v>
      </c>
      <c r="Y430" s="346">
        <f t="shared" si="177"/>
        <v>-29.979848809551793</v>
      </c>
      <c r="AA430" s="345">
        <f t="shared" si="178"/>
        <v>39.865315456832661</v>
      </c>
      <c r="AB430" s="346">
        <f t="shared" si="179"/>
        <v>-113.54965566727287</v>
      </c>
      <c r="AD430">
        <f t="shared" si="183"/>
        <v>0</v>
      </c>
      <c r="AE430">
        <f t="shared" si="186"/>
        <v>0</v>
      </c>
    </row>
    <row r="431" spans="1:31" x14ac:dyDescent="0.25">
      <c r="A431" s="347">
        <v>43155</v>
      </c>
      <c r="B431" s="364">
        <f t="shared" si="180"/>
        <v>43.155000000000001</v>
      </c>
      <c r="C431" s="337">
        <f t="shared" si="161"/>
        <v>9.8131540090501037</v>
      </c>
      <c r="D431" s="338">
        <f t="shared" si="162"/>
        <v>1.4687150921665582</v>
      </c>
      <c r="E431" s="338">
        <f t="shared" si="163"/>
        <v>1.0021152192687552</v>
      </c>
      <c r="F431" s="339">
        <f t="shared" si="164"/>
        <v>6.4984575489064819E-2</v>
      </c>
      <c r="G431" s="338">
        <f t="shared" si="165"/>
        <v>1</v>
      </c>
      <c r="H431" s="339">
        <f t="shared" si="166"/>
        <v>0</v>
      </c>
      <c r="I431" s="337">
        <f t="shared" si="167"/>
        <v>26037.193718692441</v>
      </c>
      <c r="J431" s="340">
        <f t="shared" si="168"/>
        <v>1.5707579201981239</v>
      </c>
      <c r="K431" s="348">
        <f t="shared" si="184"/>
        <v>6.7850795058853244</v>
      </c>
      <c r="L431" s="349">
        <f t="shared" si="185"/>
        <v>1.4228752740056023</v>
      </c>
      <c r="M431" s="337">
        <f t="shared" si="169"/>
        <v>1.0753144472910032</v>
      </c>
      <c r="N431" s="340">
        <f t="shared" si="170"/>
        <v>0.37649083480466611</v>
      </c>
      <c r="O431" s="341">
        <f t="shared" si="171"/>
        <v>1.0127698315050324</v>
      </c>
      <c r="P431" s="342">
        <f t="shared" si="172"/>
        <v>0.58190291454815379</v>
      </c>
      <c r="Q431" s="343">
        <f t="shared" si="173"/>
        <v>2.9694888166434392</v>
      </c>
      <c r="R431" s="344">
        <f t="shared" si="174"/>
        <v>-143.8128027833622</v>
      </c>
      <c r="S431" s="346">
        <f t="shared" si="175"/>
        <v>36.187197216637799</v>
      </c>
      <c r="U431" s="319">
        <f t="shared" si="181"/>
        <v>1000000000</v>
      </c>
      <c r="V431" s="319">
        <f t="shared" si="182"/>
        <v>1862354025</v>
      </c>
      <c r="X431" s="345">
        <f t="shared" si="176"/>
        <v>25.395730119242323</v>
      </c>
      <c r="Y431" s="346">
        <f t="shared" si="177"/>
        <v>-30.044387384053039</v>
      </c>
      <c r="AA431" s="345">
        <f t="shared" si="178"/>
        <v>39.813500031791101</v>
      </c>
      <c r="AB431" s="346">
        <f t="shared" si="179"/>
        <v>-113.76841539930915</v>
      </c>
      <c r="AD431">
        <f t="shared" si="183"/>
        <v>0</v>
      </c>
      <c r="AE431">
        <f t="shared" si="186"/>
        <v>0</v>
      </c>
    </row>
    <row r="432" spans="1:31" x14ac:dyDescent="0.25">
      <c r="A432" s="347">
        <v>43403.5</v>
      </c>
      <c r="B432" s="364">
        <f t="shared" si="180"/>
        <v>43.403500000000001</v>
      </c>
      <c r="C432" s="337">
        <f t="shared" si="161"/>
        <v>9.8690760890327365</v>
      </c>
      <c r="D432" s="338">
        <f t="shared" si="162"/>
        <v>1.4692955251164703</v>
      </c>
      <c r="E432" s="338">
        <f t="shared" si="163"/>
        <v>1.0021396235146574</v>
      </c>
      <c r="F432" s="339">
        <f t="shared" si="164"/>
        <v>6.5357715328951502E-2</v>
      </c>
      <c r="G432" s="338">
        <f t="shared" si="165"/>
        <v>1</v>
      </c>
      <c r="H432" s="339">
        <f t="shared" si="166"/>
        <v>0</v>
      </c>
      <c r="I432" s="337">
        <f t="shared" si="167"/>
        <v>26187.124031045081</v>
      </c>
      <c r="J432" s="340">
        <f t="shared" si="168"/>
        <v>1.5707581400891302</v>
      </c>
      <c r="K432" s="348">
        <f t="shared" si="184"/>
        <v>6.8233038219030142</v>
      </c>
      <c r="L432" s="349">
        <f t="shared" si="185"/>
        <v>1.4237099767935499</v>
      </c>
      <c r="M432" s="337">
        <f t="shared" si="169"/>
        <v>1.0761535230814174</v>
      </c>
      <c r="N432" s="340">
        <f t="shared" si="170"/>
        <v>0.37845811826656545</v>
      </c>
      <c r="O432" s="341">
        <f t="shared" si="171"/>
        <v>1.0130529897180236</v>
      </c>
      <c r="P432" s="342">
        <f t="shared" si="172"/>
        <v>0.58551060340243877</v>
      </c>
      <c r="Q432" s="343">
        <f t="shared" si="173"/>
        <v>2.9100622910921627</v>
      </c>
      <c r="R432" s="344">
        <f t="shared" si="174"/>
        <v>-144.09628984056175</v>
      </c>
      <c r="S432" s="346">
        <f t="shared" si="175"/>
        <v>35.903710159438248</v>
      </c>
      <c r="U432" s="319">
        <f t="shared" si="181"/>
        <v>1000000000</v>
      </c>
      <c r="V432" s="319">
        <f t="shared" si="182"/>
        <v>1883863812.25</v>
      </c>
      <c r="X432" s="345">
        <f t="shared" si="176"/>
        <v>25.387877852525765</v>
      </c>
      <c r="Y432" s="346">
        <f t="shared" si="177"/>
        <v>-30.109292075529336</v>
      </c>
      <c r="AA432" s="345">
        <f t="shared" si="178"/>
        <v>39.761925772956374</v>
      </c>
      <c r="AB432" s="346">
        <f t="shared" si="179"/>
        <v>-113.98699776503243</v>
      </c>
      <c r="AD432">
        <f t="shared" si="183"/>
        <v>0</v>
      </c>
      <c r="AE432">
        <f t="shared" si="186"/>
        <v>0</v>
      </c>
    </row>
    <row r="433" spans="1:31" x14ac:dyDescent="0.25">
      <c r="A433" s="347">
        <v>43652</v>
      </c>
      <c r="B433" s="364">
        <f t="shared" si="180"/>
        <v>43.652000000000001</v>
      </c>
      <c r="C433" s="337">
        <f t="shared" si="161"/>
        <v>9.9250014564619882</v>
      </c>
      <c r="D433" s="338">
        <f t="shared" si="162"/>
        <v>1.4698694170143438</v>
      </c>
      <c r="E433" s="338">
        <f t="shared" si="163"/>
        <v>1.0021641672849995</v>
      </c>
      <c r="F433" s="339">
        <f t="shared" si="164"/>
        <v>6.5730836943824367E-2</v>
      </c>
      <c r="G433" s="338">
        <f t="shared" si="165"/>
        <v>1</v>
      </c>
      <c r="H433" s="339">
        <f t="shared" si="166"/>
        <v>0</v>
      </c>
      <c r="I433" s="337">
        <f t="shared" si="167"/>
        <v>26337.054343398981</v>
      </c>
      <c r="J433" s="340">
        <f t="shared" si="168"/>
        <v>1.5707583574765667</v>
      </c>
      <c r="K433" s="348">
        <f t="shared" si="184"/>
        <v>6.8615328389434884</v>
      </c>
      <c r="L433" s="349">
        <f t="shared" si="185"/>
        <v>1.4245353790612898</v>
      </c>
      <c r="M433" s="337">
        <f t="shared" si="169"/>
        <v>1.076996757306639</v>
      </c>
      <c r="N433" s="340">
        <f t="shared" si="170"/>
        <v>0.38042232875270265</v>
      </c>
      <c r="O433" s="341">
        <f t="shared" si="171"/>
        <v>1.0133408393739254</v>
      </c>
      <c r="P433" s="342">
        <f t="shared" si="172"/>
        <v>0.58912182576019811</v>
      </c>
      <c r="Q433" s="343">
        <f t="shared" si="173"/>
        <v>2.8508632770382372</v>
      </c>
      <c r="R433" s="344">
        <f t="shared" si="174"/>
        <v>-144.37996229070794</v>
      </c>
      <c r="S433" s="346">
        <f t="shared" si="175"/>
        <v>35.620037709292063</v>
      </c>
      <c r="U433" s="319">
        <f t="shared" si="181"/>
        <v>1000000000</v>
      </c>
      <c r="V433" s="319">
        <f t="shared" si="182"/>
        <v>1905497104</v>
      </c>
      <c r="X433" s="345">
        <f t="shared" si="176"/>
        <v>25.380015413313444</v>
      </c>
      <c r="Y433" s="346">
        <f t="shared" si="177"/>
        <v>-30.174553435575522</v>
      </c>
      <c r="AA433" s="345">
        <f t="shared" si="178"/>
        <v>39.710589198114775</v>
      </c>
      <c r="AB433" s="346">
        <f t="shared" si="179"/>
        <v>-114.20540885513249</v>
      </c>
      <c r="AD433">
        <f t="shared" si="183"/>
        <v>0</v>
      </c>
      <c r="AE433">
        <f t="shared" si="186"/>
        <v>0</v>
      </c>
    </row>
    <row r="434" spans="1:31" x14ac:dyDescent="0.25">
      <c r="A434" s="347">
        <v>43906</v>
      </c>
      <c r="B434" s="364">
        <f t="shared" si="180"/>
        <v>43.905999999999999</v>
      </c>
      <c r="C434" s="337">
        <f t="shared" si="161"/>
        <v>9.9821679485525863</v>
      </c>
      <c r="D434" s="338">
        <f t="shared" si="162"/>
        <v>1.470449364997332</v>
      </c>
      <c r="E434" s="338">
        <f t="shared" si="163"/>
        <v>1.0021893984576637</v>
      </c>
      <c r="F434" s="339">
        <f t="shared" si="164"/>
        <v>6.6112197842279924E-2</v>
      </c>
      <c r="G434" s="338">
        <f t="shared" si="165"/>
        <v>1</v>
      </c>
      <c r="H434" s="339">
        <f t="shared" si="166"/>
        <v>0</v>
      </c>
      <c r="I434" s="337">
        <f t="shared" si="167"/>
        <v>26490.303032888736</v>
      </c>
      <c r="J434" s="340">
        <f t="shared" si="168"/>
        <v>1.5707585771323505</v>
      </c>
      <c r="K434" s="348">
        <f t="shared" si="184"/>
        <v>6.9006127479546544</v>
      </c>
      <c r="L434" s="349">
        <f t="shared" si="185"/>
        <v>1.4253695979820984</v>
      </c>
      <c r="M434" s="337">
        <f t="shared" si="169"/>
        <v>1.0778629420128503</v>
      </c>
      <c r="N434" s="340">
        <f t="shared" si="170"/>
        <v>0.38242682871056827</v>
      </c>
      <c r="O434" s="341">
        <f t="shared" si="171"/>
        <v>1.0136399603602155</v>
      </c>
      <c r="P434" s="342">
        <f t="shared" si="172"/>
        <v>0.59281661963749099</v>
      </c>
      <c r="Q434" s="343">
        <f t="shared" si="173"/>
        <v>2.7905853082674326</v>
      </c>
      <c r="R434" s="344">
        <f t="shared" si="174"/>
        <v>-144.67010133780565</v>
      </c>
      <c r="S434" s="346">
        <f t="shared" si="175"/>
        <v>35.329898662194353</v>
      </c>
      <c r="U434" s="319">
        <f t="shared" si="181"/>
        <v>1000000000</v>
      </c>
      <c r="V434" s="319">
        <f t="shared" si="182"/>
        <v>1927736836</v>
      </c>
      <c r="X434" s="345">
        <f t="shared" si="176"/>
        <v>25.371968181333841</v>
      </c>
      <c r="Y434" s="346">
        <f t="shared" si="177"/>
        <v>-30.241618185269072</v>
      </c>
      <c r="AA434" s="345">
        <f t="shared" si="178"/>
        <v>39.658358461323573</v>
      </c>
      <c r="AB434" s="346">
        <f t="shared" si="179"/>
        <v>-114.42848315253657</v>
      </c>
      <c r="AD434">
        <f t="shared" si="183"/>
        <v>0</v>
      </c>
      <c r="AE434">
        <f t="shared" si="186"/>
        <v>0</v>
      </c>
    </row>
    <row r="435" spans="1:31" x14ac:dyDescent="0.25">
      <c r="A435" s="347">
        <v>44160</v>
      </c>
      <c r="B435" s="364">
        <f t="shared" si="180"/>
        <v>44.16</v>
      </c>
      <c r="C435" s="337">
        <f t="shared" si="161"/>
        <v>10.039337759805802</v>
      </c>
      <c r="D435" s="338">
        <f t="shared" si="162"/>
        <v>1.471022708051051</v>
      </c>
      <c r="E435" s="338">
        <f t="shared" si="163"/>
        <v>1.002214775377529</v>
      </c>
      <c r="F435" s="339">
        <f t="shared" si="164"/>
        <v>6.6493539483437517E-2</v>
      </c>
      <c r="G435" s="338">
        <f t="shared" si="165"/>
        <v>1</v>
      </c>
      <c r="H435" s="339">
        <f t="shared" si="166"/>
        <v>0</v>
      </c>
      <c r="I435" s="337">
        <f t="shared" si="167"/>
        <v>26643.551722379761</v>
      </c>
      <c r="J435" s="340">
        <f t="shared" si="168"/>
        <v>1.5707587942612971</v>
      </c>
      <c r="K435" s="348">
        <f t="shared" si="184"/>
        <v>6.9396974051599116</v>
      </c>
      <c r="L435" s="349">
        <f t="shared" si="185"/>
        <v>1.4261944207619606</v>
      </c>
      <c r="M435" s="337">
        <f t="shared" si="169"/>
        <v>1.0787334506287878</v>
      </c>
      <c r="N435" s="340">
        <f t="shared" si="170"/>
        <v>0.38442810154468027</v>
      </c>
      <c r="O435" s="341">
        <f t="shared" si="171"/>
        <v>1.0139440886167475</v>
      </c>
      <c r="P435" s="342">
        <f t="shared" si="172"/>
        <v>0.59651509123926638</v>
      </c>
      <c r="Q435" s="343">
        <f t="shared" si="173"/>
        <v>2.7305373143593119</v>
      </c>
      <c r="R435" s="344">
        <f t="shared" si="174"/>
        <v>-144.96042708565713</v>
      </c>
      <c r="S435" s="346">
        <f t="shared" si="175"/>
        <v>35.03957291434287</v>
      </c>
      <c r="U435" s="319">
        <f t="shared" si="181"/>
        <v>1000000000</v>
      </c>
      <c r="V435" s="319">
        <f t="shared" si="182"/>
        <v>1950105600</v>
      </c>
      <c r="X435" s="345">
        <f t="shared" si="176"/>
        <v>25.363909801181237</v>
      </c>
      <c r="Y435" s="346">
        <f t="shared" si="177"/>
        <v>-30.309036248834804</v>
      </c>
      <c r="AA435" s="345">
        <f t="shared" si="178"/>
        <v>39.606368847568049</v>
      </c>
      <c r="AB435" s="346">
        <f t="shared" si="179"/>
        <v>-114.65139083682232</v>
      </c>
      <c r="AD435">
        <f t="shared" si="183"/>
        <v>0</v>
      </c>
      <c r="AE435">
        <f t="shared" si="186"/>
        <v>0</v>
      </c>
    </row>
    <row r="436" spans="1:31" x14ac:dyDescent="0.25">
      <c r="A436" s="347">
        <v>44414</v>
      </c>
      <c r="B436" s="364">
        <f t="shared" si="180"/>
        <v>44.414000000000001</v>
      </c>
      <c r="C436" s="337">
        <f t="shared" si="161"/>
        <v>10.096510833839016</v>
      </c>
      <c r="D436" s="338">
        <f t="shared" si="162"/>
        <v>1.4715895579996605</v>
      </c>
      <c r="E436" s="338">
        <f t="shared" si="163"/>
        <v>1.0022402980335248</v>
      </c>
      <c r="F436" s="339">
        <f t="shared" si="164"/>
        <v>6.6874861757853635E-2</v>
      </c>
      <c r="G436" s="338">
        <f t="shared" si="165"/>
        <v>1</v>
      </c>
      <c r="H436" s="339">
        <f t="shared" si="166"/>
        <v>0</v>
      </c>
      <c r="I436" s="337">
        <f t="shared" si="167"/>
        <v>26796.800411872031</v>
      </c>
      <c r="J436" s="340">
        <f t="shared" si="168"/>
        <v>1.5707590089067585</v>
      </c>
      <c r="K436" s="348">
        <f t="shared" si="184"/>
        <v>6.9787867307825548</v>
      </c>
      <c r="L436" s="349">
        <f t="shared" si="185"/>
        <v>1.4270100041569991</v>
      </c>
      <c r="M436" s="337">
        <f t="shared" si="169"/>
        <v>1.0796082726951004</v>
      </c>
      <c r="N436" s="340">
        <f t="shared" si="170"/>
        <v>0.38642613905018186</v>
      </c>
      <c r="O436" s="341">
        <f t="shared" si="171"/>
        <v>1.0142532779492299</v>
      </c>
      <c r="P436" s="342">
        <f t="shared" si="172"/>
        <v>0.60021723275314109</v>
      </c>
      <c r="Q436" s="343">
        <f t="shared" si="173"/>
        <v>2.6707154891645728</v>
      </c>
      <c r="R436" s="344">
        <f t="shared" si="174"/>
        <v>-145.25093605088492</v>
      </c>
      <c r="S436" s="346">
        <f t="shared" si="175"/>
        <v>34.749063949115083</v>
      </c>
      <c r="U436" s="319">
        <f t="shared" si="181"/>
        <v>1000000000</v>
      </c>
      <c r="V436" s="319">
        <f t="shared" si="182"/>
        <v>1972603396</v>
      </c>
      <c r="X436" s="345">
        <f t="shared" si="176"/>
        <v>25.355840027372004</v>
      </c>
      <c r="Y436" s="346">
        <f t="shared" si="177"/>
        <v>-30.376798177188704</v>
      </c>
      <c r="AA436" s="345">
        <f t="shared" si="178"/>
        <v>39.554616796182543</v>
      </c>
      <c r="AB436" s="346">
        <f t="shared" si="179"/>
        <v>-114.87413787369617</v>
      </c>
      <c r="AD436">
        <f t="shared" si="183"/>
        <v>0</v>
      </c>
      <c r="AE436">
        <f t="shared" si="186"/>
        <v>0</v>
      </c>
    </row>
    <row r="437" spans="1:31" x14ac:dyDescent="0.25">
      <c r="A437" s="347">
        <v>44668</v>
      </c>
      <c r="B437" s="364">
        <f t="shared" si="180"/>
        <v>44.667999999999999</v>
      </c>
      <c r="C437" s="337">
        <f t="shared" si="161"/>
        <v>10.153687115536341</v>
      </c>
      <c r="D437" s="338">
        <f t="shared" si="162"/>
        <v>1.4721500241654619</v>
      </c>
      <c r="E437" s="338">
        <f t="shared" si="163"/>
        <v>1.002265966414517</v>
      </c>
      <c r="F437" s="339">
        <f t="shared" si="164"/>
        <v>6.725616455611845E-2</v>
      </c>
      <c r="G437" s="338">
        <f t="shared" si="165"/>
        <v>1</v>
      </c>
      <c r="H437" s="339">
        <f t="shared" si="166"/>
        <v>0</v>
      </c>
      <c r="I437" s="337">
        <f t="shared" si="167"/>
        <v>26950.049101365516</v>
      </c>
      <c r="J437" s="340">
        <f t="shared" si="168"/>
        <v>1.570759221111101</v>
      </c>
      <c r="K437" s="348">
        <f t="shared" si="184"/>
        <v>7.0178806468138673</v>
      </c>
      <c r="L437" s="349">
        <f t="shared" si="185"/>
        <v>1.4278165014802198</v>
      </c>
      <c r="M437" s="337">
        <f t="shared" si="169"/>
        <v>1.0804873977345675</v>
      </c>
      <c r="N437" s="340">
        <f t="shared" si="170"/>
        <v>0.38842093315204956</v>
      </c>
      <c r="O437" s="341">
        <f t="shared" si="171"/>
        <v>1.0145675823588287</v>
      </c>
      <c r="P437" s="342">
        <f t="shared" si="172"/>
        <v>0.60392303584251417</v>
      </c>
      <c r="Q437" s="343">
        <f t="shared" si="173"/>
        <v>2.6111160888256864</v>
      </c>
      <c r="R437" s="344">
        <f t="shared" si="174"/>
        <v>-145.54162478138656</v>
      </c>
      <c r="S437" s="346">
        <f t="shared" si="175"/>
        <v>34.45837521861344</v>
      </c>
      <c r="U437" s="319">
        <f t="shared" si="181"/>
        <v>1000000000</v>
      </c>
      <c r="V437" s="319">
        <f t="shared" si="182"/>
        <v>1995230224</v>
      </c>
      <c r="X437" s="345">
        <f t="shared" si="176"/>
        <v>25.347758625703769</v>
      </c>
      <c r="Y437" s="346">
        <f t="shared" si="177"/>
        <v>-30.444894725905201</v>
      </c>
      <c r="AA437" s="345">
        <f t="shared" si="178"/>
        <v>39.503098797511896</v>
      </c>
      <c r="AB437" s="346">
        <f t="shared" si="179"/>
        <v>-115.09673005548134</v>
      </c>
      <c r="AD437">
        <f t="shared" si="183"/>
        <v>0</v>
      </c>
      <c r="AE437">
        <f t="shared" si="186"/>
        <v>0</v>
      </c>
    </row>
    <row r="438" spans="1:31" x14ac:dyDescent="0.25">
      <c r="A438" s="347">
        <v>44928.25</v>
      </c>
      <c r="B438" s="364">
        <f t="shared" si="180"/>
        <v>44.928249999999998</v>
      </c>
      <c r="C438" s="337">
        <f t="shared" si="161"/>
        <v>10.212273564616996</v>
      </c>
      <c r="D438" s="338">
        <f t="shared" si="162"/>
        <v>1.4727177717535718</v>
      </c>
      <c r="E438" s="338">
        <f t="shared" si="163"/>
        <v>1.0022924175354064</v>
      </c>
      <c r="F438" s="339">
        <f t="shared" si="164"/>
        <v>6.7646829489850166E-2</v>
      </c>
      <c r="G438" s="338">
        <f t="shared" si="165"/>
        <v>1</v>
      </c>
      <c r="H438" s="339">
        <f t="shared" si="166"/>
        <v>0</v>
      </c>
      <c r="I438" s="337">
        <f t="shared" si="167"/>
        <v>27107.06867396786</v>
      </c>
      <c r="J438" s="340">
        <f t="shared" si="168"/>
        <v>1.5707594360483443</v>
      </c>
      <c r="K438" s="348">
        <f t="shared" si="184"/>
        <v>7.0579412009019711</v>
      </c>
      <c r="L438" s="349">
        <f t="shared" si="185"/>
        <v>1.4286335763318925</v>
      </c>
      <c r="M438" s="337">
        <f t="shared" si="169"/>
        <v>1.0813926069094664</v>
      </c>
      <c r="N438" s="340">
        <f t="shared" si="170"/>
        <v>0.390461439348672</v>
      </c>
      <c r="O438" s="341">
        <f t="shared" si="171"/>
        <v>1.0148949827296241</v>
      </c>
      <c r="P438" s="342">
        <f t="shared" si="172"/>
        <v>0.60772381359044869</v>
      </c>
      <c r="Q438" s="343">
        <f t="shared" si="173"/>
        <v>2.5502770185718129</v>
      </c>
      <c r="R438" s="344">
        <f t="shared" si="174"/>
        <v>-145.83964916185835</v>
      </c>
      <c r="S438" s="346">
        <f t="shared" si="175"/>
        <v>34.160350838141653</v>
      </c>
      <c r="U438" s="319">
        <f t="shared" si="181"/>
        <v>1000000000</v>
      </c>
      <c r="V438" s="319">
        <f t="shared" si="182"/>
        <v>2018547648.0625</v>
      </c>
      <c r="X438" s="345">
        <f t="shared" si="176"/>
        <v>25.339466076648328</v>
      </c>
      <c r="Y438" s="346">
        <f t="shared" si="177"/>
        <v>-30.515004493571848</v>
      </c>
      <c r="AA438" s="345">
        <f t="shared" si="178"/>
        <v>39.450552276313459</v>
      </c>
      <c r="AB438" s="346">
        <f t="shared" si="179"/>
        <v>-115.32464466828652</v>
      </c>
      <c r="AD438">
        <f t="shared" si="183"/>
        <v>0</v>
      </c>
      <c r="AE438">
        <f t="shared" si="186"/>
        <v>0</v>
      </c>
    </row>
    <row r="439" spans="1:31" x14ac:dyDescent="0.25">
      <c r="A439" s="347">
        <v>45188.5</v>
      </c>
      <c r="B439" s="364">
        <f t="shared" si="180"/>
        <v>45.188499999999998</v>
      </c>
      <c r="C439" s="337">
        <f t="shared" si="161"/>
        <v>10.27086326794022</v>
      </c>
      <c r="D439" s="338">
        <f t="shared" si="162"/>
        <v>1.473279042136874</v>
      </c>
      <c r="E439" s="338">
        <f t="shared" si="163"/>
        <v>1.0023190216171656</v>
      </c>
      <c r="F439" s="339">
        <f t="shared" si="164"/>
        <v>6.8037473744728308E-2</v>
      </c>
      <c r="G439" s="338">
        <f t="shared" si="165"/>
        <v>1</v>
      </c>
      <c r="H439" s="339">
        <f t="shared" si="166"/>
        <v>0</v>
      </c>
      <c r="I439" s="337">
        <f t="shared" si="167"/>
        <v>27264.088246571442</v>
      </c>
      <c r="J439" s="340">
        <f t="shared" si="168"/>
        <v>1.5707596485098507</v>
      </c>
      <c r="K439" s="348">
        <f t="shared" si="184"/>
        <v>7.0980064137618166</v>
      </c>
      <c r="L439" s="349">
        <f t="shared" si="185"/>
        <v>1.4294414276411154</v>
      </c>
      <c r="M439" s="337">
        <f t="shared" si="169"/>
        <v>1.08230231109893</v>
      </c>
      <c r="N439" s="340">
        <f t="shared" si="170"/>
        <v>0.39249852381454947</v>
      </c>
      <c r="O439" s="341">
        <f t="shared" si="171"/>
        <v>1.0152278683946381</v>
      </c>
      <c r="P439" s="342">
        <f t="shared" si="172"/>
        <v>0.61152841590987528</v>
      </c>
      <c r="Q439" s="343">
        <f t="shared" si="173"/>
        <v>2.4896636908156062</v>
      </c>
      <c r="R439" s="344">
        <f t="shared" si="174"/>
        <v>-146.13785501992277</v>
      </c>
      <c r="S439" s="346">
        <f t="shared" si="175"/>
        <v>33.862144980077233</v>
      </c>
      <c r="U439" s="319">
        <f t="shared" si="181"/>
        <v>1000000000</v>
      </c>
      <c r="V439" s="319">
        <f t="shared" si="182"/>
        <v>2042000532.25</v>
      </c>
      <c r="X439" s="345">
        <f t="shared" si="176"/>
        <v>25.331160857347857</v>
      </c>
      <c r="Y439" s="346">
        <f t="shared" si="177"/>
        <v>-30.585446538713818</v>
      </c>
      <c r="AA439" s="345">
        <f t="shared" si="178"/>
        <v>39.398244167857726</v>
      </c>
      <c r="AB439" s="346">
        <f t="shared" si="179"/>
        <v>-115.55240848120897</v>
      </c>
      <c r="AD439">
        <f t="shared" si="183"/>
        <v>0</v>
      </c>
      <c r="AE439">
        <f t="shared" si="186"/>
        <v>0</v>
      </c>
    </row>
    <row r="440" spans="1:31" x14ac:dyDescent="0.25">
      <c r="A440" s="347">
        <v>45448.75</v>
      </c>
      <c r="B440" s="364">
        <f t="shared" si="180"/>
        <v>45.448749999999997</v>
      </c>
      <c r="C440" s="337">
        <f t="shared" si="161"/>
        <v>10.329456170130852</v>
      </c>
      <c r="D440" s="338">
        <f t="shared" si="162"/>
        <v>1.4738339451827658</v>
      </c>
      <c r="E440" s="338">
        <f t="shared" si="163"/>
        <v>1.0023457786476151</v>
      </c>
      <c r="F440" s="339">
        <f t="shared" si="164"/>
        <v>6.8428097203177288E-2</v>
      </c>
      <c r="G440" s="338">
        <f t="shared" si="165"/>
        <v>1</v>
      </c>
      <c r="H440" s="339">
        <f t="shared" si="166"/>
        <v>0</v>
      </c>
      <c r="I440" s="337">
        <f t="shared" si="167"/>
        <v>27421.107819176243</v>
      </c>
      <c r="J440" s="340">
        <f t="shared" si="168"/>
        <v>1.5707598585381501</v>
      </c>
      <c r="K440" s="348">
        <f t="shared" si="184"/>
        <v>7.1380762069459269</v>
      </c>
      <c r="L440" s="349">
        <f t="shared" si="185"/>
        <v>1.4302402096743152</v>
      </c>
      <c r="M440" s="337">
        <f t="shared" si="169"/>
        <v>1.0832164989779831</v>
      </c>
      <c r="N440" s="340">
        <f t="shared" si="170"/>
        <v>0.39453217828528742</v>
      </c>
      <c r="O440" s="341">
        <f t="shared" si="171"/>
        <v>1.015566298058719</v>
      </c>
      <c r="P440" s="342">
        <f t="shared" si="172"/>
        <v>0.61533683210578494</v>
      </c>
      <c r="Q440" s="343">
        <f t="shared" si="173"/>
        <v>2.4292722726468061</v>
      </c>
      <c r="R440" s="344">
        <f t="shared" si="174"/>
        <v>-146.43623873458233</v>
      </c>
      <c r="S440" s="346">
        <f t="shared" si="175"/>
        <v>33.563761265417668</v>
      </c>
      <c r="U440" s="319">
        <f t="shared" si="181"/>
        <v>1000000000</v>
      </c>
      <c r="V440" s="319">
        <f t="shared" si="182"/>
        <v>2065588876.5625</v>
      </c>
      <c r="X440" s="345">
        <f t="shared" si="176"/>
        <v>25.322842750286313</v>
      </c>
      <c r="Y440" s="346">
        <f t="shared" si="177"/>
        <v>-30.656211551437771</v>
      </c>
      <c r="AA440" s="345">
        <f t="shared" si="178"/>
        <v>39.346170856750476</v>
      </c>
      <c r="AB440" s="346">
        <f t="shared" si="179"/>
        <v>-115.78002718314455</v>
      </c>
      <c r="AD440">
        <f t="shared" si="183"/>
        <v>0</v>
      </c>
      <c r="AE440">
        <f t="shared" si="186"/>
        <v>0</v>
      </c>
    </row>
    <row r="441" spans="1:31" x14ac:dyDescent="0.25">
      <c r="A441" s="347">
        <v>45709</v>
      </c>
      <c r="B441" s="364">
        <f t="shared" si="180"/>
        <v>45.709000000000003</v>
      </c>
      <c r="C441" s="337">
        <f t="shared" si="161"/>
        <v>10.388052217060094</v>
      </c>
      <c r="D441" s="338">
        <f t="shared" si="162"/>
        <v>1.4743825882956099</v>
      </c>
      <c r="E441" s="338">
        <f t="shared" si="163"/>
        <v>1.0023726886145063</v>
      </c>
      <c r="F441" s="339">
        <f t="shared" si="164"/>
        <v>6.8818699747659418E-2</v>
      </c>
      <c r="G441" s="338">
        <f t="shared" si="165"/>
        <v>1</v>
      </c>
      <c r="H441" s="339">
        <f t="shared" si="166"/>
        <v>0</v>
      </c>
      <c r="I441" s="337">
        <f t="shared" si="167"/>
        <v>27578.12739178224</v>
      </c>
      <c r="J441" s="340">
        <f t="shared" si="168"/>
        <v>1.570760066174804</v>
      </c>
      <c r="K441" s="348">
        <f t="shared" si="184"/>
        <v>7.1781505037495963</v>
      </c>
      <c r="L441" s="349">
        <f t="shared" si="185"/>
        <v>1.4310300732998411</v>
      </c>
      <c r="M441" s="337">
        <f t="shared" si="169"/>
        <v>1.0841351592041244</v>
      </c>
      <c r="N441" s="340">
        <f t="shared" si="170"/>
        <v>0.39656239463778231</v>
      </c>
      <c r="O441" s="341">
        <f t="shared" si="171"/>
        <v>1.015910330628462</v>
      </c>
      <c r="P441" s="342">
        <f t="shared" si="172"/>
        <v>0.61914905089529937</v>
      </c>
      <c r="Q441" s="343">
        <f t="shared" si="173"/>
        <v>2.3690989936705455</v>
      </c>
      <c r="R441" s="344">
        <f t="shared" si="174"/>
        <v>-146.73479671276897</v>
      </c>
      <c r="S441" s="346">
        <f t="shared" si="175"/>
        <v>33.265203287231031</v>
      </c>
      <c r="U441" s="319">
        <f t="shared" si="181"/>
        <v>1000000000</v>
      </c>
      <c r="V441" s="319">
        <f t="shared" si="182"/>
        <v>2089312681</v>
      </c>
      <c r="X441" s="345">
        <f t="shared" si="176"/>
        <v>25.314511548777105</v>
      </c>
      <c r="Y441" s="346">
        <f t="shared" si="177"/>
        <v>-30.727290424585799</v>
      </c>
      <c r="AA441" s="345">
        <f t="shared" si="178"/>
        <v>39.294328779283425</v>
      </c>
      <c r="AB441" s="346">
        <f t="shared" si="179"/>
        <v>-116.00750628818312</v>
      </c>
      <c r="AD441">
        <f t="shared" si="183"/>
        <v>0</v>
      </c>
      <c r="AE441">
        <f t="shared" si="186"/>
        <v>0</v>
      </c>
    </row>
    <row r="442" spans="1:31" x14ac:dyDescent="0.25">
      <c r="A442" s="347">
        <v>45975.25</v>
      </c>
      <c r="B442" s="364">
        <f t="shared" si="180"/>
        <v>45.975250000000003</v>
      </c>
      <c r="C442" s="337">
        <f t="shared" si="161"/>
        <v>10.448002380648925</v>
      </c>
      <c r="D442" s="338">
        <f t="shared" si="162"/>
        <v>1.4749375116526593</v>
      </c>
      <c r="E442" s="338">
        <f t="shared" si="163"/>
        <v>1.002400377237203</v>
      </c>
      <c r="F442" s="339">
        <f t="shared" si="164"/>
        <v>6.9218285772820951E-2</v>
      </c>
      <c r="G442" s="338">
        <f t="shared" si="165"/>
        <v>1</v>
      </c>
      <c r="H442" s="339">
        <f t="shared" si="166"/>
        <v>0</v>
      </c>
      <c r="I442" s="337">
        <f t="shared" si="167"/>
        <v>27738.767012172877</v>
      </c>
      <c r="J442" s="340">
        <f t="shared" si="168"/>
        <v>1.5707602761658337</v>
      </c>
      <c r="K442" s="348">
        <f t="shared" si="184"/>
        <v>7.2191532860004806</v>
      </c>
      <c r="L442" s="349">
        <f t="shared" si="185"/>
        <v>1.4318290717014006</v>
      </c>
      <c r="M442" s="337">
        <f t="shared" si="169"/>
        <v>1.085079615269934</v>
      </c>
      <c r="N442" s="340">
        <f t="shared" si="170"/>
        <v>0.39863585087845188</v>
      </c>
      <c r="O442" s="341">
        <f t="shared" si="171"/>
        <v>1.0162681545756203</v>
      </c>
      <c r="P442" s="342">
        <f t="shared" si="172"/>
        <v>0.62305308217629118</v>
      </c>
      <c r="Q442" s="343">
        <f t="shared" si="173"/>
        <v>2.3077603076556787</v>
      </c>
      <c r="R442" s="344">
        <f t="shared" si="174"/>
        <v>-147.04041448907213</v>
      </c>
      <c r="S442" s="346">
        <f t="shared" si="175"/>
        <v>32.959585510927866</v>
      </c>
      <c r="U442" s="319">
        <f t="shared" si="181"/>
        <v>1000000000</v>
      </c>
      <c r="V442" s="319">
        <f t="shared" si="182"/>
        <v>2113723612.5625</v>
      </c>
      <c r="X442" s="345">
        <f t="shared" si="176"/>
        <v>25.305974518133244</v>
      </c>
      <c r="Y442" s="346">
        <f t="shared" si="177"/>
        <v>-30.80032351161735</v>
      </c>
      <c r="AA442" s="345">
        <f t="shared" si="178"/>
        <v>39.241527123912412</v>
      </c>
      <c r="AB442" s="346">
        <f t="shared" si="179"/>
        <v>-116.24009097745481</v>
      </c>
      <c r="AD442">
        <f t="shared" si="183"/>
        <v>0</v>
      </c>
      <c r="AE442">
        <f t="shared" si="186"/>
        <v>0</v>
      </c>
    </row>
    <row r="443" spans="1:31" x14ac:dyDescent="0.25">
      <c r="A443" s="347">
        <v>46241.5</v>
      </c>
      <c r="B443" s="364">
        <f t="shared" si="180"/>
        <v>46.241500000000002</v>
      </c>
      <c r="C443" s="337">
        <f t="shared" si="161"/>
        <v>10.507955724882889</v>
      </c>
      <c r="D443" s="338">
        <f t="shared" si="162"/>
        <v>1.4754861029251873</v>
      </c>
      <c r="E443" s="338">
        <f t="shared" si="163"/>
        <v>1.0024282259033002</v>
      </c>
      <c r="F443" s="339">
        <f t="shared" si="164"/>
        <v>6.9617849659813269E-2</v>
      </c>
      <c r="G443" s="338">
        <f t="shared" si="165"/>
        <v>1</v>
      </c>
      <c r="H443" s="339">
        <f t="shared" si="166"/>
        <v>0</v>
      </c>
      <c r="I443" s="337">
        <f t="shared" si="167"/>
        <v>27899.406632564722</v>
      </c>
      <c r="J443" s="340">
        <f t="shared" si="168"/>
        <v>1.5707604837386846</v>
      </c>
      <c r="K443" s="348">
        <f t="shared" si="184"/>
        <v>7.2601606248893713</v>
      </c>
      <c r="L443" s="349">
        <f t="shared" si="185"/>
        <v>1.4326190446870231</v>
      </c>
      <c r="M443" s="337">
        <f t="shared" si="169"/>
        <v>1.086028728207135</v>
      </c>
      <c r="N443" s="340">
        <f t="shared" si="170"/>
        <v>0.40070569189424177</v>
      </c>
      <c r="O443" s="341">
        <f t="shared" si="171"/>
        <v>1.0166319681144003</v>
      </c>
      <c r="P443" s="342">
        <f t="shared" si="172"/>
        <v>0.62696106762321535</v>
      </c>
      <c r="Q443" s="343">
        <f t="shared" si="173"/>
        <v>2.2466421457976087</v>
      </c>
      <c r="R443" s="344">
        <f t="shared" si="174"/>
        <v>-147.34620713166254</v>
      </c>
      <c r="S443" s="346">
        <f t="shared" si="175"/>
        <v>32.653792868337462</v>
      </c>
      <c r="U443" s="319">
        <f t="shared" si="181"/>
        <v>1000000000</v>
      </c>
      <c r="V443" s="319">
        <f t="shared" si="182"/>
        <v>2138276322.25</v>
      </c>
      <c r="X443" s="345">
        <f t="shared" si="176"/>
        <v>25.297423377795717</v>
      </c>
      <c r="Y443" s="346">
        <f t="shared" si="177"/>
        <v>-30.873666441211778</v>
      </c>
      <c r="AA443" s="345">
        <f t="shared" si="178"/>
        <v>39.188960102391867</v>
      </c>
      <c r="AB443" s="346">
        <f t="shared" si="179"/>
        <v>-116.47254069045077</v>
      </c>
      <c r="AD443">
        <f t="shared" si="183"/>
        <v>0</v>
      </c>
      <c r="AE443">
        <f t="shared" si="186"/>
        <v>0</v>
      </c>
    </row>
    <row r="444" spans="1:31" x14ac:dyDescent="0.25">
      <c r="A444" s="347">
        <v>46507.75</v>
      </c>
      <c r="B444" s="364">
        <f t="shared" si="180"/>
        <v>46.507750000000001</v>
      </c>
      <c r="C444" s="337">
        <f t="shared" si="161"/>
        <v>10.567912195629159</v>
      </c>
      <c r="D444" s="338">
        <f t="shared" si="162"/>
        <v>1.4760284695543553</v>
      </c>
      <c r="E444" s="338">
        <f t="shared" si="163"/>
        <v>1.0024562345994597</v>
      </c>
      <c r="F444" s="339">
        <f t="shared" si="164"/>
        <v>7.0017391282904989E-2</v>
      </c>
      <c r="G444" s="338">
        <f t="shared" si="165"/>
        <v>1</v>
      </c>
      <c r="H444" s="339">
        <f t="shared" si="166"/>
        <v>0</v>
      </c>
      <c r="I444" s="337">
        <f t="shared" si="167"/>
        <v>28060.046252957753</v>
      </c>
      <c r="J444" s="340">
        <f t="shared" si="168"/>
        <v>1.5707606889348875</v>
      </c>
      <c r="K444" s="348">
        <f t="shared" si="184"/>
        <v>7.3011724436386283</v>
      </c>
      <c r="L444" s="349">
        <f t="shared" si="185"/>
        <v>1.4334001433538166</v>
      </c>
      <c r="M444" s="337">
        <f t="shared" si="169"/>
        <v>1.0869824858171033</v>
      </c>
      <c r="N444" s="340">
        <f t="shared" si="170"/>
        <v>0.40277190944307834</v>
      </c>
      <c r="O444" s="341">
        <f t="shared" si="171"/>
        <v>1.0170018349522334</v>
      </c>
      <c r="P444" s="342">
        <f t="shared" si="172"/>
        <v>0.63087299322920365</v>
      </c>
      <c r="Q444" s="343">
        <f t="shared" si="173"/>
        <v>2.1857406647781525</v>
      </c>
      <c r="R444" s="344">
        <f t="shared" si="174"/>
        <v>-147.65217087405162</v>
      </c>
      <c r="S444" s="346">
        <f t="shared" si="175"/>
        <v>32.34782912594838</v>
      </c>
      <c r="U444" s="319">
        <f t="shared" si="181"/>
        <v>1000000000</v>
      </c>
      <c r="V444" s="319">
        <f t="shared" si="182"/>
        <v>2162970810.0625</v>
      </c>
      <c r="X444" s="345">
        <f t="shared" si="176"/>
        <v>25.288857939282401</v>
      </c>
      <c r="Y444" s="346">
        <f t="shared" si="177"/>
        <v>-30.947310086285967</v>
      </c>
      <c r="AA444" s="345">
        <f t="shared" si="178"/>
        <v>39.136624059885726</v>
      </c>
      <c r="AB444" s="346">
        <f t="shared" si="179"/>
        <v>-116.7048607877656</v>
      </c>
      <c r="AD444">
        <f t="shared" si="183"/>
        <v>0</v>
      </c>
      <c r="AE444">
        <f t="shared" si="186"/>
        <v>0</v>
      </c>
    </row>
    <row r="445" spans="1:31" x14ac:dyDescent="0.25">
      <c r="A445" s="347">
        <v>46774</v>
      </c>
      <c r="B445" s="364">
        <f t="shared" si="180"/>
        <v>46.774000000000001</v>
      </c>
      <c r="C445" s="337">
        <f t="shared" si="161"/>
        <v>10.627871739973667</v>
      </c>
      <c r="D445" s="338">
        <f t="shared" si="162"/>
        <v>1.4765647165715496</v>
      </c>
      <c r="E445" s="338">
        <f t="shared" si="163"/>
        <v>1.0024844033122682</v>
      </c>
      <c r="F445" s="339">
        <f t="shared" si="164"/>
        <v>7.0416910516407138E-2</v>
      </c>
      <c r="G445" s="338">
        <f t="shared" si="165"/>
        <v>1</v>
      </c>
      <c r="H445" s="339">
        <f t="shared" si="166"/>
        <v>0</v>
      </c>
      <c r="I445" s="337">
        <f t="shared" si="167"/>
        <v>28220.685873351955</v>
      </c>
      <c r="J445" s="340">
        <f t="shared" si="168"/>
        <v>1.5707608917950282</v>
      </c>
      <c r="K445" s="348">
        <f t="shared" si="184"/>
        <v>7.3421886671777656</v>
      </c>
      <c r="L445" s="349">
        <f t="shared" si="185"/>
        <v>1.4341725154664191</v>
      </c>
      <c r="M445" s="337">
        <f t="shared" si="169"/>
        <v>1.0879408758843994</v>
      </c>
      <c r="N445" s="340">
        <f t="shared" si="170"/>
        <v>0.40483449543547462</v>
      </c>
      <c r="O445" s="341">
        <f t="shared" si="171"/>
        <v>1.0173778190014562</v>
      </c>
      <c r="P445" s="342">
        <f t="shared" si="172"/>
        <v>0.63478884433335536</v>
      </c>
      <c r="Q445" s="343">
        <f t="shared" si="173"/>
        <v>2.1250520836918247</v>
      </c>
      <c r="R445" s="344">
        <f t="shared" si="174"/>
        <v>-147.95830197382995</v>
      </c>
      <c r="S445" s="346">
        <f t="shared" si="175"/>
        <v>32.041698026170053</v>
      </c>
      <c r="U445" s="319">
        <f t="shared" si="181"/>
        <v>1000000000</v>
      </c>
      <c r="V445" s="319">
        <f t="shared" si="182"/>
        <v>2187807076</v>
      </c>
      <c r="X445" s="345">
        <f t="shared" si="176"/>
        <v>25.280278024431798</v>
      </c>
      <c r="Y445" s="346">
        <f t="shared" si="177"/>
        <v>-31.021245519381722</v>
      </c>
      <c r="AA445" s="345">
        <f t="shared" si="178"/>
        <v>39.084515393650008</v>
      </c>
      <c r="AB445" s="346">
        <f t="shared" si="179"/>
        <v>-116.93705645444822</v>
      </c>
      <c r="AD445">
        <f t="shared" si="183"/>
        <v>0</v>
      </c>
      <c r="AE445">
        <f t="shared" si="186"/>
        <v>0</v>
      </c>
    </row>
    <row r="446" spans="1:31" x14ac:dyDescent="0.25">
      <c r="A446" s="347">
        <v>47046.25</v>
      </c>
      <c r="B446" s="364">
        <f t="shared" si="180"/>
        <v>47.046250000000001</v>
      </c>
      <c r="C446" s="337">
        <f t="shared" si="161"/>
        <v>10.68918560970636</v>
      </c>
      <c r="D446" s="338">
        <f t="shared" si="162"/>
        <v>1.4771068269726184</v>
      </c>
      <c r="E446" s="338">
        <f t="shared" si="163"/>
        <v>1.0025133722652115</v>
      </c>
      <c r="F446" s="339">
        <f t="shared" si="164"/>
        <v>7.0825409717234708E-2</v>
      </c>
      <c r="G446" s="338">
        <f t="shared" si="165"/>
        <v>1</v>
      </c>
      <c r="H446" s="339">
        <f t="shared" si="166"/>
        <v>0</v>
      </c>
      <c r="I446" s="337">
        <f t="shared" si="167"/>
        <v>28384.945541530877</v>
      </c>
      <c r="J446" s="340">
        <f t="shared" si="168"/>
        <v>1.5707610968523644</v>
      </c>
      <c r="K446" s="348">
        <f t="shared" si="184"/>
        <v>7.3841336783113034</v>
      </c>
      <c r="L446" s="349">
        <f t="shared" si="185"/>
        <v>1.4349534199445237</v>
      </c>
      <c r="M446" s="337">
        <f t="shared" si="169"/>
        <v>1.0889256409547032</v>
      </c>
      <c r="N446" s="340">
        <f t="shared" si="170"/>
        <v>0.40693979873500186</v>
      </c>
      <c r="O446" s="341">
        <f t="shared" si="171"/>
        <v>1.0177686682699838</v>
      </c>
      <c r="P446" s="342">
        <f t="shared" si="172"/>
        <v>0.63879698319549849</v>
      </c>
      <c r="Q446" s="343">
        <f t="shared" si="173"/>
        <v>2.0632121480771022</v>
      </c>
      <c r="R446" s="344">
        <f t="shared" si="174"/>
        <v>-148.27150098434007</v>
      </c>
      <c r="S446" s="346">
        <f t="shared" si="175"/>
        <v>31.728499015659935</v>
      </c>
      <c r="U446" s="319">
        <f t="shared" si="181"/>
        <v>1000000000</v>
      </c>
      <c r="V446" s="319">
        <f t="shared" si="182"/>
        <v>2213349639.0625</v>
      </c>
      <c r="X446" s="345">
        <f t="shared" si="176"/>
        <v>25.271489614860517</v>
      </c>
      <c r="Y446" s="346">
        <f t="shared" si="177"/>
        <v>-31.097139731247985</v>
      </c>
      <c r="AA446" s="345">
        <f t="shared" si="178"/>
        <v>39.031463867606561</v>
      </c>
      <c r="AB446" s="346">
        <f t="shared" si="179"/>
        <v>-117.17436125309206</v>
      </c>
      <c r="AD446">
        <f t="shared" si="183"/>
        <v>0</v>
      </c>
      <c r="AE446">
        <f t="shared" si="186"/>
        <v>0</v>
      </c>
    </row>
    <row r="447" spans="1:31" x14ac:dyDescent="0.25">
      <c r="A447" s="347">
        <v>47318.5</v>
      </c>
      <c r="B447" s="364">
        <f t="shared" si="180"/>
        <v>47.3185</v>
      </c>
      <c r="C447" s="337">
        <f t="shared" si="161"/>
        <v>10.750502584983051</v>
      </c>
      <c r="D447" s="338">
        <f t="shared" si="162"/>
        <v>1.4776427535267045</v>
      </c>
      <c r="E447" s="338">
        <f t="shared" si="163"/>
        <v>1.0025425084994783</v>
      </c>
      <c r="F447" s="339">
        <f t="shared" si="164"/>
        <v>7.1233885242334163E-2</v>
      </c>
      <c r="G447" s="338">
        <f t="shared" si="165"/>
        <v>1</v>
      </c>
      <c r="H447" s="339">
        <f t="shared" si="166"/>
        <v>0</v>
      </c>
      <c r="I447" s="337">
        <f t="shared" si="167"/>
        <v>28549.205209710977</v>
      </c>
      <c r="J447" s="340">
        <f t="shared" si="168"/>
        <v>1.5707612995500799</v>
      </c>
      <c r="K447" s="348">
        <f t="shared" si="184"/>
        <v>7.4260831415069877</v>
      </c>
      <c r="L447" s="349">
        <f t="shared" si="185"/>
        <v>1.4357255023312872</v>
      </c>
      <c r="M447" s="337">
        <f t="shared" si="169"/>
        <v>1.0899152237381926</v>
      </c>
      <c r="N447" s="340">
        <f t="shared" si="170"/>
        <v>0.40904128833683512</v>
      </c>
      <c r="O447" s="341">
        <f t="shared" si="171"/>
        <v>1.0181660493559557</v>
      </c>
      <c r="P447" s="342">
        <f t="shared" si="172"/>
        <v>0.64280919336681575</v>
      </c>
      <c r="Q447" s="343">
        <f t="shared" si="173"/>
        <v>2.0015870141205454</v>
      </c>
      <c r="R447" s="344">
        <f t="shared" si="174"/>
        <v>-148.58486713649094</v>
      </c>
      <c r="S447" s="346">
        <f t="shared" si="175"/>
        <v>31.415132863509058</v>
      </c>
      <c r="U447" s="319">
        <f t="shared" si="181"/>
        <v>1000000000</v>
      </c>
      <c r="V447" s="319">
        <f t="shared" si="182"/>
        <v>2239040442.25</v>
      </c>
      <c r="X447" s="345">
        <f t="shared" si="176"/>
        <v>25.262685723901782</v>
      </c>
      <c r="Y447" s="346">
        <f t="shared" si="177"/>
        <v>-31.173320767736389</v>
      </c>
      <c r="AA447" s="345">
        <f t="shared" si="178"/>
        <v>38.978642624608739</v>
      </c>
      <c r="AB447" s="346">
        <f t="shared" si="179"/>
        <v>-117.41154636875454</v>
      </c>
      <c r="AD447">
        <f t="shared" si="183"/>
        <v>0</v>
      </c>
      <c r="AE447">
        <f t="shared" si="186"/>
        <v>0</v>
      </c>
    </row>
    <row r="448" spans="1:31" x14ac:dyDescent="0.25">
      <c r="A448" s="347">
        <v>47590.75</v>
      </c>
      <c r="B448" s="364">
        <f t="shared" si="180"/>
        <v>47.59075</v>
      </c>
      <c r="C448" s="337">
        <f t="shared" si="161"/>
        <v>10.811822612966427</v>
      </c>
      <c r="D448" s="338">
        <f t="shared" si="162"/>
        <v>1.4781726011397001</v>
      </c>
      <c r="E448" s="338">
        <f t="shared" si="163"/>
        <v>1.0025718120004841</v>
      </c>
      <c r="F448" s="339">
        <f t="shared" si="164"/>
        <v>7.1642336957465483E-2</v>
      </c>
      <c r="G448" s="338">
        <f t="shared" si="165"/>
        <v>1</v>
      </c>
      <c r="H448" s="339">
        <f t="shared" si="166"/>
        <v>0</v>
      </c>
      <c r="I448" s="337">
        <f t="shared" si="167"/>
        <v>28713.464877892235</v>
      </c>
      <c r="J448" s="340">
        <f t="shared" si="168"/>
        <v>1.5707614999286701</v>
      </c>
      <c r="K448" s="348">
        <f t="shared" si="184"/>
        <v>7.4680369817404344</v>
      </c>
      <c r="L448" s="349">
        <f t="shared" si="185"/>
        <v>1.4364889103802581</v>
      </c>
      <c r="M448" s="337">
        <f t="shared" si="169"/>
        <v>1.0909096111241772</v>
      </c>
      <c r="N448" s="340">
        <f t="shared" si="170"/>
        <v>0.41113895608325535</v>
      </c>
      <c r="O448" s="341">
        <f t="shared" si="171"/>
        <v>1.0185700312275847</v>
      </c>
      <c r="P448" s="342">
        <f t="shared" si="172"/>
        <v>0.64682545703660033</v>
      </c>
      <c r="Q448" s="343">
        <f t="shared" si="173"/>
        <v>1.9401728328522514</v>
      </c>
      <c r="R448" s="344">
        <f t="shared" si="174"/>
        <v>-148.89839649742316</v>
      </c>
      <c r="S448" s="346">
        <f t="shared" si="175"/>
        <v>31.101603502576836</v>
      </c>
      <c r="U448" s="319">
        <f t="shared" si="181"/>
        <v>1000000000</v>
      </c>
      <c r="V448" s="319">
        <f t="shared" si="182"/>
        <v>2264879485.5625</v>
      </c>
      <c r="X448" s="345">
        <f t="shared" si="176"/>
        <v>25.253866192290907</v>
      </c>
      <c r="Y448" s="346">
        <f t="shared" si="177"/>
        <v>-31.249779698109535</v>
      </c>
      <c r="AA448" s="345">
        <f t="shared" si="178"/>
        <v>38.926047974951324</v>
      </c>
      <c r="AB448" s="346">
        <f t="shared" si="179"/>
        <v>-117.64861679931361</v>
      </c>
      <c r="AD448">
        <f t="shared" si="183"/>
        <v>0</v>
      </c>
      <c r="AE448">
        <f t="shared" si="186"/>
        <v>0</v>
      </c>
    </row>
    <row r="449" spans="1:31" x14ac:dyDescent="0.25">
      <c r="A449" s="347">
        <v>47863</v>
      </c>
      <c r="B449" s="364">
        <f t="shared" si="180"/>
        <v>47.863</v>
      </c>
      <c r="C449" s="337">
        <f t="shared" si="161"/>
        <v>10.87314564200849</v>
      </c>
      <c r="D449" s="338">
        <f t="shared" si="162"/>
        <v>1.4786964723647087</v>
      </c>
      <c r="E449" s="338">
        <f t="shared" si="163"/>
        <v>1.0026012827535622</v>
      </c>
      <c r="F449" s="339">
        <f t="shared" si="164"/>
        <v>7.205076472843612E-2</v>
      </c>
      <c r="G449" s="338">
        <f t="shared" si="165"/>
        <v>1</v>
      </c>
      <c r="H449" s="339">
        <f t="shared" si="166"/>
        <v>0</v>
      </c>
      <c r="I449" s="337">
        <f t="shared" si="167"/>
        <v>28877.724546074638</v>
      </c>
      <c r="J449" s="340">
        <f t="shared" si="168"/>
        <v>1.5707616980277095</v>
      </c>
      <c r="K449" s="348">
        <f t="shared" si="184"/>
        <v>7.5099951256559896</v>
      </c>
      <c r="L449" s="349">
        <f t="shared" si="185"/>
        <v>1.4372437885839668</v>
      </c>
      <c r="M449" s="337">
        <f t="shared" si="169"/>
        <v>1.0919087899861868</v>
      </c>
      <c r="N449" s="340">
        <f t="shared" si="170"/>
        <v>0.41323279398072299</v>
      </c>
      <c r="O449" s="341">
        <f t="shared" si="171"/>
        <v>1.0189806830582169</v>
      </c>
      <c r="P449" s="342">
        <f t="shared" si="172"/>
        <v>0.65084575566953473</v>
      </c>
      <c r="Q449" s="343">
        <f t="shared" si="173"/>
        <v>1.8789658175537487</v>
      </c>
      <c r="R449" s="344">
        <f t="shared" si="174"/>
        <v>-149.21208515414918</v>
      </c>
      <c r="S449" s="346">
        <f t="shared" si="175"/>
        <v>30.787914845850821</v>
      </c>
      <c r="U449" s="319">
        <f t="shared" si="181"/>
        <v>1000000000</v>
      </c>
      <c r="V449" s="319">
        <f t="shared" si="182"/>
        <v>2290866769</v>
      </c>
      <c r="X449" s="345">
        <f t="shared" si="176"/>
        <v>25.245030870566751</v>
      </c>
      <c r="Y449" s="346">
        <f t="shared" si="177"/>
        <v>-31.3265077878266</v>
      </c>
      <c r="AA449" s="345">
        <f t="shared" si="178"/>
        <v>38.873676281376973</v>
      </c>
      <c r="AB449" s="346">
        <f t="shared" si="179"/>
        <v>-117.88557736632254</v>
      </c>
      <c r="AD449">
        <f t="shared" si="183"/>
        <v>0</v>
      </c>
      <c r="AE449">
        <f t="shared" si="186"/>
        <v>0</v>
      </c>
    </row>
    <row r="450" spans="1:31" x14ac:dyDescent="0.25">
      <c r="A450" s="347">
        <v>48141.75</v>
      </c>
      <c r="B450" s="364">
        <f t="shared" si="180"/>
        <v>48.141750000000002</v>
      </c>
      <c r="C450" s="337">
        <f t="shared" si="161"/>
        <v>10.935935822073986</v>
      </c>
      <c r="D450" s="338">
        <f t="shared" si="162"/>
        <v>1.4792267636514977</v>
      </c>
      <c r="E450" s="338">
        <f t="shared" si="163"/>
        <v>1.0026316303983351</v>
      </c>
      <c r="F450" s="339">
        <f t="shared" si="164"/>
        <v>7.2468918810737332E-2</v>
      </c>
      <c r="G450" s="338">
        <f t="shared" si="165"/>
        <v>1</v>
      </c>
      <c r="H450" s="339">
        <f t="shared" si="166"/>
        <v>0</v>
      </c>
      <c r="I450" s="337">
        <f t="shared" si="167"/>
        <v>29045.905932690464</v>
      </c>
      <c r="J450" s="340">
        <f t="shared" si="168"/>
        <v>1.5707618985349376</v>
      </c>
      <c r="K450" s="348">
        <f t="shared" si="184"/>
        <v>7.5529594092048722</v>
      </c>
      <c r="L450" s="349">
        <f t="shared" si="185"/>
        <v>1.4380079994062331</v>
      </c>
      <c r="M450" s="337">
        <f t="shared" si="169"/>
        <v>1.0929367750709875</v>
      </c>
      <c r="N450" s="340">
        <f t="shared" si="170"/>
        <v>0.41537264622445846</v>
      </c>
      <c r="O450" s="341">
        <f t="shared" si="171"/>
        <v>1.0194081224285565</v>
      </c>
      <c r="P450" s="342">
        <f t="shared" si="172"/>
        <v>0.65496619988900462</v>
      </c>
      <c r="Q450" s="343">
        <f t="shared" si="173"/>
        <v>1.8165082312132077</v>
      </c>
      <c r="R450" s="344">
        <f t="shared" si="174"/>
        <v>-149.53342414234609</v>
      </c>
      <c r="S450" s="346">
        <f t="shared" si="175"/>
        <v>30.466575857653908</v>
      </c>
      <c r="U450" s="319">
        <f t="shared" si="181"/>
        <v>1000000000</v>
      </c>
      <c r="V450" s="319">
        <f t="shared" si="182"/>
        <v>2317628093.0625</v>
      </c>
      <c r="X450" s="345">
        <f t="shared" si="176"/>
        <v>25.2359680982747</v>
      </c>
      <c r="Y450" s="346">
        <f t="shared" si="177"/>
        <v>-31.405337723708172</v>
      </c>
      <c r="AA450" s="345">
        <f t="shared" si="178"/>
        <v>38.820281467328485</v>
      </c>
      <c r="AB450" s="346">
        <f t="shared" si="179"/>
        <v>-118.12808641863788</v>
      </c>
      <c r="AD450">
        <f t="shared" si="183"/>
        <v>0</v>
      </c>
      <c r="AE450">
        <f t="shared" si="186"/>
        <v>0</v>
      </c>
    </row>
    <row r="451" spans="1:31" x14ac:dyDescent="0.25">
      <c r="A451" s="347">
        <v>48420.5</v>
      </c>
      <c r="B451" s="364">
        <f t="shared" si="180"/>
        <v>48.420499999999997</v>
      </c>
      <c r="C451" s="337">
        <f t="shared" si="161"/>
        <v>10.998729042308211</v>
      </c>
      <c r="D451" s="338">
        <f t="shared" si="162"/>
        <v>1.4797510000760545</v>
      </c>
      <c r="E451" s="338">
        <f t="shared" si="163"/>
        <v>1.0026621533454623</v>
      </c>
      <c r="F451" s="339">
        <f t="shared" si="164"/>
        <v>7.2887047507331201E-2</v>
      </c>
      <c r="G451" s="338">
        <f t="shared" si="165"/>
        <v>1</v>
      </c>
      <c r="H451" s="339">
        <f t="shared" si="166"/>
        <v>0</v>
      </c>
      <c r="I451" s="337">
        <f t="shared" si="167"/>
        <v>29214.087319307451</v>
      </c>
      <c r="J451" s="340">
        <f t="shared" si="168"/>
        <v>1.5707620967335818</v>
      </c>
      <c r="K451" s="348">
        <f t="shared" si="184"/>
        <v>7.5959280539179117</v>
      </c>
      <c r="L451" s="349">
        <f t="shared" si="185"/>
        <v>1.4387635646902757</v>
      </c>
      <c r="M451" s="337">
        <f t="shared" si="169"/>
        <v>1.0939697552592129</v>
      </c>
      <c r="N451" s="340">
        <f t="shared" si="170"/>
        <v>0.41750846712468115</v>
      </c>
      <c r="O451" s="341">
        <f t="shared" si="171"/>
        <v>1.0198427014526041</v>
      </c>
      <c r="P451" s="342">
        <f t="shared" si="172"/>
        <v>0.6590908323796123</v>
      </c>
      <c r="Q451" s="343">
        <f t="shared" si="173"/>
        <v>1.7542599809701895</v>
      </c>
      <c r="R451" s="344">
        <f t="shared" si="174"/>
        <v>-149.85492187885595</v>
      </c>
      <c r="S451" s="346">
        <f t="shared" si="175"/>
        <v>30.145078121144053</v>
      </c>
      <c r="U451" s="319">
        <f t="shared" si="181"/>
        <v>1000000000</v>
      </c>
      <c r="V451" s="319">
        <f t="shared" si="182"/>
        <v>2344544820.25</v>
      </c>
      <c r="X451" s="345">
        <f t="shared" si="176"/>
        <v>25.226888485818169</v>
      </c>
      <c r="Y451" s="346">
        <f t="shared" si="177"/>
        <v>-31.484431901200718</v>
      </c>
      <c r="AA451" s="345">
        <f t="shared" si="178"/>
        <v>38.767112829542</v>
      </c>
      <c r="AB451" s="346">
        <f t="shared" si="179"/>
        <v>-118.37048997765524</v>
      </c>
      <c r="AD451">
        <f t="shared" si="183"/>
        <v>0</v>
      </c>
      <c r="AE451">
        <f t="shared" si="186"/>
        <v>0</v>
      </c>
    </row>
    <row r="452" spans="1:31" x14ac:dyDescent="0.25">
      <c r="A452" s="347">
        <v>48699.25</v>
      </c>
      <c r="B452" s="364">
        <f t="shared" si="180"/>
        <v>48.699249999999999</v>
      </c>
      <c r="C452" s="337">
        <f t="shared" si="161"/>
        <v>11.061525250936572</v>
      </c>
      <c r="D452" s="338">
        <f t="shared" si="162"/>
        <v>1.4802692844679952</v>
      </c>
      <c r="E452" s="338">
        <f t="shared" si="163"/>
        <v>1.0026928515789346</v>
      </c>
      <c r="F452" s="339">
        <f t="shared" si="164"/>
        <v>7.3305150674338501E-2</v>
      </c>
      <c r="G452" s="338">
        <f t="shared" si="165"/>
        <v>1</v>
      </c>
      <c r="H452" s="339">
        <f t="shared" si="166"/>
        <v>0</v>
      </c>
      <c r="I452" s="337">
        <f t="shared" si="167"/>
        <v>29382.26870592557</v>
      </c>
      <c r="J452" s="340">
        <f t="shared" si="168"/>
        <v>1.5707622926632847</v>
      </c>
      <c r="K452" s="348">
        <f t="shared" si="184"/>
        <v>7.6389009862007589</v>
      </c>
      <c r="L452" s="349">
        <f t="shared" si="185"/>
        <v>1.4395106294734872</v>
      </c>
      <c r="M452" s="337">
        <f t="shared" si="169"/>
        <v>1.0950077164144072</v>
      </c>
      <c r="N452" s="340">
        <f t="shared" si="170"/>
        <v>0.41964024863189786</v>
      </c>
      <c r="O452" s="341">
        <f t="shared" si="171"/>
        <v>1.0202844950133678</v>
      </c>
      <c r="P452" s="342">
        <f t="shared" si="172"/>
        <v>0.66321963087174485</v>
      </c>
      <c r="Q452" s="343">
        <f t="shared" si="173"/>
        <v>1.6922171962070756</v>
      </c>
      <c r="R452" s="344">
        <f t="shared" si="174"/>
        <v>-150.1765742187095</v>
      </c>
      <c r="S452" s="346">
        <f t="shared" si="175"/>
        <v>29.823425781290496</v>
      </c>
      <c r="U452" s="319">
        <f t="shared" si="181"/>
        <v>1000000000</v>
      </c>
      <c r="V452" s="319">
        <f t="shared" si="182"/>
        <v>2371616950.5625</v>
      </c>
      <c r="X452" s="345">
        <f t="shared" si="176"/>
        <v>25.217791902539023</v>
      </c>
      <c r="Y452" s="346">
        <f t="shared" si="177"/>
        <v>-31.563781551343119</v>
      </c>
      <c r="AA452" s="345">
        <f t="shared" si="178"/>
        <v>38.714166628058024</v>
      </c>
      <c r="AB452" s="346">
        <f t="shared" si="179"/>
        <v>-118.61279266736643</v>
      </c>
      <c r="AD452">
        <f t="shared" si="183"/>
        <v>0</v>
      </c>
      <c r="AE452">
        <f t="shared" si="186"/>
        <v>0</v>
      </c>
    </row>
    <row r="453" spans="1:31" x14ac:dyDescent="0.25">
      <c r="A453" s="347">
        <v>48978</v>
      </c>
      <c r="B453" s="364">
        <f t="shared" si="180"/>
        <v>48.978000000000002</v>
      </c>
      <c r="C453" s="337">
        <f t="shared" si="161"/>
        <v>11.124324397351101</v>
      </c>
      <c r="D453" s="338">
        <f t="shared" si="162"/>
        <v>1.4807817173479139</v>
      </c>
      <c r="E453" s="338">
        <f t="shared" si="163"/>
        <v>1.0027237250826531</v>
      </c>
      <c r="F453" s="339">
        <f t="shared" si="164"/>
        <v>7.3723228167933322E-2</v>
      </c>
      <c r="G453" s="338">
        <f t="shared" si="165"/>
        <v>1</v>
      </c>
      <c r="H453" s="339">
        <f t="shared" si="166"/>
        <v>0</v>
      </c>
      <c r="I453" s="337">
        <f t="shared" si="167"/>
        <v>29550.450092544805</v>
      </c>
      <c r="J453" s="340">
        <f t="shared" si="168"/>
        <v>1.570762486362786</v>
      </c>
      <c r="K453" s="348">
        <f t="shared" si="184"/>
        <v>7.6818781340985707</v>
      </c>
      <c r="L453" s="349">
        <f t="shared" si="185"/>
        <v>1.4402493355859878</v>
      </c>
      <c r="M453" s="337">
        <f t="shared" si="169"/>
        <v>1.0960506443856266</v>
      </c>
      <c r="N453" s="340">
        <f t="shared" si="170"/>
        <v>0.42176798287388861</v>
      </c>
      <c r="O453" s="341">
        <f t="shared" si="171"/>
        <v>1.0207335781970839</v>
      </c>
      <c r="P453" s="342">
        <f t="shared" si="172"/>
        <v>0.66735257229070799</v>
      </c>
      <c r="Q453" s="343">
        <f t="shared" si="173"/>
        <v>1.6303760687996049</v>
      </c>
      <c r="R453" s="344">
        <f t="shared" si="174"/>
        <v>-150.49837703237796</v>
      </c>
      <c r="S453" s="346">
        <f t="shared" si="175"/>
        <v>29.501622967622041</v>
      </c>
      <c r="U453" s="319">
        <f t="shared" si="181"/>
        <v>1000000000</v>
      </c>
      <c r="V453" s="319">
        <f t="shared" si="182"/>
        <v>2398844484</v>
      </c>
      <c r="X453" s="345">
        <f t="shared" si="176"/>
        <v>25.208678227125986</v>
      </c>
      <c r="Y453" s="346">
        <f t="shared" si="177"/>
        <v>-31.643378099042739</v>
      </c>
      <c r="AA453" s="345">
        <f t="shared" si="178"/>
        <v>38.661439176063595</v>
      </c>
      <c r="AB453" s="346">
        <f t="shared" si="179"/>
        <v>-118.85499893333525</v>
      </c>
      <c r="AD453">
        <f t="shared" si="183"/>
        <v>0</v>
      </c>
      <c r="AE453">
        <f t="shared" si="186"/>
        <v>0</v>
      </c>
    </row>
    <row r="454" spans="1:31" x14ac:dyDescent="0.25">
      <c r="A454" s="347">
        <v>49263.25</v>
      </c>
      <c r="B454" s="364">
        <f t="shared" si="180"/>
        <v>49.263249999999999</v>
      </c>
      <c r="C454" s="337">
        <f t="shared" si="161"/>
        <v>11.188590908212497</v>
      </c>
      <c r="D454" s="338">
        <f t="shared" si="162"/>
        <v>1.4813001440782034</v>
      </c>
      <c r="E454" s="338">
        <f t="shared" si="163"/>
        <v>1.0027554999381731</v>
      </c>
      <c r="F454" s="339">
        <f t="shared" si="164"/>
        <v>7.4151027825372376E-2</v>
      </c>
      <c r="G454" s="338">
        <f t="shared" si="165"/>
        <v>1</v>
      </c>
      <c r="H454" s="339">
        <f t="shared" si="166"/>
        <v>0</v>
      </c>
      <c r="I454" s="337">
        <f t="shared" si="167"/>
        <v>29722.55319759755</v>
      </c>
      <c r="J454" s="340">
        <f t="shared" si="168"/>
        <v>1.5707626823097294</v>
      </c>
      <c r="K454" s="348">
        <f t="shared" si="184"/>
        <v>7.725861730520883</v>
      </c>
      <c r="L454" s="349">
        <f t="shared" si="185"/>
        <v>1.440996758520807</v>
      </c>
      <c r="M454" s="337">
        <f t="shared" si="169"/>
        <v>1.0971230188689731</v>
      </c>
      <c r="N454" s="340">
        <f t="shared" si="170"/>
        <v>0.42394113448648435</v>
      </c>
      <c r="O454" s="341">
        <f t="shared" si="171"/>
        <v>1.0212007583981981</v>
      </c>
      <c r="P454" s="342">
        <f t="shared" si="172"/>
        <v>0.67158615127373511</v>
      </c>
      <c r="Q454" s="343">
        <f t="shared" si="173"/>
        <v>1.5672977629224145</v>
      </c>
      <c r="R454" s="344">
        <f t="shared" si="174"/>
        <v>-150.8278352524014</v>
      </c>
      <c r="S454" s="346">
        <f t="shared" si="175"/>
        <v>29.1721647475986</v>
      </c>
      <c r="U454" s="319">
        <f t="shared" si="181"/>
        <v>1000000000</v>
      </c>
      <c r="V454" s="319">
        <f t="shared" si="182"/>
        <v>2426867800.5625</v>
      </c>
      <c r="X454" s="345">
        <f t="shared" si="176"/>
        <v>25.199334223791968</v>
      </c>
      <c r="Y454" s="346">
        <f t="shared" si="177"/>
        <v>-31.725077562036308</v>
      </c>
      <c r="AA454" s="345">
        <f t="shared" si="178"/>
        <v>38.607704873520426</v>
      </c>
      <c r="AB454" s="346">
        <f t="shared" si="179"/>
        <v>-119.10275769036507</v>
      </c>
      <c r="AD454">
        <f t="shared" si="183"/>
        <v>0</v>
      </c>
      <c r="AE454">
        <f t="shared" si="186"/>
        <v>0</v>
      </c>
    </row>
    <row r="455" spans="1:31" x14ac:dyDescent="0.25">
      <c r="A455" s="347">
        <v>49548.5</v>
      </c>
      <c r="B455" s="364">
        <f t="shared" si="180"/>
        <v>49.548499999999997</v>
      </c>
      <c r="C455" s="337">
        <f t="shared" si="161"/>
        <v>11.252860391841287</v>
      </c>
      <c r="D455" s="338">
        <f t="shared" si="162"/>
        <v>1.4818126490695844</v>
      </c>
      <c r="E455" s="338">
        <f t="shared" si="163"/>
        <v>1.0027874582988818</v>
      </c>
      <c r="F455" s="339">
        <f t="shared" si="164"/>
        <v>7.4578800293550629E-2</v>
      </c>
      <c r="G455" s="338">
        <f t="shared" si="165"/>
        <v>1</v>
      </c>
      <c r="H455" s="339">
        <f t="shared" si="166"/>
        <v>0</v>
      </c>
      <c r="I455" s="337">
        <f t="shared" si="167"/>
        <v>29894.65630265142</v>
      </c>
      <c r="J455" s="340">
        <f t="shared" si="168"/>
        <v>1.5707628760005452</v>
      </c>
      <c r="K455" s="348">
        <f t="shared" si="184"/>
        <v>7.7698495940613821</v>
      </c>
      <c r="L455" s="349">
        <f t="shared" si="185"/>
        <v>1.4417357190139759</v>
      </c>
      <c r="M455" s="337">
        <f t="shared" si="169"/>
        <v>1.098200564479163</v>
      </c>
      <c r="N455" s="340">
        <f t="shared" si="170"/>
        <v>0.42611003176721884</v>
      </c>
      <c r="O455" s="341">
        <f t="shared" si="171"/>
        <v>1.0216757318684537</v>
      </c>
      <c r="P455" s="342">
        <f t="shared" si="172"/>
        <v>0.6758240171690687</v>
      </c>
      <c r="Q455" s="343">
        <f t="shared" si="173"/>
        <v>1.504422754636594</v>
      </c>
      <c r="R455" s="344">
        <f t="shared" si="174"/>
        <v>-151.15744233925437</v>
      </c>
      <c r="S455" s="346">
        <f t="shared" si="175"/>
        <v>28.842557660745626</v>
      </c>
      <c r="U455" s="319">
        <f t="shared" si="181"/>
        <v>1000000000</v>
      </c>
      <c r="V455" s="319">
        <f t="shared" si="182"/>
        <v>2455053852.25</v>
      </c>
      <c r="X455" s="345">
        <f t="shared" si="176"/>
        <v>25.18997209345315</v>
      </c>
      <c r="Y455" s="346">
        <f t="shared" si="177"/>
        <v>-31.807018002694225</v>
      </c>
      <c r="AA455" s="345">
        <f t="shared" si="178"/>
        <v>38.554191995573419</v>
      </c>
      <c r="AB455" s="346">
        <f t="shared" si="179"/>
        <v>-119.35042433656012</v>
      </c>
      <c r="AD455">
        <f t="shared" si="183"/>
        <v>0</v>
      </c>
      <c r="AE455">
        <f t="shared" si="186"/>
        <v>0</v>
      </c>
    </row>
    <row r="456" spans="1:31" x14ac:dyDescent="0.25">
      <c r="A456" s="347">
        <v>49833.75</v>
      </c>
      <c r="B456" s="364">
        <f t="shared" si="180"/>
        <v>49.833750000000002</v>
      </c>
      <c r="C456" s="337">
        <f t="shared" si="161"/>
        <v>11.31713279759083</v>
      </c>
      <c r="D456" s="338">
        <f t="shared" si="162"/>
        <v>1.4823193329429529</v>
      </c>
      <c r="E456" s="338">
        <f t="shared" si="163"/>
        <v>1.0028196001472347</v>
      </c>
      <c r="F456" s="339">
        <f t="shared" si="164"/>
        <v>7.5006545418519491E-2</v>
      </c>
      <c r="G456" s="338">
        <f t="shared" si="165"/>
        <v>1</v>
      </c>
      <c r="H456" s="339">
        <f t="shared" si="166"/>
        <v>0</v>
      </c>
      <c r="I456" s="337">
        <f t="shared" si="167"/>
        <v>30066.759407706402</v>
      </c>
      <c r="J456" s="340">
        <f t="shared" si="168"/>
        <v>1.5707630674739761</v>
      </c>
      <c r="K456" s="348">
        <f t="shared" si="184"/>
        <v>7.8138416526551033</v>
      </c>
      <c r="L456" s="349">
        <f t="shared" si="185"/>
        <v>1.4424663591826266</v>
      </c>
      <c r="M456" s="337">
        <f t="shared" si="169"/>
        <v>1.0992832660095833</v>
      </c>
      <c r="N456" s="340">
        <f t="shared" si="170"/>
        <v>0.4282746668512849</v>
      </c>
      <c r="O456" s="341">
        <f t="shared" si="171"/>
        <v>1.0221585796929618</v>
      </c>
      <c r="P456" s="342">
        <f t="shared" si="172"/>
        <v>0.6800661426199307</v>
      </c>
      <c r="Q456" s="343">
        <f t="shared" si="173"/>
        <v>1.4417471575258873</v>
      </c>
      <c r="R456" s="344">
        <f t="shared" si="174"/>
        <v>-151.48719390836987</v>
      </c>
      <c r="S456" s="346">
        <f t="shared" si="175"/>
        <v>28.512806091630125</v>
      </c>
      <c r="U456" s="319">
        <f t="shared" si="181"/>
        <v>1000000000</v>
      </c>
      <c r="V456" s="319">
        <f t="shared" si="182"/>
        <v>2483402639.0625</v>
      </c>
      <c r="X456" s="345">
        <f t="shared" si="176"/>
        <v>25.180591734412157</v>
      </c>
      <c r="Y456" s="346">
        <f t="shared" si="177"/>
        <v>-31.88919082990412</v>
      </c>
      <c r="AA456" s="345">
        <f t="shared" si="178"/>
        <v>38.50089675750371</v>
      </c>
      <c r="AB456" s="346">
        <f t="shared" si="179"/>
        <v>-119.59800307846581</v>
      </c>
      <c r="AD456">
        <f t="shared" si="183"/>
        <v>0</v>
      </c>
      <c r="AE456">
        <f t="shared" si="186"/>
        <v>0</v>
      </c>
    </row>
    <row r="457" spans="1:31" x14ac:dyDescent="0.25">
      <c r="A457" s="347">
        <v>50119</v>
      </c>
      <c r="B457" s="364">
        <f t="shared" si="180"/>
        <v>50.119</v>
      </c>
      <c r="C457" s="337">
        <f t="shared" si="161"/>
        <v>11.381408075956257</v>
      </c>
      <c r="D457" s="338">
        <f t="shared" si="162"/>
        <v>1.4828202940583335</v>
      </c>
      <c r="E457" s="338">
        <f t="shared" si="163"/>
        <v>1.0028519254655892</v>
      </c>
      <c r="F457" s="339">
        <f t="shared" si="164"/>
        <v>7.543426304639006E-2</v>
      </c>
      <c r="G457" s="338">
        <f t="shared" si="165"/>
        <v>1</v>
      </c>
      <c r="H457" s="339">
        <f t="shared" si="166"/>
        <v>0</v>
      </c>
      <c r="I457" s="337">
        <f t="shared" si="167"/>
        <v>30238.862512762476</v>
      </c>
      <c r="J457" s="340">
        <f t="shared" si="168"/>
        <v>1.5707632567678822</v>
      </c>
      <c r="K457" s="348">
        <f t="shared" si="184"/>
        <v>7.8578378358441059</v>
      </c>
      <c r="L457" s="349">
        <f t="shared" si="185"/>
        <v>1.4431888179970158</v>
      </c>
      <c r="M457" s="337">
        <f t="shared" si="169"/>
        <v>1.100371108240852</v>
      </c>
      <c r="N457" s="340">
        <f t="shared" si="170"/>
        <v>0.4304350320645231</v>
      </c>
      <c r="O457" s="341">
        <f t="shared" si="171"/>
        <v>1.0226493831536625</v>
      </c>
      <c r="P457" s="342">
        <f t="shared" si="172"/>
        <v>0.68431249937941452</v>
      </c>
      <c r="Q457" s="343">
        <f t="shared" si="173"/>
        <v>1.3792671478615706</v>
      </c>
      <c r="R457" s="344">
        <f t="shared" si="174"/>
        <v>-151.81708558581406</v>
      </c>
      <c r="S457" s="346">
        <f t="shared" si="175"/>
        <v>28.182914414185944</v>
      </c>
      <c r="U457" s="319">
        <f t="shared" si="181"/>
        <v>1000000000</v>
      </c>
      <c r="V457" s="319">
        <f t="shared" si="182"/>
        <v>2511914161</v>
      </c>
      <c r="X457" s="345">
        <f t="shared" si="176"/>
        <v>25.171193053846999</v>
      </c>
      <c r="Y457" s="346">
        <f t="shared" si="177"/>
        <v>-31.97158764372907</v>
      </c>
      <c r="AA457" s="345">
        <f t="shared" si="178"/>
        <v>38.447815428404546</v>
      </c>
      <c r="AB457" s="346">
        <f t="shared" si="179"/>
        <v>-119.845497942085</v>
      </c>
      <c r="AD457">
        <f t="shared" si="183"/>
        <v>0</v>
      </c>
      <c r="AE457">
        <f t="shared" si="186"/>
        <v>0</v>
      </c>
    </row>
    <row r="458" spans="1:31" x14ac:dyDescent="0.25">
      <c r="A458" s="347">
        <v>50410.75</v>
      </c>
      <c r="B458" s="364">
        <f t="shared" si="180"/>
        <v>50.41075</v>
      </c>
      <c r="C458" s="337">
        <f t="shared" si="161"/>
        <v>11.447150918062421</v>
      </c>
      <c r="D458" s="338">
        <f t="shared" si="162"/>
        <v>1.4833268509551936</v>
      </c>
      <c r="E458" s="338">
        <f t="shared" si="163"/>
        <v>1.0028851771521552</v>
      </c>
      <c r="F458" s="339">
        <f t="shared" si="164"/>
        <v>7.5871698483779323E-2</v>
      </c>
      <c r="G458" s="338">
        <f t="shared" si="165"/>
        <v>1</v>
      </c>
      <c r="H458" s="339">
        <f t="shared" si="166"/>
        <v>0</v>
      </c>
      <c r="I458" s="337">
        <f t="shared" si="167"/>
        <v>30414.887336252137</v>
      </c>
      <c r="J458" s="340">
        <f t="shared" si="168"/>
        <v>1.5707634481592099</v>
      </c>
      <c r="K458" s="348">
        <f t="shared" si="184"/>
        <v>7.9028407561786249</v>
      </c>
      <c r="L458" s="349">
        <f t="shared" si="185"/>
        <v>1.4439194180201931</v>
      </c>
      <c r="M458" s="337">
        <f t="shared" si="169"/>
        <v>1.101489041036263</v>
      </c>
      <c r="N458" s="340">
        <f t="shared" si="170"/>
        <v>0.43264020085651983</v>
      </c>
      <c r="O458" s="341">
        <f t="shared" si="171"/>
        <v>1.023159685115828</v>
      </c>
      <c r="P458" s="342">
        <f t="shared" si="172"/>
        <v>0.68865996465255941</v>
      </c>
      <c r="Q458" s="343">
        <f t="shared" si="173"/>
        <v>1.3155618067355523</v>
      </c>
      <c r="R458" s="344">
        <f t="shared" si="174"/>
        <v>-152.15463489880264</v>
      </c>
      <c r="S458" s="346">
        <f t="shared" si="175"/>
        <v>27.845365101197359</v>
      </c>
      <c r="U458" s="319">
        <f t="shared" si="181"/>
        <v>1000000000</v>
      </c>
      <c r="V458" s="319">
        <f t="shared" si="182"/>
        <v>2541243715.5625</v>
      </c>
      <c r="X458" s="345">
        <f t="shared" si="176"/>
        <v>25.161561164978501</v>
      </c>
      <c r="Y458" s="346">
        <f t="shared" si="177"/>
        <v>-32.056085176796095</v>
      </c>
      <c r="AA458" s="345">
        <f t="shared" si="178"/>
        <v>38.393741976147034</v>
      </c>
      <c r="AB458" s="346">
        <f t="shared" si="179"/>
        <v>-120.0985497220065</v>
      </c>
      <c r="AD458">
        <f t="shared" si="183"/>
        <v>0</v>
      </c>
      <c r="AE458">
        <f t="shared" si="186"/>
        <v>0</v>
      </c>
    </row>
    <row r="459" spans="1:31" x14ac:dyDescent="0.25">
      <c r="A459" s="347">
        <v>50702.5</v>
      </c>
      <c r="B459" s="364">
        <f t="shared" si="180"/>
        <v>50.702500000000001</v>
      </c>
      <c r="C459" s="337">
        <f t="shared" si="161"/>
        <v>11.512896663959271</v>
      </c>
      <c r="D459" s="338">
        <f t="shared" si="162"/>
        <v>1.4838276224742593</v>
      </c>
      <c r="E459" s="338">
        <f t="shared" si="163"/>
        <v>1.0029186207278145</v>
      </c>
      <c r="F459" s="339">
        <f t="shared" si="164"/>
        <v>7.6309104831198127E-2</v>
      </c>
      <c r="G459" s="338">
        <f t="shared" si="165"/>
        <v>1</v>
      </c>
      <c r="H459" s="339">
        <f t="shared" si="166"/>
        <v>0</v>
      </c>
      <c r="I459" s="337">
        <f t="shared" si="167"/>
        <v>30590.912159742897</v>
      </c>
      <c r="J459" s="340">
        <f t="shared" si="168"/>
        <v>1.5707636373479472</v>
      </c>
      <c r="K459" s="348">
        <f t="shared" si="184"/>
        <v>7.9478478470907454</v>
      </c>
      <c r="L459" s="349">
        <f t="shared" si="185"/>
        <v>1.4446417439383457</v>
      </c>
      <c r="M459" s="337">
        <f t="shared" si="169"/>
        <v>1.1026123192422799</v>
      </c>
      <c r="N459" s="340">
        <f t="shared" si="170"/>
        <v>0.43484088733278597</v>
      </c>
      <c r="O459" s="341">
        <f t="shared" si="171"/>
        <v>1.0236784820114679</v>
      </c>
      <c r="P459" s="342">
        <f t="shared" si="172"/>
        <v>0.69301179364198062</v>
      </c>
      <c r="Q459" s="343">
        <f t="shared" si="173"/>
        <v>1.2520531721533037</v>
      </c>
      <c r="R459" s="344">
        <f t="shared" si="174"/>
        <v>-152.49232155064323</v>
      </c>
      <c r="S459" s="346">
        <f t="shared" si="175"/>
        <v>27.507678449356774</v>
      </c>
      <c r="U459" s="319">
        <f t="shared" si="181"/>
        <v>1000000000</v>
      </c>
      <c r="V459" s="319">
        <f t="shared" si="182"/>
        <v>2570743506.25</v>
      </c>
      <c r="X459" s="345">
        <f t="shared" si="176"/>
        <v>25.151909940748695</v>
      </c>
      <c r="Y459" s="346">
        <f t="shared" si="177"/>
        <v>-32.140799837187586</v>
      </c>
      <c r="AA459" s="345">
        <f t="shared" si="178"/>
        <v>38.339884565794584</v>
      </c>
      <c r="AB459" s="346">
        <f t="shared" si="179"/>
        <v>-120.35152171345558</v>
      </c>
      <c r="AD459">
        <f t="shared" si="183"/>
        <v>0</v>
      </c>
      <c r="AE459">
        <f t="shared" si="186"/>
        <v>0</v>
      </c>
    </row>
    <row r="460" spans="1:31" x14ac:dyDescent="0.25">
      <c r="A460" s="347">
        <v>50994.25</v>
      </c>
      <c r="B460" s="364">
        <f t="shared" si="180"/>
        <v>50.994250000000001</v>
      </c>
      <c r="C460" s="337">
        <f t="shared" si="161"/>
        <v>11.578645264181988</v>
      </c>
      <c r="D460" s="338">
        <f t="shared" si="162"/>
        <v>1.4843227069179059</v>
      </c>
      <c r="E460" s="338">
        <f t="shared" si="163"/>
        <v>1.0029522561733717</v>
      </c>
      <c r="F460" s="339">
        <f t="shared" si="164"/>
        <v>7.674648192419195E-2</v>
      </c>
      <c r="G460" s="338">
        <f t="shared" si="165"/>
        <v>1</v>
      </c>
      <c r="H460" s="339">
        <f t="shared" si="166"/>
        <v>0</v>
      </c>
      <c r="I460" s="337">
        <f t="shared" si="167"/>
        <v>30766.936983234737</v>
      </c>
      <c r="J460" s="340">
        <f t="shared" si="168"/>
        <v>1.5707638243718989</v>
      </c>
      <c r="K460" s="348">
        <f t="shared" si="184"/>
        <v>7.9928590381279907</v>
      </c>
      <c r="L460" s="349">
        <f t="shared" si="185"/>
        <v>1.4453559347763014</v>
      </c>
      <c r="M460" s="337">
        <f t="shared" si="169"/>
        <v>1.1037409265388143</v>
      </c>
      <c r="N460" s="340">
        <f t="shared" si="170"/>
        <v>0.43703708389495355</v>
      </c>
      <c r="O460" s="341">
        <f t="shared" si="171"/>
        <v>1.0242058614010485</v>
      </c>
      <c r="P460" s="342">
        <f t="shared" si="172"/>
        <v>0.69736795322730094</v>
      </c>
      <c r="Q460" s="343">
        <f t="shared" si="173"/>
        <v>1.1887373477622398</v>
      </c>
      <c r="R460" s="344">
        <f t="shared" si="174"/>
        <v>-152.83014088668747</v>
      </c>
      <c r="S460" s="346">
        <f t="shared" si="175"/>
        <v>27.169859113312526</v>
      </c>
      <c r="U460" s="319">
        <f t="shared" si="181"/>
        <v>1000000000</v>
      </c>
      <c r="V460" s="319">
        <f t="shared" si="182"/>
        <v>2600413533.0625</v>
      </c>
      <c r="X460" s="345">
        <f t="shared" si="176"/>
        <v>25.142239308640285</v>
      </c>
      <c r="Y460" s="346">
        <f t="shared" si="177"/>
        <v>-32.225723226179298</v>
      </c>
      <c r="AA460" s="345">
        <f t="shared" si="178"/>
        <v>38.286239373511933</v>
      </c>
      <c r="AB460" s="346">
        <f t="shared" si="179"/>
        <v>-120.60441766050815</v>
      </c>
      <c r="AD460">
        <f t="shared" si="183"/>
        <v>0</v>
      </c>
      <c r="AE460">
        <f t="shared" si="186"/>
        <v>0</v>
      </c>
    </row>
    <row r="461" spans="1:31" x14ac:dyDescent="0.25">
      <c r="A461" s="347">
        <v>51286</v>
      </c>
      <c r="B461" s="364">
        <f t="shared" si="180"/>
        <v>51.286000000000001</v>
      </c>
      <c r="C461" s="337">
        <f t="shared" ref="C461:C524" si="187">SQRT(1+(A461/pole1)^2)</f>
        <v>11.644396670380804</v>
      </c>
      <c r="D461" s="338">
        <f t="shared" ref="D461:D524" si="188">ATAN(A461/pole1)</f>
        <v>1.4848122003795043</v>
      </c>
      <c r="E461" s="338">
        <f t="shared" ref="E461:E524" si="189">SQRT(1+(A461/Zero1)^2)</f>
        <v>1.0029860834695234</v>
      </c>
      <c r="F461" s="339">
        <f t="shared" ref="F461:F524" si="190">ATAN(A461/Zero1)</f>
        <v>7.7183829598373069E-2</v>
      </c>
      <c r="G461" s="338">
        <f t="shared" ref="G461:G524" si="191">IF(VIN_nom&gt;Vout, 1, SQRT(1+(A461/z_RHP)^2))</f>
        <v>1</v>
      </c>
      <c r="H461" s="339">
        <f t="shared" ref="H461:H524" si="192">IF(VIN_nom&gt;Vout, 0, -ATAN(A461/z_RHP))</f>
        <v>0</v>
      </c>
      <c r="I461" s="337">
        <f t="shared" ref="I461:I524" si="193">SQRT(1+(A461/Pole2)^2)</f>
        <v>30942.961806727642</v>
      </c>
      <c r="J461" s="340">
        <f t="shared" ref="J461:J524" si="194">ATAN(A461/Pole2)</f>
        <v>1.5707640092680089</v>
      </c>
      <c r="K461" s="348">
        <f t="shared" si="184"/>
        <v>8.0378742604096463</v>
      </c>
      <c r="L461" s="349">
        <f t="shared" si="185"/>
        <v>1.4460621264781384</v>
      </c>
      <c r="M461" s="337">
        <f t="shared" ref="M461:M524" si="195">SQRT(1+(A461/pole4)^2)</f>
        <v>1.1048748465951919</v>
      </c>
      <c r="N461" s="340">
        <f t="shared" ref="N461:N524" si="196">ATAN(A461/pole4)</f>
        <v>0.43922878314887492</v>
      </c>
      <c r="O461" s="341">
        <f t="shared" ref="O461:O524" si="197">SQRT((1-(V461/pterm2))^2+(A461/pterm1)^2)</f>
        <v>1.0247419110300835</v>
      </c>
      <c r="P461" s="342">
        <f t="shared" ref="P461:P524" si="198">IF((ATAN((A461/pterm1)/(1-A461^2/pterm2))&gt;0),ATAN((A461/pterm1)/(1-A461^2/pterm2)),PI()+ATAN((A461/pterm1)/(1-A461^2/pterm2)))</f>
        <v>0.70172840930902969</v>
      </c>
      <c r="Q461" s="343">
        <f t="shared" ref="Q461:Q524" si="199">20*LOG10(((E461*K461*G461)/(C461*I461*O461*M461))*Adc)</f>
        <v>1.1256105000664098</v>
      </c>
      <c r="R461" s="344">
        <f t="shared" ref="R461:R524" si="200">((F461+L461+H461)-(D461+J461+P461+N461))*radconv</f>
        <v>-153.16808825778318</v>
      </c>
      <c r="S461" s="346">
        <f t="shared" ref="S461:S524" si="201">IF(R461&gt;0,R461,R461+180)</f>
        <v>26.831911742216818</v>
      </c>
      <c r="U461" s="319">
        <f t="shared" si="181"/>
        <v>1000000000</v>
      </c>
      <c r="V461" s="319">
        <f t="shared" si="182"/>
        <v>2630253796</v>
      </c>
      <c r="X461" s="345">
        <f t="shared" ref="X461:X524" si="202">20*LOG10((K461/(I461*M461))*AEA)</f>
        <v>25.132549204528161</v>
      </c>
      <c r="Y461" s="346">
        <f t="shared" ref="Y461:Y524" si="203">(L461-(J461+N461))*radconv</f>
        <v>-32.310847133212555</v>
      </c>
      <c r="AA461" s="345">
        <f t="shared" ref="AA461:AA524" si="204">20*LOG10((E461*G461/(C461*O461))*Acs*Am)</f>
        <v>38.23280262992823</v>
      </c>
      <c r="AB461" s="346">
        <f t="shared" ref="AB461:AB524" si="205">(F461+H461-(D461+P461))*radconv</f>
        <v>-120.85724112457069</v>
      </c>
      <c r="AD461">
        <f t="shared" si="183"/>
        <v>0</v>
      </c>
      <c r="AE461">
        <f t="shared" si="186"/>
        <v>0</v>
      </c>
    </row>
    <row r="462" spans="1:31" x14ac:dyDescent="0.25">
      <c r="A462" s="347">
        <v>51584.75</v>
      </c>
      <c r="B462" s="364">
        <f t="shared" ref="B462:B525" si="206">A462/1000</f>
        <v>51.58475</v>
      </c>
      <c r="C462" s="337">
        <f t="shared" si="187"/>
        <v>11.711728517994766</v>
      </c>
      <c r="D462" s="338">
        <f t="shared" si="188"/>
        <v>1.4853077426389176</v>
      </c>
      <c r="E462" s="338">
        <f t="shared" si="189"/>
        <v>1.0030209211790786</v>
      </c>
      <c r="F462" s="339">
        <f t="shared" si="190"/>
        <v>7.7631639960937221E-2</v>
      </c>
      <c r="G462" s="338">
        <f t="shared" si="191"/>
        <v>1</v>
      </c>
      <c r="H462" s="339">
        <f t="shared" si="192"/>
        <v>0</v>
      </c>
      <c r="I462" s="337">
        <f t="shared" si="193"/>
        <v>31123.210019302867</v>
      </c>
      <c r="J462" s="340">
        <f t="shared" si="194"/>
        <v>1.5707641964330363</v>
      </c>
      <c r="K462" s="348">
        <f t="shared" si="184"/>
        <v>8.0839736465819083</v>
      </c>
      <c r="L462" s="349">
        <f t="shared" si="185"/>
        <v>1.4467771114687904</v>
      </c>
      <c r="M462" s="337">
        <f t="shared" si="195"/>
        <v>1.1060414613847658</v>
      </c>
      <c r="N462" s="340">
        <f t="shared" si="196"/>
        <v>0.44146840019052536</v>
      </c>
      <c r="O462" s="341">
        <f t="shared" si="197"/>
        <v>1.0252998987921034</v>
      </c>
      <c r="P462" s="342">
        <f t="shared" si="198"/>
        <v>0.70619790215895217</v>
      </c>
      <c r="Q462" s="343">
        <f t="shared" si="199"/>
        <v>1.0611609333818299</v>
      </c>
      <c r="R462" s="344">
        <f t="shared" si="200"/>
        <v>-153.5142718768796</v>
      </c>
      <c r="S462" s="346">
        <f t="shared" si="201"/>
        <v>26.485728123120396</v>
      </c>
      <c r="U462" s="319">
        <f t="shared" ref="U462:U525" si="207">IF(Q462&lt;0,A462,1000000000)</f>
        <v>1000000000</v>
      </c>
      <c r="V462" s="319">
        <f t="shared" ref="V462:V525" si="208">A462^2</f>
        <v>2660986432.5625</v>
      </c>
      <c r="X462" s="345">
        <f t="shared" si="202"/>
        <v>25.122606367460275</v>
      </c>
      <c r="Y462" s="346">
        <f t="shared" si="203"/>
        <v>-32.398212838911121</v>
      </c>
      <c r="AA462" s="345">
        <f t="shared" si="204"/>
        <v>38.178295900311532</v>
      </c>
      <c r="AB462" s="346">
        <f t="shared" si="205"/>
        <v>-121.11605903796845</v>
      </c>
      <c r="AD462">
        <f t="shared" ref="AD462:AD525" si="209">SUM((Q463&lt;0)*(Q462&gt;0))*A462</f>
        <v>0</v>
      </c>
      <c r="AE462">
        <f t="shared" si="186"/>
        <v>0</v>
      </c>
    </row>
    <row r="463" spans="1:31" x14ac:dyDescent="0.25">
      <c r="A463" s="347">
        <v>51883.5</v>
      </c>
      <c r="B463" s="364">
        <f t="shared" si="206"/>
        <v>51.883499999999998</v>
      </c>
      <c r="C463" s="337">
        <f t="shared" si="187"/>
        <v>11.779063208686063</v>
      </c>
      <c r="D463" s="338">
        <f t="shared" si="188"/>
        <v>1.4857976195101037</v>
      </c>
      <c r="E463" s="338">
        <f t="shared" si="189"/>
        <v>1.0030559600145568</v>
      </c>
      <c r="F463" s="339">
        <f t="shared" si="190"/>
        <v>7.8079419127392385E-2</v>
      </c>
      <c r="G463" s="338">
        <f t="shared" si="191"/>
        <v>1</v>
      </c>
      <c r="H463" s="339">
        <f t="shared" si="192"/>
        <v>0</v>
      </c>
      <c r="I463" s="337">
        <f t="shared" si="193"/>
        <v>31303.458231879169</v>
      </c>
      <c r="J463" s="340">
        <f t="shared" si="194"/>
        <v>1.5707643814426366</v>
      </c>
      <c r="K463" s="348">
        <f t="shared" si="184"/>
        <v>8.1300771184438041</v>
      </c>
      <c r="L463" s="349">
        <f t="shared" si="185"/>
        <v>1.4474839878437833</v>
      </c>
      <c r="M463" s="337">
        <f t="shared" si="195"/>
        <v>1.1072136122435217</v>
      </c>
      <c r="N463" s="340">
        <f t="shared" si="196"/>
        <v>0.44370328648458163</v>
      </c>
      <c r="O463" s="341">
        <f t="shared" si="197"/>
        <v>1.0258671646187234</v>
      </c>
      <c r="P463" s="342">
        <f t="shared" si="198"/>
        <v>0.71067182463382472</v>
      </c>
      <c r="Q463" s="343">
        <f t="shared" si="199"/>
        <v>0.99690158095187775</v>
      </c>
      <c r="R463" s="344">
        <f t="shared" si="200"/>
        <v>-153.86057989344826</v>
      </c>
      <c r="S463" s="346">
        <f t="shared" si="201"/>
        <v>26.139420106551739</v>
      </c>
      <c r="U463" s="319">
        <f t="shared" si="207"/>
        <v>1000000000</v>
      </c>
      <c r="V463" s="319">
        <f t="shared" si="208"/>
        <v>2691897572.25</v>
      </c>
      <c r="X463" s="345">
        <f t="shared" si="202"/>
        <v>25.112643002367264</v>
      </c>
      <c r="Y463" s="346">
        <f t="shared" si="203"/>
        <v>-32.485771958696894</v>
      </c>
      <c r="AA463" s="345">
        <f t="shared" si="204"/>
        <v>38.123999912974597</v>
      </c>
      <c r="AB463" s="346">
        <f t="shared" si="205"/>
        <v>-121.3748079347513</v>
      </c>
      <c r="AD463">
        <f t="shared" si="209"/>
        <v>0</v>
      </c>
      <c r="AE463">
        <f t="shared" si="186"/>
        <v>0</v>
      </c>
    </row>
    <row r="464" spans="1:31" x14ac:dyDescent="0.25">
      <c r="A464" s="347">
        <v>52182.25</v>
      </c>
      <c r="B464" s="364">
        <f t="shared" si="206"/>
        <v>52.182250000000003</v>
      </c>
      <c r="C464" s="337">
        <f t="shared" si="187"/>
        <v>11.846400693974719</v>
      </c>
      <c r="D464" s="338">
        <f t="shared" si="188"/>
        <v>1.4862819273657639</v>
      </c>
      <c r="E464" s="338">
        <f t="shared" si="189"/>
        <v>1.0030911999548819</v>
      </c>
      <c r="F464" s="339">
        <f t="shared" si="190"/>
        <v>7.8527166921452146E-2</v>
      </c>
      <c r="G464" s="338">
        <f t="shared" si="191"/>
        <v>1</v>
      </c>
      <c r="H464" s="339">
        <f t="shared" si="192"/>
        <v>0</v>
      </c>
      <c r="I464" s="337">
        <f t="shared" si="193"/>
        <v>31483.706444456533</v>
      </c>
      <c r="J464" s="340">
        <f t="shared" si="194"/>
        <v>1.5707645643338302</v>
      </c>
      <c r="K464" s="348">
        <f t="shared" si="184"/>
        <v>8.1761846068807689</v>
      </c>
      <c r="L464" s="349">
        <f t="shared" si="185"/>
        <v>1.4481828920700102</v>
      </c>
      <c r="M464" s="337">
        <f t="shared" si="195"/>
        <v>1.108391281607874</v>
      </c>
      <c r="N464" s="340">
        <f t="shared" si="196"/>
        <v>0.44593343474991748</v>
      </c>
      <c r="O464" s="341">
        <f t="shared" si="197"/>
        <v>1.0264438032752241</v>
      </c>
      <c r="P464" s="342">
        <f t="shared" si="198"/>
        <v>0.71515013692466989</v>
      </c>
      <c r="Q464" s="343">
        <f t="shared" si="199"/>
        <v>0.93282852295969232</v>
      </c>
      <c r="R464" s="344">
        <f t="shared" si="200"/>
        <v>-154.2070073244185</v>
      </c>
      <c r="S464" s="346">
        <f t="shared" si="201"/>
        <v>25.792992675581502</v>
      </c>
      <c r="U464" s="319">
        <f t="shared" si="207"/>
        <v>1000000000</v>
      </c>
      <c r="V464" s="319">
        <f t="shared" si="208"/>
        <v>2722987215.0625</v>
      </c>
      <c r="X464" s="345">
        <f t="shared" si="202"/>
        <v>25.102659065807117</v>
      </c>
      <c r="Y464" s="346">
        <f t="shared" si="203"/>
        <v>-32.573516258536159</v>
      </c>
      <c r="AA464" s="345">
        <f t="shared" si="204"/>
        <v>38.069910791542554</v>
      </c>
      <c r="AB464" s="346">
        <f t="shared" si="205"/>
        <v>-121.63349106588237</v>
      </c>
      <c r="AD464">
        <f t="shared" si="209"/>
        <v>0</v>
      </c>
      <c r="AE464">
        <f t="shared" si="186"/>
        <v>0</v>
      </c>
    </row>
    <row r="465" spans="1:31" x14ac:dyDescent="0.25">
      <c r="A465" s="347">
        <v>52481</v>
      </c>
      <c r="B465" s="364">
        <f t="shared" si="206"/>
        <v>52.481000000000002</v>
      </c>
      <c r="C465" s="337">
        <f t="shared" si="187"/>
        <v>11.913740926474818</v>
      </c>
      <c r="D465" s="338">
        <f t="shared" si="188"/>
        <v>1.4867607604102691</v>
      </c>
      <c r="E465" s="338">
        <f t="shared" si="189"/>
        <v>1.0031266409788593</v>
      </c>
      <c r="F465" s="339">
        <f t="shared" si="190"/>
        <v>7.8974883166905097E-2</v>
      </c>
      <c r="G465" s="338">
        <f t="shared" si="191"/>
        <v>1</v>
      </c>
      <c r="H465" s="339">
        <f t="shared" si="192"/>
        <v>0</v>
      </c>
      <c r="I465" s="337">
        <f t="shared" si="193"/>
        <v>31663.954657034934</v>
      </c>
      <c r="J465" s="340">
        <f t="shared" si="194"/>
        <v>1.5707647451427942</v>
      </c>
      <c r="K465" s="348">
        <f t="shared" si="184"/>
        <v>8.2222960443225563</v>
      </c>
      <c r="L465" s="349">
        <f t="shared" si="185"/>
        <v>1.4488739575846405</v>
      </c>
      <c r="M465" s="337">
        <f t="shared" si="195"/>
        <v>1.1095744519062896</v>
      </c>
      <c r="N465" s="340">
        <f t="shared" si="196"/>
        <v>0.44815883792476352</v>
      </c>
      <c r="O465" s="341">
        <f t="shared" si="197"/>
        <v>1.0270299096948761</v>
      </c>
      <c r="P465" s="342">
        <f t="shared" si="198"/>
        <v>0.71963279814416126</v>
      </c>
      <c r="Q465" s="343">
        <f t="shared" si="199"/>
        <v>0.8689379030316019</v>
      </c>
      <c r="R465" s="344">
        <f t="shared" si="200"/>
        <v>-154.55354918680487</v>
      </c>
      <c r="S465" s="346">
        <f t="shared" si="201"/>
        <v>25.446450813195128</v>
      </c>
      <c r="U465" s="319">
        <f t="shared" si="207"/>
        <v>1000000000</v>
      </c>
      <c r="V465" s="319">
        <f t="shared" si="208"/>
        <v>2754255361</v>
      </c>
      <c r="X465" s="345">
        <f t="shared" si="202"/>
        <v>25.092654522289884</v>
      </c>
      <c r="Y465" s="346">
        <f t="shared" si="203"/>
        <v>-32.661437690505515</v>
      </c>
      <c r="AA465" s="345">
        <f t="shared" si="204"/>
        <v>38.016024715131692</v>
      </c>
      <c r="AB465" s="346">
        <f t="shared" si="205"/>
        <v>-121.89211149629935</v>
      </c>
      <c r="AD465">
        <f t="shared" si="209"/>
        <v>0</v>
      </c>
      <c r="AE465">
        <f t="shared" si="186"/>
        <v>0</v>
      </c>
    </row>
    <row r="466" spans="1:31" x14ac:dyDescent="0.25">
      <c r="A466" s="347">
        <v>52786.5</v>
      </c>
      <c r="B466" s="364">
        <f t="shared" si="206"/>
        <v>52.786499999999997</v>
      </c>
      <c r="C466" s="337">
        <f t="shared" si="187"/>
        <v>11.982605446527902</v>
      </c>
      <c r="D466" s="338">
        <f t="shared" si="188"/>
        <v>1.4872448464666006</v>
      </c>
      <c r="E466" s="338">
        <f t="shared" si="189"/>
        <v>1.0031630906901146</v>
      </c>
      <c r="F466" s="339">
        <f t="shared" si="190"/>
        <v>7.9432682367497814E-2</v>
      </c>
      <c r="G466" s="338">
        <f t="shared" si="191"/>
        <v>1</v>
      </c>
      <c r="H466" s="339">
        <f t="shared" si="192"/>
        <v>0</v>
      </c>
      <c r="I466" s="337">
        <f t="shared" si="193"/>
        <v>31848.275423371397</v>
      </c>
      <c r="J466" s="340">
        <f t="shared" si="194"/>
        <v>1.5707649279204876</v>
      </c>
      <c r="K466" s="348">
        <f t="shared" si="184"/>
        <v>8.2694533451604411</v>
      </c>
      <c r="L466" s="349">
        <f t="shared" si="185"/>
        <v>1.4495726667017612</v>
      </c>
      <c r="M466" s="337">
        <f t="shared" si="195"/>
        <v>1.1107900253784755</v>
      </c>
      <c r="N466" s="340">
        <f t="shared" si="196"/>
        <v>0.45042960792751807</v>
      </c>
      <c r="O466" s="341">
        <f t="shared" si="197"/>
        <v>1.0276391488207726</v>
      </c>
      <c r="P466" s="342">
        <f t="shared" si="198"/>
        <v>0.72422119494645154</v>
      </c>
      <c r="Q466" s="343">
        <f t="shared" si="199"/>
        <v>0.8037884440242965</v>
      </c>
      <c r="R466" s="344">
        <f t="shared" si="200"/>
        <v>-154.9080340108778</v>
      </c>
      <c r="S466" s="346">
        <f t="shared" si="201"/>
        <v>25.091965989122201</v>
      </c>
      <c r="U466" s="319">
        <f t="shared" si="207"/>
        <v>1000000000</v>
      </c>
      <c r="V466" s="319">
        <f t="shared" si="208"/>
        <v>2786414582.25</v>
      </c>
      <c r="X466" s="345">
        <f t="shared" si="202"/>
        <v>25.082402595127135</v>
      </c>
      <c r="Y466" s="346">
        <f t="shared" si="203"/>
        <v>-32.751520616883269</v>
      </c>
      <c r="AA466" s="345">
        <f t="shared" si="204"/>
        <v>37.96112718328714</v>
      </c>
      <c r="AB466" s="346">
        <f t="shared" si="205"/>
        <v>-122.15651339399453</v>
      </c>
      <c r="AD466">
        <f t="shared" si="209"/>
        <v>0</v>
      </c>
      <c r="AE466">
        <f t="shared" si="186"/>
        <v>0</v>
      </c>
    </row>
    <row r="467" spans="1:31" x14ac:dyDescent="0.25">
      <c r="A467" s="347">
        <v>53092</v>
      </c>
      <c r="B467" s="364">
        <f t="shared" si="206"/>
        <v>53.091999999999999</v>
      </c>
      <c r="C467" s="337">
        <f t="shared" si="187"/>
        <v>12.051472742485203</v>
      </c>
      <c r="D467" s="338">
        <f t="shared" si="188"/>
        <v>1.4877234000823594</v>
      </c>
      <c r="E467" s="338">
        <f t="shared" si="189"/>
        <v>1.0031997506290955</v>
      </c>
      <c r="F467" s="339">
        <f t="shared" si="190"/>
        <v>7.9890448205301376E-2</v>
      </c>
      <c r="G467" s="338">
        <f t="shared" si="191"/>
        <v>1</v>
      </c>
      <c r="H467" s="339">
        <f t="shared" si="192"/>
        <v>0</v>
      </c>
      <c r="I467" s="337">
        <f t="shared" si="193"/>
        <v>32032.596189708911</v>
      </c>
      <c r="J467" s="340">
        <f t="shared" si="194"/>
        <v>1.5707651085947159</v>
      </c>
      <c r="K467" s="348">
        <f t="shared" si="184"/>
        <v>8.3166146373154888</v>
      </c>
      <c r="L467" s="349">
        <f t="shared" si="185"/>
        <v>1.4502634517687418</v>
      </c>
      <c r="M467" s="337">
        <f t="shared" si="195"/>
        <v>1.1120113139849594</v>
      </c>
      <c r="N467" s="340">
        <f t="shared" si="196"/>
        <v>0.45269540175537276</v>
      </c>
      <c r="O467" s="341">
        <f t="shared" si="197"/>
        <v>1.0282584896593259</v>
      </c>
      <c r="P467" s="342">
        <f t="shared" si="198"/>
        <v>0.72881404949033779</v>
      </c>
      <c r="Q467" s="343">
        <f t="shared" si="199"/>
        <v>0.73882180137706654</v>
      </c>
      <c r="R467" s="344">
        <f t="shared" si="200"/>
        <v>-155.26262795107237</v>
      </c>
      <c r="S467" s="346">
        <f t="shared" si="201"/>
        <v>24.737372048927625</v>
      </c>
      <c r="U467" s="319">
        <f t="shared" si="207"/>
        <v>1000000000</v>
      </c>
      <c r="V467" s="319">
        <f t="shared" si="208"/>
        <v>2818760464</v>
      </c>
      <c r="X467" s="345">
        <f t="shared" si="202"/>
        <v>25.072129068434844</v>
      </c>
      <c r="Y467" s="346">
        <f t="shared" si="203"/>
        <v>-32.841772323551361</v>
      </c>
      <c r="AA467" s="345">
        <f t="shared" si="204"/>
        <v>37.906434067332199</v>
      </c>
      <c r="AB467" s="346">
        <f t="shared" si="205"/>
        <v>-122.42085562752101</v>
      </c>
      <c r="AD467">
        <f t="shared" si="209"/>
        <v>0</v>
      </c>
      <c r="AE467">
        <f t="shared" si="186"/>
        <v>0</v>
      </c>
    </row>
    <row r="468" spans="1:31" x14ac:dyDescent="0.25">
      <c r="A468" s="347">
        <v>53397.5</v>
      </c>
      <c r="B468" s="364">
        <f t="shared" si="206"/>
        <v>53.397500000000001</v>
      </c>
      <c r="C468" s="337">
        <f t="shared" si="187"/>
        <v>12.120342767028994</v>
      </c>
      <c r="D468" s="338">
        <f t="shared" si="188"/>
        <v>1.4881965153455101</v>
      </c>
      <c r="E468" s="338">
        <f t="shared" si="189"/>
        <v>1.0032366207727559</v>
      </c>
      <c r="F468" s="339">
        <f t="shared" si="190"/>
        <v>8.0348180492134449E-2</v>
      </c>
      <c r="G468" s="338">
        <f t="shared" si="191"/>
        <v>1</v>
      </c>
      <c r="H468" s="339">
        <f t="shared" si="192"/>
        <v>0</v>
      </c>
      <c r="I468" s="337">
        <f t="shared" si="193"/>
        <v>32216.916956047458</v>
      </c>
      <c r="J468" s="340">
        <f t="shared" si="194"/>
        <v>1.5707652872015823</v>
      </c>
      <c r="K468" s="348">
        <f t="shared" si="184"/>
        <v>8.3637798532695395</v>
      </c>
      <c r="L468" s="349">
        <f t="shared" si="185"/>
        <v>1.4509464461771264</v>
      </c>
      <c r="M468" s="337">
        <f t="shared" si="195"/>
        <v>1.1132382989162148</v>
      </c>
      <c r="N468" s="340">
        <f t="shared" si="196"/>
        <v>0.45495621255979241</v>
      </c>
      <c r="O468" s="341">
        <f t="shared" si="197"/>
        <v>1.0288880342096562</v>
      </c>
      <c r="P468" s="342">
        <f t="shared" si="198"/>
        <v>0.73341131455792796</v>
      </c>
      <c r="Q468" s="343">
        <f t="shared" si="199"/>
        <v>0.67403404874577311</v>
      </c>
      <c r="R468" s="344">
        <f t="shared" si="200"/>
        <v>-155.61732567053187</v>
      </c>
      <c r="S468" s="346">
        <f t="shared" si="201"/>
        <v>24.382674329468131</v>
      </c>
      <c r="U468" s="319">
        <f t="shared" si="207"/>
        <v>1000000000</v>
      </c>
      <c r="V468" s="319">
        <f t="shared" si="208"/>
        <v>2851293006.25</v>
      </c>
      <c r="X468" s="345">
        <f t="shared" si="202"/>
        <v>25.061833928189742</v>
      </c>
      <c r="Y468" s="346">
        <f t="shared" si="203"/>
        <v>-32.932184777413681</v>
      </c>
      <c r="AA468" s="345">
        <f t="shared" si="204"/>
        <v>37.851941454946008</v>
      </c>
      <c r="AB468" s="346">
        <f t="shared" si="205"/>
        <v>-122.68514089311822</v>
      </c>
      <c r="AD468">
        <f t="shared" si="209"/>
        <v>0</v>
      </c>
      <c r="AE468">
        <f t="shared" si="186"/>
        <v>0</v>
      </c>
    </row>
    <row r="469" spans="1:31" x14ac:dyDescent="0.25">
      <c r="A469" s="347">
        <v>53703</v>
      </c>
      <c r="B469" s="364">
        <f t="shared" si="206"/>
        <v>53.703000000000003</v>
      </c>
      <c r="C469" s="337">
        <f t="shared" si="187"/>
        <v>12.189215473909098</v>
      </c>
      <c r="D469" s="338">
        <f t="shared" si="188"/>
        <v>1.4886642842273827</v>
      </c>
      <c r="E469" s="338">
        <f t="shared" si="189"/>
        <v>1.0032737010979205</v>
      </c>
      <c r="F469" s="339">
        <f t="shared" si="190"/>
        <v>8.0805879039899595E-2</v>
      </c>
      <c r="G469" s="338">
        <f t="shared" si="191"/>
        <v>1</v>
      </c>
      <c r="H469" s="339">
        <f t="shared" si="192"/>
        <v>0</v>
      </c>
      <c r="I469" s="337">
        <f t="shared" si="193"/>
        <v>32401.237722387024</v>
      </c>
      <c r="J469" s="340">
        <f t="shared" si="194"/>
        <v>1.5707654637763686</v>
      </c>
      <c r="K469" s="348">
        <f t="shared" si="184"/>
        <v>8.4109489270133384</v>
      </c>
      <c r="L469" s="349">
        <f t="shared" si="185"/>
        <v>1.4516217803556375</v>
      </c>
      <c r="M469" s="337">
        <f t="shared" si="195"/>
        <v>1.1144709613580113</v>
      </c>
      <c r="N469" s="340">
        <f t="shared" si="196"/>
        <v>0.45721203372608615</v>
      </c>
      <c r="O469" s="341">
        <f t="shared" si="197"/>
        <v>1.029527884613475</v>
      </c>
      <c r="P469" s="342">
        <f t="shared" si="198"/>
        <v>0.7380129417547775</v>
      </c>
      <c r="Q469" s="343">
        <f t="shared" si="199"/>
        <v>0.60942132360911827</v>
      </c>
      <c r="R469" s="344">
        <f t="shared" si="200"/>
        <v>-155.97212182681736</v>
      </c>
      <c r="S469" s="346">
        <f t="shared" si="201"/>
        <v>24.027878173182643</v>
      </c>
      <c r="U469" s="319">
        <f t="shared" si="207"/>
        <v>1000000000</v>
      </c>
      <c r="V469" s="319">
        <f t="shared" si="208"/>
        <v>2884012209</v>
      </c>
      <c r="X469" s="345">
        <f t="shared" si="202"/>
        <v>25.051517167839297</v>
      </c>
      <c r="Y469" s="346">
        <f t="shared" si="203"/>
        <v>-33.022750128482471</v>
      </c>
      <c r="AA469" s="345">
        <f t="shared" si="204"/>
        <v>37.797645490159795</v>
      </c>
      <c r="AB469" s="346">
        <f t="shared" si="205"/>
        <v>-122.94937169833486</v>
      </c>
      <c r="AD469">
        <f t="shared" si="209"/>
        <v>0</v>
      </c>
      <c r="AE469">
        <f t="shared" si="186"/>
        <v>0</v>
      </c>
    </row>
    <row r="470" spans="1:31" x14ac:dyDescent="0.25">
      <c r="A470" s="347">
        <v>54015.75</v>
      </c>
      <c r="B470" s="364">
        <f t="shared" si="206"/>
        <v>54.015749999999997</v>
      </c>
      <c r="C470" s="337">
        <f t="shared" si="187"/>
        <v>12.259725370839986</v>
      </c>
      <c r="D470" s="338">
        <f t="shared" si="188"/>
        <v>1.48913770966756</v>
      </c>
      <c r="E470" s="338">
        <f t="shared" si="189"/>
        <v>1.0033118790963385</v>
      </c>
      <c r="F470" s="339">
        <f t="shared" si="190"/>
        <v>8.1274404354937546E-2</v>
      </c>
      <c r="G470" s="338">
        <f t="shared" si="191"/>
        <v>1</v>
      </c>
      <c r="H470" s="339">
        <f t="shared" si="192"/>
        <v>0</v>
      </c>
      <c r="I470" s="337">
        <f t="shared" si="193"/>
        <v>32589.932713133388</v>
      </c>
      <c r="J470" s="340">
        <f t="shared" si="194"/>
        <v>1.5707656424725644</v>
      </c>
      <c r="K470" s="348">
        <f t="shared" si="184"/>
        <v>8.4592413265863442</v>
      </c>
      <c r="L470" s="349">
        <f t="shared" si="185"/>
        <v>1.4523053393665548</v>
      </c>
      <c r="M470" s="337">
        <f t="shared" si="195"/>
        <v>1.1157387384029431</v>
      </c>
      <c r="N470" s="340">
        <f t="shared" si="196"/>
        <v>0.45951621378641822</v>
      </c>
      <c r="O470" s="341">
        <f t="shared" si="197"/>
        <v>1.0301937020821366</v>
      </c>
      <c r="P470" s="342">
        <f t="shared" si="198"/>
        <v>0.74272823974683266</v>
      </c>
      <c r="Q470" s="343">
        <f t="shared" si="199"/>
        <v>0.54345257614462017</v>
      </c>
      <c r="R470" s="344">
        <f t="shared" si="200"/>
        <v>-156.33543424267273</v>
      </c>
      <c r="S470" s="346">
        <f t="shared" si="201"/>
        <v>23.664565757327267</v>
      </c>
      <c r="U470" s="319">
        <f t="shared" si="207"/>
        <v>1000000000</v>
      </c>
      <c r="V470" s="319">
        <f t="shared" si="208"/>
        <v>2917701248.0625</v>
      </c>
      <c r="X470" s="345">
        <f t="shared" si="202"/>
        <v>25.040933179282835</v>
      </c>
      <c r="Y470" s="346">
        <f t="shared" si="203"/>
        <v>-33.115615113447959</v>
      </c>
      <c r="AA470" s="345">
        <f t="shared" si="204"/>
        <v>37.742260731251761</v>
      </c>
      <c r="AB470" s="346">
        <f t="shared" si="205"/>
        <v>-123.21981912922473</v>
      </c>
      <c r="AD470">
        <f t="shared" si="209"/>
        <v>0</v>
      </c>
      <c r="AE470">
        <f t="shared" si="186"/>
        <v>0</v>
      </c>
    </row>
    <row r="471" spans="1:31" x14ac:dyDescent="0.25">
      <c r="A471" s="347">
        <v>54328.5</v>
      </c>
      <c r="B471" s="364">
        <f t="shared" si="206"/>
        <v>54.328499999999998</v>
      </c>
      <c r="C471" s="337">
        <f t="shared" si="187"/>
        <v>12.330237984136714</v>
      </c>
      <c r="D471" s="338">
        <f t="shared" si="188"/>
        <v>1.4896057204799769</v>
      </c>
      <c r="E471" s="338">
        <f t="shared" si="189"/>
        <v>1.0033502773209486</v>
      </c>
      <c r="F471" s="339">
        <f t="shared" si="190"/>
        <v>8.1742893911873407E-2</v>
      </c>
      <c r="G471" s="338">
        <f t="shared" si="191"/>
        <v>1</v>
      </c>
      <c r="H471" s="339">
        <f t="shared" si="192"/>
        <v>0</v>
      </c>
      <c r="I471" s="337">
        <f t="shared" si="193"/>
        <v>32778.627703880782</v>
      </c>
      <c r="J471" s="340">
        <f t="shared" si="194"/>
        <v>1.5707658191113782</v>
      </c>
      <c r="K471" s="348">
        <f t="shared" ref="K471:K534" si="210">SQRT(1+(A471/Zero2)^2)</f>
        <v>8.5075376338901698</v>
      </c>
      <c r="L471" s="349">
        <f t="shared" ref="L471:L534" si="211">ATAN(A471/Zero2)</f>
        <v>1.4529811377193487</v>
      </c>
      <c r="M471" s="337">
        <f t="shared" si="195"/>
        <v>1.1170124257141785</v>
      </c>
      <c r="N471" s="340">
        <f t="shared" si="196"/>
        <v>0.4618151512892934</v>
      </c>
      <c r="O471" s="341">
        <f t="shared" si="197"/>
        <v>1.0308705374037594</v>
      </c>
      <c r="P471" s="342">
        <f t="shared" si="198"/>
        <v>0.74744800295334091</v>
      </c>
      <c r="Q471" s="343">
        <f t="shared" si="199"/>
        <v>0.47765926939633119</v>
      </c>
      <c r="R471" s="344">
        <f t="shared" si="200"/>
        <v>-156.69883846860225</v>
      </c>
      <c r="S471" s="346">
        <f t="shared" si="201"/>
        <v>23.301161531397753</v>
      </c>
      <c r="U471" s="319">
        <f t="shared" si="207"/>
        <v>1000000000</v>
      </c>
      <c r="V471" s="319">
        <f t="shared" si="208"/>
        <v>2951585912.25</v>
      </c>
      <c r="X471" s="345">
        <f t="shared" si="202"/>
        <v>25.030326541173498</v>
      </c>
      <c r="Y471" s="346">
        <f t="shared" si="203"/>
        <v>-33.208624257074874</v>
      </c>
      <c r="AA471" s="345">
        <f t="shared" si="204"/>
        <v>37.687074062612808</v>
      </c>
      <c r="AB471" s="346">
        <f t="shared" si="205"/>
        <v>-123.49021421152736</v>
      </c>
      <c r="AD471">
        <f t="shared" si="209"/>
        <v>0</v>
      </c>
      <c r="AE471">
        <f t="shared" si="186"/>
        <v>0</v>
      </c>
    </row>
    <row r="472" spans="1:31" x14ac:dyDescent="0.25">
      <c r="A472" s="347">
        <v>54641.25</v>
      </c>
      <c r="B472" s="364">
        <f t="shared" si="206"/>
        <v>54.641249999999999</v>
      </c>
      <c r="C472" s="337">
        <f t="shared" si="187"/>
        <v>12.400753267462241</v>
      </c>
      <c r="D472" s="338">
        <f t="shared" si="188"/>
        <v>1.4900684088265899</v>
      </c>
      <c r="E472" s="338">
        <f t="shared" si="189"/>
        <v>1.0033888957464678</v>
      </c>
      <c r="F472" s="339">
        <f t="shared" si="190"/>
        <v>8.2211347509173804E-2</v>
      </c>
      <c r="G472" s="338">
        <f t="shared" si="191"/>
        <v>1</v>
      </c>
      <c r="H472" s="339">
        <f t="shared" si="192"/>
        <v>0</v>
      </c>
      <c r="I472" s="337">
        <f t="shared" si="193"/>
        <v>32967.322694629183</v>
      </c>
      <c r="J472" s="340">
        <f t="shared" si="194"/>
        <v>1.570765993728138</v>
      </c>
      <c r="K472" s="348">
        <f t="shared" si="210"/>
        <v>8.5558377827493093</v>
      </c>
      <c r="L472" s="349">
        <f t="shared" si="211"/>
        <v>1.4536493062248514</v>
      </c>
      <c r="M472" s="337">
        <f t="shared" si="195"/>
        <v>1.1182920030970873</v>
      </c>
      <c r="N472" s="340">
        <f t="shared" si="196"/>
        <v>0.46410883988915463</v>
      </c>
      <c r="O472" s="341">
        <f t="shared" si="197"/>
        <v>1.0315585005602379</v>
      </c>
      <c r="P472" s="342">
        <f t="shared" si="198"/>
        <v>0.75217217563099115</v>
      </c>
      <c r="Q472" s="343">
        <f t="shared" si="199"/>
        <v>0.41203745884043241</v>
      </c>
      <c r="R472" s="344">
        <f t="shared" si="200"/>
        <v>-157.0623287463296</v>
      </c>
      <c r="S472" s="346">
        <f t="shared" si="201"/>
        <v>22.937671253670402</v>
      </c>
      <c r="U472" s="319">
        <f t="shared" si="207"/>
        <v>1000000000</v>
      </c>
      <c r="V472" s="319">
        <f t="shared" si="208"/>
        <v>2985666201.5625</v>
      </c>
      <c r="X472" s="345">
        <f t="shared" si="202"/>
        <v>25.019697269008322</v>
      </c>
      <c r="Y472" s="346">
        <f t="shared" si="203"/>
        <v>-33.301769702905126</v>
      </c>
      <c r="AA472" s="345">
        <f t="shared" si="204"/>
        <v>37.632081524222087</v>
      </c>
      <c r="AB472" s="346">
        <f t="shared" si="205"/>
        <v>-123.76055904342442</v>
      </c>
      <c r="AD472">
        <f t="shared" si="209"/>
        <v>0</v>
      </c>
      <c r="AE472">
        <f t="shared" si="186"/>
        <v>0</v>
      </c>
    </row>
    <row r="473" spans="1:31" x14ac:dyDescent="0.25">
      <c r="A473" s="347">
        <v>54954</v>
      </c>
      <c r="B473" s="364">
        <f t="shared" si="206"/>
        <v>54.954000000000001</v>
      </c>
      <c r="C473" s="337">
        <f t="shared" si="187"/>
        <v>12.471271175525798</v>
      </c>
      <c r="D473" s="338">
        <f t="shared" si="188"/>
        <v>1.4905258647940971</v>
      </c>
      <c r="E473" s="338">
        <f t="shared" si="189"/>
        <v>1.003427734347472</v>
      </c>
      <c r="F473" s="339">
        <f t="shared" si="190"/>
        <v>8.2679764945399373E-2</v>
      </c>
      <c r="G473" s="338">
        <f t="shared" si="191"/>
        <v>1</v>
      </c>
      <c r="H473" s="339">
        <f t="shared" si="192"/>
        <v>0</v>
      </c>
      <c r="I473" s="337">
        <f t="shared" si="193"/>
        <v>33156.017685378589</v>
      </c>
      <c r="J473" s="340">
        <f t="shared" si="194"/>
        <v>1.5707661663573664</v>
      </c>
      <c r="K473" s="348">
        <f t="shared" si="210"/>
        <v>8.6041417084689726</v>
      </c>
      <c r="L473" s="349">
        <f t="shared" si="211"/>
        <v>1.454309972783993</v>
      </c>
      <c r="M473" s="337">
        <f t="shared" si="195"/>
        <v>1.1195774503561866</v>
      </c>
      <c r="N473" s="340">
        <f t="shared" si="196"/>
        <v>0.4663972734903018</v>
      </c>
      <c r="O473" s="341">
        <f t="shared" si="197"/>
        <v>1.0322577016423988</v>
      </c>
      <c r="P473" s="342">
        <f t="shared" si="198"/>
        <v>0.75690070075276172</v>
      </c>
      <c r="Q473" s="343">
        <f t="shared" si="199"/>
        <v>0.34658326460019645</v>
      </c>
      <c r="R473" s="344">
        <f t="shared" si="200"/>
        <v>-157.42589930611285</v>
      </c>
      <c r="S473" s="346">
        <f t="shared" si="201"/>
        <v>22.574100693887146</v>
      </c>
      <c r="U473" s="319">
        <f t="shared" si="207"/>
        <v>1000000000</v>
      </c>
      <c r="V473" s="319">
        <f t="shared" si="208"/>
        <v>3019942116</v>
      </c>
      <c r="X473" s="345">
        <f t="shared" si="202"/>
        <v>25.009045385308241</v>
      </c>
      <c r="Y473" s="346">
        <f t="shared" si="203"/>
        <v>-33.395043775475315</v>
      </c>
      <c r="AA473" s="345">
        <f t="shared" si="204"/>
        <v>37.577279213681926</v>
      </c>
      <c r="AB473" s="346">
        <f t="shared" si="205"/>
        <v>-124.03085553063754</v>
      </c>
      <c r="AD473">
        <f t="shared" si="209"/>
        <v>0</v>
      </c>
      <c r="AE473">
        <f t="shared" si="186"/>
        <v>0</v>
      </c>
    </row>
    <row r="474" spans="1:31" x14ac:dyDescent="0.25">
      <c r="A474" s="347">
        <v>55274</v>
      </c>
      <c r="B474" s="364">
        <f t="shared" si="206"/>
        <v>55.274000000000001</v>
      </c>
      <c r="C474" s="337">
        <f t="shared" si="187"/>
        <v>12.543426461828101</v>
      </c>
      <c r="D474" s="338">
        <f t="shared" si="188"/>
        <v>1.4909886013781011</v>
      </c>
      <c r="E474" s="338">
        <f t="shared" si="189"/>
        <v>1.0034677011477104</v>
      </c>
      <c r="F474" s="339">
        <f t="shared" si="190"/>
        <v>8.3159003341067045E-2</v>
      </c>
      <c r="G474" s="338">
        <f t="shared" si="191"/>
        <v>1</v>
      </c>
      <c r="H474" s="339">
        <f t="shared" si="192"/>
        <v>0</v>
      </c>
      <c r="I474" s="337">
        <f t="shared" si="193"/>
        <v>33349.086900534858</v>
      </c>
      <c r="J474" s="340">
        <f t="shared" si="194"/>
        <v>1.570766340966405</v>
      </c>
      <c r="K474" s="348">
        <f t="shared" si="210"/>
        <v>8.6535692326971159</v>
      </c>
      <c r="L474" s="349">
        <f t="shared" si="211"/>
        <v>1.4549783201713336</v>
      </c>
      <c r="M474" s="337">
        <f t="shared" si="195"/>
        <v>1.1208987506501937</v>
      </c>
      <c r="N474" s="340">
        <f t="shared" si="196"/>
        <v>0.46873331107534028</v>
      </c>
      <c r="O474" s="341">
        <f t="shared" si="197"/>
        <v>1.0329848578656056</v>
      </c>
      <c r="P474" s="342">
        <f t="shared" si="198"/>
        <v>0.76174328409879499</v>
      </c>
      <c r="Q474" s="343">
        <f t="shared" si="199"/>
        <v>0.27978125627341593</v>
      </c>
      <c r="R474" s="344">
        <f t="shared" si="200"/>
        <v>-157.79797502426777</v>
      </c>
      <c r="S474" s="346">
        <f t="shared" si="201"/>
        <v>22.202024975732229</v>
      </c>
      <c r="U474" s="319">
        <f t="shared" si="207"/>
        <v>1000000000</v>
      </c>
      <c r="V474" s="319">
        <f t="shared" si="208"/>
        <v>3055215076</v>
      </c>
      <c r="X474" s="345">
        <f t="shared" si="202"/>
        <v>24.99812320215716</v>
      </c>
      <c r="Y474" s="346">
        <f t="shared" si="203"/>
        <v>-33.49060538980892</v>
      </c>
      <c r="AA474" s="345">
        <f t="shared" si="204"/>
        <v>37.521399388506232</v>
      </c>
      <c r="AB474" s="346">
        <f t="shared" si="205"/>
        <v>-124.30736963445887</v>
      </c>
      <c r="AD474">
        <f t="shared" si="209"/>
        <v>0</v>
      </c>
      <c r="AE474">
        <f t="shared" ref="AE474:AE537" si="212">IF(AD474&gt;0,S474,0)</f>
        <v>0</v>
      </c>
    </row>
    <row r="475" spans="1:31" x14ac:dyDescent="0.25">
      <c r="A475" s="347">
        <v>55594</v>
      </c>
      <c r="B475" s="364">
        <f t="shared" si="206"/>
        <v>55.594000000000001</v>
      </c>
      <c r="C475" s="337">
        <f t="shared" si="187"/>
        <v>12.615584403269313</v>
      </c>
      <c r="D475" s="338">
        <f t="shared" si="188"/>
        <v>1.4914460445874518</v>
      </c>
      <c r="E475" s="338">
        <f t="shared" si="189"/>
        <v>1.0035078983954253</v>
      </c>
      <c r="F475" s="339">
        <f t="shared" si="190"/>
        <v>8.3638203453336335E-2</v>
      </c>
      <c r="G475" s="338">
        <f t="shared" si="191"/>
        <v>1</v>
      </c>
      <c r="H475" s="339">
        <f t="shared" si="192"/>
        <v>0</v>
      </c>
      <c r="I475" s="337">
        <f t="shared" si="193"/>
        <v>33542.156115692131</v>
      </c>
      <c r="J475" s="340">
        <f t="shared" si="194"/>
        <v>1.5707665135653386</v>
      </c>
      <c r="K475" s="348">
        <f t="shared" si="210"/>
        <v>8.7030005784652005</v>
      </c>
      <c r="L475" s="349">
        <f t="shared" si="211"/>
        <v>1.45563907568544</v>
      </c>
      <c r="M475" s="337">
        <f t="shared" si="195"/>
        <v>1.1222261533456896</v>
      </c>
      <c r="N475" s="340">
        <f t="shared" si="196"/>
        <v>0.47106383508280625</v>
      </c>
      <c r="O475" s="341">
        <f t="shared" si="197"/>
        <v>1.0337240125526939</v>
      </c>
      <c r="P475" s="342">
        <f t="shared" si="198"/>
        <v>0.76659029913118204</v>
      </c>
      <c r="Q475" s="343">
        <f t="shared" si="199"/>
        <v>0.21314670950353543</v>
      </c>
      <c r="R475" s="344">
        <f t="shared" si="200"/>
        <v>-158.17012252719664</v>
      </c>
      <c r="S475" s="346">
        <f t="shared" si="201"/>
        <v>21.829877472803361</v>
      </c>
      <c r="U475" s="319">
        <f t="shared" si="207"/>
        <v>1000000000</v>
      </c>
      <c r="V475" s="319">
        <f t="shared" si="208"/>
        <v>3090692836</v>
      </c>
      <c r="X475" s="345">
        <f t="shared" si="202"/>
        <v>24.987177416043256</v>
      </c>
      <c r="Y475" s="346">
        <f t="shared" si="203"/>
        <v>-33.586285966542128</v>
      </c>
      <c r="AA475" s="345">
        <f t="shared" si="204"/>
        <v>37.465710627850257</v>
      </c>
      <c r="AB475" s="346">
        <f t="shared" si="205"/>
        <v>-124.5838365606545</v>
      </c>
      <c r="AD475">
        <f t="shared" si="209"/>
        <v>0</v>
      </c>
      <c r="AE475">
        <f t="shared" si="212"/>
        <v>0</v>
      </c>
    </row>
    <row r="476" spans="1:31" x14ac:dyDescent="0.25">
      <c r="A476" s="347">
        <v>55914</v>
      </c>
      <c r="B476" s="364">
        <f t="shared" si="206"/>
        <v>55.914000000000001</v>
      </c>
      <c r="C476" s="337">
        <f t="shared" si="187"/>
        <v>12.687744954548396</v>
      </c>
      <c r="D476" s="338">
        <f t="shared" si="188"/>
        <v>1.4918982845460087</v>
      </c>
      <c r="E476" s="338">
        <f t="shared" si="189"/>
        <v>1.0035483260629248</v>
      </c>
      <c r="F476" s="339">
        <f t="shared" si="190"/>
        <v>8.4117365066740751E-2</v>
      </c>
      <c r="G476" s="338">
        <f t="shared" si="191"/>
        <v>1</v>
      </c>
      <c r="H476" s="339">
        <f t="shared" si="192"/>
        <v>0</v>
      </c>
      <c r="I476" s="337">
        <f t="shared" si="193"/>
        <v>33735.2253308504</v>
      </c>
      <c r="J476" s="340">
        <f t="shared" si="194"/>
        <v>1.5707666841886789</v>
      </c>
      <c r="K476" s="348">
        <f t="shared" si="210"/>
        <v>8.752435681024215</v>
      </c>
      <c r="L476" s="349">
        <f t="shared" si="211"/>
        <v>1.4562923673846015</v>
      </c>
      <c r="M476" s="337">
        <f t="shared" si="195"/>
        <v>1.1235596368140652</v>
      </c>
      <c r="N476" s="340">
        <f t="shared" si="196"/>
        <v>0.47338883978353485</v>
      </c>
      <c r="O476" s="341">
        <f t="shared" si="197"/>
        <v>1.0344752839026656</v>
      </c>
      <c r="P476" s="342">
        <f t="shared" si="198"/>
        <v>0.77144168061339202</v>
      </c>
      <c r="Q476" s="343">
        <f t="shared" si="199"/>
        <v>0.14667567031161005</v>
      </c>
      <c r="R476" s="344">
        <f t="shared" si="200"/>
        <v>-158.54233558970444</v>
      </c>
      <c r="S476" s="346">
        <f t="shared" si="201"/>
        <v>21.457664410295564</v>
      </c>
      <c r="U476" s="319">
        <f t="shared" si="207"/>
        <v>1000000000</v>
      </c>
      <c r="V476" s="319">
        <f t="shared" si="208"/>
        <v>3126375396</v>
      </c>
      <c r="X476" s="345">
        <f t="shared" si="202"/>
        <v>24.97620807218517</v>
      </c>
      <c r="Y476" s="346">
        <f t="shared" si="203"/>
        <v>-33.682077842195817</v>
      </c>
      <c r="AA476" s="345">
        <f t="shared" si="204"/>
        <v>37.410208932516419</v>
      </c>
      <c r="AB476" s="346">
        <f t="shared" si="205"/>
        <v>-124.86025774750864</v>
      </c>
      <c r="AD476">
        <f t="shared" si="209"/>
        <v>0</v>
      </c>
      <c r="AE476">
        <f t="shared" si="212"/>
        <v>0</v>
      </c>
    </row>
    <row r="477" spans="1:31" x14ac:dyDescent="0.25">
      <c r="A477" s="347">
        <v>56234</v>
      </c>
      <c r="B477" s="364">
        <f t="shared" si="206"/>
        <v>56.234000000000002</v>
      </c>
      <c r="C477" s="337">
        <f t="shared" si="187"/>
        <v>12.759908071387441</v>
      </c>
      <c r="D477" s="338">
        <f t="shared" si="188"/>
        <v>1.4923454093474895</v>
      </c>
      <c r="E477" s="338">
        <f t="shared" si="189"/>
        <v>1.0035889841223629</v>
      </c>
      <c r="F477" s="339">
        <f t="shared" si="190"/>
        <v>8.459648796591919E-2</v>
      </c>
      <c r="G477" s="338">
        <f t="shared" si="191"/>
        <v>1</v>
      </c>
      <c r="H477" s="339">
        <f t="shared" si="192"/>
        <v>0</v>
      </c>
      <c r="I477" s="337">
        <f t="shared" si="193"/>
        <v>33928.294546009638</v>
      </c>
      <c r="J477" s="340">
        <f t="shared" si="194"/>
        <v>1.5707668528701526</v>
      </c>
      <c r="K477" s="348">
        <f t="shared" si="210"/>
        <v>8.8018744770749109</v>
      </c>
      <c r="L477" s="349">
        <f t="shared" si="211"/>
        <v>1.4569383204757851</v>
      </c>
      <c r="M477" s="337">
        <f t="shared" si="195"/>
        <v>1.1248991794304222</v>
      </c>
      <c r="N477" s="340">
        <f t="shared" si="196"/>
        <v>0.47570831971414695</v>
      </c>
      <c r="O477" s="341">
        <f t="shared" si="197"/>
        <v>1.0352387901788969</v>
      </c>
      <c r="P477" s="342">
        <f t="shared" si="198"/>
        <v>0.776297361918315</v>
      </c>
      <c r="Q477" s="343">
        <f t="shared" si="199"/>
        <v>8.0364250233926501E-2</v>
      </c>
      <c r="R477" s="344">
        <f t="shared" si="200"/>
        <v>-158.91460796914961</v>
      </c>
      <c r="S477" s="346">
        <f t="shared" si="201"/>
        <v>21.085392030850386</v>
      </c>
      <c r="U477" s="319">
        <f t="shared" si="207"/>
        <v>1000000000</v>
      </c>
      <c r="V477" s="319">
        <f t="shared" si="208"/>
        <v>3162262756</v>
      </c>
      <c r="X477" s="345">
        <f t="shared" si="202"/>
        <v>24.965215222361714</v>
      </c>
      <c r="Y477" s="346">
        <f t="shared" si="203"/>
        <v>-33.777973531843038</v>
      </c>
      <c r="AA477" s="345">
        <f t="shared" si="204"/>
        <v>37.354890362262189</v>
      </c>
      <c r="AB477" s="346">
        <f t="shared" si="205"/>
        <v>-125.1366344373066</v>
      </c>
      <c r="AD477">
        <f t="shared" si="209"/>
        <v>0</v>
      </c>
      <c r="AE477">
        <f t="shared" si="212"/>
        <v>0</v>
      </c>
    </row>
    <row r="478" spans="1:31" x14ac:dyDescent="0.25">
      <c r="A478" s="347">
        <v>56561.5</v>
      </c>
      <c r="B478" s="364">
        <f t="shared" si="206"/>
        <v>56.561500000000002</v>
      </c>
      <c r="C478" s="337">
        <f t="shared" si="187"/>
        <v>12.833765122576276</v>
      </c>
      <c r="D478" s="338">
        <f t="shared" si="188"/>
        <v>1.4927978071012487</v>
      </c>
      <c r="E478" s="338">
        <f t="shared" si="189"/>
        <v>1.0036308336307835</v>
      </c>
      <c r="F478" s="339">
        <f t="shared" si="190"/>
        <v>8.5086799997518447E-2</v>
      </c>
      <c r="G478" s="338">
        <f t="shared" si="191"/>
        <v>1</v>
      </c>
      <c r="H478" s="339">
        <f t="shared" si="192"/>
        <v>0</v>
      </c>
      <c r="I478" s="337">
        <f t="shared" si="193"/>
        <v>34125.888820900152</v>
      </c>
      <c r="J478" s="340">
        <f t="shared" si="194"/>
        <v>1.5707670235288222</v>
      </c>
      <c r="K478" s="348">
        <f t="shared" si="210"/>
        <v>8.8524757546887631</v>
      </c>
      <c r="L478" s="349">
        <f t="shared" si="211"/>
        <v>1.4575919422170163</v>
      </c>
      <c r="M478" s="337">
        <f t="shared" si="195"/>
        <v>1.1262763688450304</v>
      </c>
      <c r="N478" s="340">
        <f t="shared" si="196"/>
        <v>0.4780764365135432</v>
      </c>
      <c r="O478" s="341">
        <f t="shared" si="197"/>
        <v>1.0360329830171728</v>
      </c>
      <c r="P478" s="342">
        <f t="shared" si="198"/>
        <v>0.78127122944236271</v>
      </c>
      <c r="Q478" s="343">
        <f t="shared" si="199"/>
        <v>1.2659940583602902E-2</v>
      </c>
      <c r="R478" s="344">
        <f t="shared" si="200"/>
        <v>-159.29566036731703</v>
      </c>
      <c r="S478" s="346">
        <f t="shared" si="201"/>
        <v>20.704339632682974</v>
      </c>
      <c r="U478" s="319">
        <f t="shared" si="207"/>
        <v>1000000000</v>
      </c>
      <c r="V478" s="319">
        <f t="shared" si="208"/>
        <v>3199203282.25</v>
      </c>
      <c r="X478" s="345">
        <f t="shared" si="202"/>
        <v>24.953940449459711</v>
      </c>
      <c r="Y478" s="346">
        <f t="shared" si="203"/>
        <v>-33.87621664080568</v>
      </c>
      <c r="AA478" s="345">
        <f t="shared" si="204"/>
        <v>37.298460825513871</v>
      </c>
      <c r="AB478" s="346">
        <f t="shared" si="205"/>
        <v>-125.41944372651136</v>
      </c>
      <c r="AD478">
        <f t="shared" si="209"/>
        <v>56561.5</v>
      </c>
      <c r="AE478">
        <f t="shared" si="212"/>
        <v>20.704339632682974</v>
      </c>
    </row>
    <row r="479" spans="1:31" x14ac:dyDescent="0.25">
      <c r="A479" s="347">
        <v>56889</v>
      </c>
      <c r="B479" s="364">
        <f t="shared" si="206"/>
        <v>56.889000000000003</v>
      </c>
      <c r="C479" s="337">
        <f t="shared" si="187"/>
        <v>12.90762477031228</v>
      </c>
      <c r="D479" s="338">
        <f t="shared" si="188"/>
        <v>1.4932450275502398</v>
      </c>
      <c r="E479" s="338">
        <f t="shared" si="189"/>
        <v>1.0036729243978113</v>
      </c>
      <c r="F479" s="339">
        <f t="shared" si="190"/>
        <v>8.5577071022800516E-2</v>
      </c>
      <c r="G479" s="338">
        <f t="shared" si="191"/>
        <v>1</v>
      </c>
      <c r="H479" s="339">
        <f t="shared" si="192"/>
        <v>0</v>
      </c>
      <c r="I479" s="337">
        <f t="shared" si="193"/>
        <v>34323.483095791649</v>
      </c>
      <c r="J479" s="340">
        <f t="shared" si="194"/>
        <v>1.5707671922225879</v>
      </c>
      <c r="K479" s="348">
        <f t="shared" si="210"/>
        <v>8.9030807712784519</v>
      </c>
      <c r="L479" s="349">
        <f t="shared" si="211"/>
        <v>1.4582381338736283</v>
      </c>
      <c r="M479" s="337">
        <f t="shared" si="195"/>
        <v>1.1276598589436326</v>
      </c>
      <c r="N479" s="340">
        <f t="shared" si="196"/>
        <v>0.48043875579903733</v>
      </c>
      <c r="O479" s="341">
        <f t="shared" si="197"/>
        <v>1.0368402418073612</v>
      </c>
      <c r="P479" s="342">
        <f t="shared" si="198"/>
        <v>0.78624945505799682</v>
      </c>
      <c r="Q479" s="343">
        <f t="shared" si="199"/>
        <v>-5.4885216437709008E-2</v>
      </c>
      <c r="R479" s="344">
        <f t="shared" si="200"/>
        <v>-159.67676160434669</v>
      </c>
      <c r="S479" s="346">
        <f t="shared" si="201"/>
        <v>20.323238395653306</v>
      </c>
      <c r="U479" s="319">
        <f t="shared" si="207"/>
        <v>56889</v>
      </c>
      <c r="V479" s="319">
        <f t="shared" si="208"/>
        <v>3236358321</v>
      </c>
      <c r="X479" s="345">
        <f t="shared" si="202"/>
        <v>24.94264118550721</v>
      </c>
      <c r="Y479" s="346">
        <f t="shared" si="203"/>
        <v>-33.974553176599585</v>
      </c>
      <c r="AA479" s="345">
        <f t="shared" si="204"/>
        <v>37.242214932445059</v>
      </c>
      <c r="AB479" s="346">
        <f t="shared" si="205"/>
        <v>-125.70220842774714</v>
      </c>
      <c r="AD479">
        <f t="shared" si="209"/>
        <v>0</v>
      </c>
      <c r="AE479">
        <f t="shared" si="212"/>
        <v>0</v>
      </c>
    </row>
    <row r="480" spans="1:31" x14ac:dyDescent="0.25">
      <c r="A480" s="347">
        <v>57216.5</v>
      </c>
      <c r="B480" s="364">
        <f t="shared" si="206"/>
        <v>57.216500000000003</v>
      </c>
      <c r="C480" s="337">
        <f t="shared" si="187"/>
        <v>12.9814869702754</v>
      </c>
      <c r="D480" s="338">
        <f t="shared" si="188"/>
        <v>1.4936871588876726</v>
      </c>
      <c r="E480" s="338">
        <f t="shared" si="189"/>
        <v>1.0037152563930953</v>
      </c>
      <c r="F480" s="339">
        <f t="shared" si="190"/>
        <v>8.6067300811250441E-2</v>
      </c>
      <c r="G480" s="338">
        <f t="shared" si="191"/>
        <v>1</v>
      </c>
      <c r="H480" s="339">
        <f t="shared" si="192"/>
        <v>0</v>
      </c>
      <c r="I480" s="337">
        <f t="shared" si="193"/>
        <v>34521.077370684121</v>
      </c>
      <c r="J480" s="340">
        <f t="shared" si="194"/>
        <v>1.57076735898519</v>
      </c>
      <c r="K480" s="348">
        <f t="shared" si="210"/>
        <v>8.9536894634474482</v>
      </c>
      <c r="L480" s="349">
        <f t="shared" si="211"/>
        <v>1.4588770208919288</v>
      </c>
      <c r="M480" s="337">
        <f t="shared" si="195"/>
        <v>1.1290496265644467</v>
      </c>
      <c r="N480" s="340">
        <f t="shared" si="196"/>
        <v>0.4827952725651542</v>
      </c>
      <c r="O480" s="341">
        <f t="shared" si="197"/>
        <v>1.0376606934408679</v>
      </c>
      <c r="P480" s="342">
        <f t="shared" si="198"/>
        <v>0.79123196285488873</v>
      </c>
      <c r="Q480" s="343">
        <f t="shared" si="199"/>
        <v>-0.12227518394903351</v>
      </c>
      <c r="R480" s="344">
        <f t="shared" si="200"/>
        <v>-160.05790492480003</v>
      </c>
      <c r="S480" s="346">
        <f t="shared" si="201"/>
        <v>19.942095075199973</v>
      </c>
      <c r="U480" s="319">
        <f t="shared" si="207"/>
        <v>57216.5</v>
      </c>
      <c r="V480" s="319">
        <f t="shared" si="208"/>
        <v>3273727872.25</v>
      </c>
      <c r="X480" s="345">
        <f t="shared" si="202"/>
        <v>24.931317505678653</v>
      </c>
      <c r="Y480" s="346">
        <f t="shared" si="203"/>
        <v>-34.072975666821343</v>
      </c>
      <c r="AA480" s="345">
        <f t="shared" si="204"/>
        <v>37.186148644762291</v>
      </c>
      <c r="AB480" s="346">
        <f t="shared" si="205"/>
        <v>-125.98492925797872</v>
      </c>
      <c r="AD480">
        <f t="shared" si="209"/>
        <v>0</v>
      </c>
      <c r="AE480">
        <f t="shared" si="212"/>
        <v>0</v>
      </c>
    </row>
    <row r="481" spans="1:31" x14ac:dyDescent="0.25">
      <c r="A481" s="347">
        <v>57544</v>
      </c>
      <c r="B481" s="364">
        <f t="shared" si="206"/>
        <v>57.543999999999997</v>
      </c>
      <c r="C481" s="337">
        <f t="shared" si="187"/>
        <v>13.055351679147057</v>
      </c>
      <c r="D481" s="338">
        <f t="shared" si="188"/>
        <v>1.4941242873188976</v>
      </c>
      <c r="E481" s="338">
        <f t="shared" si="189"/>
        <v>1.0037578295861147</v>
      </c>
      <c r="F481" s="339">
        <f t="shared" si="190"/>
        <v>8.6557489132471313E-2</v>
      </c>
      <c r="G481" s="338">
        <f t="shared" si="191"/>
        <v>1</v>
      </c>
      <c r="H481" s="339">
        <f t="shared" si="192"/>
        <v>0</v>
      </c>
      <c r="I481" s="337">
        <f t="shared" si="193"/>
        <v>34718.671645577531</v>
      </c>
      <c r="J481" s="340">
        <f t="shared" si="194"/>
        <v>1.5707675238496013</v>
      </c>
      <c r="K481" s="348">
        <f t="shared" si="210"/>
        <v>9.004301769219957</v>
      </c>
      <c r="L481" s="349">
        <f t="shared" si="211"/>
        <v>1.4595087259219004</v>
      </c>
      <c r="M481" s="337">
        <f t="shared" si="195"/>
        <v>1.1304456485547534</v>
      </c>
      <c r="N481" s="340">
        <f t="shared" si="196"/>
        <v>0.48514598208875498</v>
      </c>
      <c r="O481" s="341">
        <f t="shared" si="197"/>
        <v>1.0384944648164409</v>
      </c>
      <c r="P481" s="342">
        <f t="shared" si="198"/>
        <v>0.79621867542353408</v>
      </c>
      <c r="Q481" s="343">
        <f t="shared" si="199"/>
        <v>-0.18951385841374291</v>
      </c>
      <c r="R481" s="344">
        <f t="shared" si="200"/>
        <v>-160.43908354978956</v>
      </c>
      <c r="S481" s="346">
        <f t="shared" si="201"/>
        <v>19.560916450210442</v>
      </c>
      <c r="U481" s="319">
        <f t="shared" si="207"/>
        <v>57544</v>
      </c>
      <c r="V481" s="319">
        <f t="shared" si="208"/>
        <v>3311311936</v>
      </c>
      <c r="X481" s="345">
        <f t="shared" si="202"/>
        <v>24.919969491248573</v>
      </c>
      <c r="Y481" s="346">
        <f t="shared" si="203"/>
        <v>-34.171476815417833</v>
      </c>
      <c r="AA481" s="345">
        <f t="shared" si="204"/>
        <v>37.130257984727663</v>
      </c>
      <c r="AB481" s="346">
        <f t="shared" si="205"/>
        <v>-126.26760673437174</v>
      </c>
      <c r="AD481">
        <f t="shared" si="209"/>
        <v>0</v>
      </c>
      <c r="AE481">
        <f t="shared" si="212"/>
        <v>0</v>
      </c>
    </row>
    <row r="482" spans="1:31" x14ac:dyDescent="0.25">
      <c r="A482" s="347">
        <v>57879</v>
      </c>
      <c r="B482" s="364">
        <f t="shared" si="206"/>
        <v>57.878999999999998</v>
      </c>
      <c r="C482" s="337">
        <f t="shared" si="187"/>
        <v>13.130910497847793</v>
      </c>
      <c r="D482" s="338">
        <f t="shared" si="188"/>
        <v>1.4945663380955931</v>
      </c>
      <c r="E482" s="338">
        <f t="shared" si="189"/>
        <v>1.0038016272521595</v>
      </c>
      <c r="F482" s="339">
        <f t="shared" si="190"/>
        <v>8.70588599978213E-2</v>
      </c>
      <c r="G482" s="338">
        <f t="shared" si="191"/>
        <v>1</v>
      </c>
      <c r="H482" s="339">
        <f t="shared" si="192"/>
        <v>0</v>
      </c>
      <c r="I482" s="337">
        <f t="shared" si="193"/>
        <v>34920.790980202299</v>
      </c>
      <c r="J482" s="340">
        <f t="shared" si="194"/>
        <v>1.5707676905592312</v>
      </c>
      <c r="K482" s="348">
        <f t="shared" si="210"/>
        <v>9.0560768109500938</v>
      </c>
      <c r="L482" s="349">
        <f t="shared" si="211"/>
        <v>1.4601475919114901</v>
      </c>
      <c r="M482" s="337">
        <f t="shared" si="195"/>
        <v>1.13188008724241</v>
      </c>
      <c r="N482" s="340">
        <f t="shared" si="196"/>
        <v>0.48754451177374863</v>
      </c>
      <c r="O482" s="341">
        <f t="shared" si="197"/>
        <v>1.0393612432601571</v>
      </c>
      <c r="P482" s="342">
        <f t="shared" si="198"/>
        <v>0.80132385556601327</v>
      </c>
      <c r="Q482" s="343">
        <f t="shared" si="199"/>
        <v>-0.2581398135362562</v>
      </c>
      <c r="R482" s="344">
        <f t="shared" si="200"/>
        <v>-160.82902089020021</v>
      </c>
      <c r="S482" s="346">
        <f t="shared" si="201"/>
        <v>19.170979109799788</v>
      </c>
      <c r="U482" s="319">
        <f t="shared" si="207"/>
        <v>57879</v>
      </c>
      <c r="V482" s="319">
        <f t="shared" si="208"/>
        <v>3349978641</v>
      </c>
      <c r="X482" s="345">
        <f t="shared" si="202"/>
        <v>24.908336512581364</v>
      </c>
      <c r="Y482" s="346">
        <f t="shared" si="203"/>
        <v>-34.272307670400266</v>
      </c>
      <c r="AA482" s="345">
        <f t="shared" si="204"/>
        <v>37.073265008272358</v>
      </c>
      <c r="AB482" s="346">
        <f t="shared" si="205"/>
        <v>-126.55671321979992</v>
      </c>
      <c r="AD482">
        <f t="shared" si="209"/>
        <v>0</v>
      </c>
      <c r="AE482">
        <f t="shared" si="212"/>
        <v>0</v>
      </c>
    </row>
    <row r="483" spans="1:31" x14ac:dyDescent="0.25">
      <c r="A483" s="347">
        <v>58214</v>
      </c>
      <c r="B483" s="364">
        <f t="shared" si="206"/>
        <v>58.213999999999999</v>
      </c>
      <c r="C483" s="337">
        <f t="shared" si="187"/>
        <v>13.206471853084096</v>
      </c>
      <c r="D483" s="338">
        <f t="shared" si="188"/>
        <v>1.4950033305345825</v>
      </c>
      <c r="E483" s="338">
        <f t="shared" si="189"/>
        <v>1.0038456772245195</v>
      </c>
      <c r="F483" s="339">
        <f t="shared" si="190"/>
        <v>8.7560186987652194E-2</v>
      </c>
      <c r="G483" s="338">
        <f t="shared" si="191"/>
        <v>1</v>
      </c>
      <c r="H483" s="339">
        <f t="shared" si="192"/>
        <v>0</v>
      </c>
      <c r="I483" s="337">
        <f t="shared" si="193"/>
        <v>35122.910314828026</v>
      </c>
      <c r="J483" s="340">
        <f t="shared" si="194"/>
        <v>1.5707678553501567</v>
      </c>
      <c r="K483" s="348">
        <f t="shared" si="210"/>
        <v>9.1078555068911982</v>
      </c>
      <c r="L483" s="349">
        <f t="shared" si="211"/>
        <v>1.4607791941747403</v>
      </c>
      <c r="M483" s="337">
        <f t="shared" si="195"/>
        <v>1.1333210210682299</v>
      </c>
      <c r="N483" s="340">
        <f t="shared" si="196"/>
        <v>0.48993695608718746</v>
      </c>
      <c r="O483" s="341">
        <f t="shared" si="197"/>
        <v>1.0402422270452254</v>
      </c>
      <c r="P483" s="342">
        <f t="shared" si="198"/>
        <v>0.80643326665722925</v>
      </c>
      <c r="Q483" s="343">
        <f t="shared" si="199"/>
        <v>-0.3266155057706846</v>
      </c>
      <c r="R483" s="344">
        <f t="shared" si="200"/>
        <v>-161.21898074341925</v>
      </c>
      <c r="S483" s="346">
        <f t="shared" si="201"/>
        <v>18.781019256580748</v>
      </c>
      <c r="U483" s="319">
        <f t="shared" si="207"/>
        <v>58214</v>
      </c>
      <c r="V483" s="319">
        <f t="shared" si="208"/>
        <v>3388869796</v>
      </c>
      <c r="X483" s="345">
        <f t="shared" si="202"/>
        <v>24.896678262481046</v>
      </c>
      <c r="Y483" s="346">
        <f t="shared" si="203"/>
        <v>-34.373205930205081</v>
      </c>
      <c r="AA483" s="345">
        <f t="shared" si="204"/>
        <v>37.016447566138247</v>
      </c>
      <c r="AB483" s="346">
        <f t="shared" si="205"/>
        <v>-126.84577481321413</v>
      </c>
      <c r="AD483">
        <f t="shared" si="209"/>
        <v>0</v>
      </c>
      <c r="AE483">
        <f t="shared" si="212"/>
        <v>0</v>
      </c>
    </row>
    <row r="484" spans="1:31" x14ac:dyDescent="0.25">
      <c r="A484" s="347">
        <v>58549</v>
      </c>
      <c r="B484" s="364">
        <f t="shared" si="206"/>
        <v>58.548999999999999</v>
      </c>
      <c r="C484" s="337">
        <f t="shared" si="187"/>
        <v>13.282035701565002</v>
      </c>
      <c r="D484" s="338">
        <f t="shared" si="188"/>
        <v>1.4954353508008582</v>
      </c>
      <c r="E484" s="338">
        <f t="shared" si="189"/>
        <v>1.0038899794699812</v>
      </c>
      <c r="F484" s="339">
        <f t="shared" si="190"/>
        <v>8.8061469855760563E-2</v>
      </c>
      <c r="G484" s="338">
        <f t="shared" si="191"/>
        <v>1</v>
      </c>
      <c r="H484" s="339">
        <f t="shared" si="192"/>
        <v>0</v>
      </c>
      <c r="I484" s="337">
        <f t="shared" si="193"/>
        <v>35325.029649454686</v>
      </c>
      <c r="J484" s="340">
        <f t="shared" si="194"/>
        <v>1.5707680182553128</v>
      </c>
      <c r="K484" s="348">
        <f t="shared" si="210"/>
        <v>9.1596377950723902</v>
      </c>
      <c r="L484" s="349">
        <f t="shared" si="211"/>
        <v>1.4614036553957388</v>
      </c>
      <c r="M484" s="337">
        <f t="shared" si="195"/>
        <v>1.1347684252895502</v>
      </c>
      <c r="N484" s="340">
        <f t="shared" si="196"/>
        <v>0.49232331087529585</v>
      </c>
      <c r="O484" s="341">
        <f t="shared" si="197"/>
        <v>1.0411375519069956</v>
      </c>
      <c r="P484" s="342">
        <f t="shared" si="198"/>
        <v>0.81154682103283737</v>
      </c>
      <c r="Q484" s="343">
        <f t="shared" si="199"/>
        <v>-0.39494489673229005</v>
      </c>
      <c r="R484" s="344">
        <f t="shared" si="200"/>
        <v>-161.60895577225926</v>
      </c>
      <c r="S484" s="346">
        <f t="shared" si="201"/>
        <v>18.391044227740736</v>
      </c>
      <c r="U484" s="319">
        <f t="shared" si="207"/>
        <v>58549</v>
      </c>
      <c r="V484" s="319">
        <f t="shared" si="208"/>
        <v>3427985401</v>
      </c>
      <c r="X484" s="345">
        <f t="shared" si="202"/>
        <v>24.884994846133985</v>
      </c>
      <c r="Y484" s="346">
        <f t="shared" si="203"/>
        <v>-34.474164329444982</v>
      </c>
      <c r="AA484" s="345">
        <f t="shared" si="204"/>
        <v>36.959801591523707</v>
      </c>
      <c r="AB484" s="346">
        <f t="shared" si="205"/>
        <v>-127.13479144281426</v>
      </c>
      <c r="AD484">
        <f t="shared" si="209"/>
        <v>0</v>
      </c>
      <c r="AE484">
        <f t="shared" si="212"/>
        <v>0</v>
      </c>
    </row>
    <row r="485" spans="1:31" x14ac:dyDescent="0.25">
      <c r="A485" s="347">
        <v>58884</v>
      </c>
      <c r="B485" s="364">
        <f t="shared" si="206"/>
        <v>58.884</v>
      </c>
      <c r="C485" s="337">
        <f t="shared" si="187"/>
        <v>13.357602000977712</v>
      </c>
      <c r="D485" s="338">
        <f t="shared" si="188"/>
        <v>1.4958624831171317</v>
      </c>
      <c r="E485" s="338">
        <f t="shared" si="189"/>
        <v>1.0039345339551475</v>
      </c>
      <c r="F485" s="339">
        <f t="shared" si="190"/>
        <v>8.8562708356075007E-2</v>
      </c>
      <c r="G485" s="338">
        <f t="shared" si="191"/>
        <v>1</v>
      </c>
      <c r="H485" s="339">
        <f t="shared" si="192"/>
        <v>0</v>
      </c>
      <c r="I485" s="337">
        <f t="shared" si="193"/>
        <v>35527.148984082283</v>
      </c>
      <c r="J485" s="340">
        <f t="shared" si="194"/>
        <v>1.5707681793068846</v>
      </c>
      <c r="K485" s="348">
        <f t="shared" si="210"/>
        <v>9.2114236149120199</v>
      </c>
      <c r="L485" s="349">
        <f t="shared" si="211"/>
        <v>1.4620210955222612</v>
      </c>
      <c r="M485" s="337">
        <f t="shared" si="195"/>
        <v>1.1362222751789617</v>
      </c>
      <c r="N485" s="340">
        <f t="shared" si="196"/>
        <v>0.49470357228283779</v>
      </c>
      <c r="O485" s="341">
        <f t="shared" si="197"/>
        <v>1.042047353516548</v>
      </c>
      <c r="P485" s="342">
        <f t="shared" si="198"/>
        <v>0.81666442942627659</v>
      </c>
      <c r="Q485" s="343">
        <f t="shared" si="199"/>
        <v>-0.46313188014922535</v>
      </c>
      <c r="R485" s="344">
        <f t="shared" si="200"/>
        <v>-161.99893861028195</v>
      </c>
      <c r="S485" s="346">
        <f t="shared" si="201"/>
        <v>18.001061389718046</v>
      </c>
      <c r="U485" s="319">
        <f t="shared" si="207"/>
        <v>58884</v>
      </c>
      <c r="V485" s="319">
        <f t="shared" si="208"/>
        <v>3467325456</v>
      </c>
      <c r="X485" s="345">
        <f t="shared" si="202"/>
        <v>24.873286374349878</v>
      </c>
      <c r="Y485" s="346">
        <f t="shared" si="203"/>
        <v>-34.575175776574028</v>
      </c>
      <c r="AA485" s="345">
        <f t="shared" si="204"/>
        <v>36.903323079890875</v>
      </c>
      <c r="AB485" s="346">
        <f t="shared" si="205"/>
        <v>-127.42376283370788</v>
      </c>
      <c r="AD485">
        <f t="shared" si="209"/>
        <v>0</v>
      </c>
      <c r="AE485">
        <f t="shared" si="212"/>
        <v>0</v>
      </c>
    </row>
    <row r="486" spans="1:31" x14ac:dyDescent="0.25">
      <c r="A486" s="347">
        <v>59227</v>
      </c>
      <c r="B486" s="364">
        <f t="shared" si="206"/>
        <v>59.226999999999997</v>
      </c>
      <c r="C486" s="337">
        <f t="shared" si="187"/>
        <v>13.434975364969031</v>
      </c>
      <c r="D486" s="338">
        <f t="shared" si="188"/>
        <v>1.4962948371487053</v>
      </c>
      <c r="E486" s="338">
        <f t="shared" si="189"/>
        <v>1.0039804137400277</v>
      </c>
      <c r="F486" s="339">
        <f t="shared" si="190"/>
        <v>8.9075870504438603E-2</v>
      </c>
      <c r="G486" s="338">
        <f t="shared" si="191"/>
        <v>1</v>
      </c>
      <c r="H486" s="339">
        <f t="shared" si="192"/>
        <v>0</v>
      </c>
      <c r="I486" s="337">
        <f t="shared" si="193"/>
        <v>35734.095049089985</v>
      </c>
      <c r="J486" s="340">
        <f t="shared" si="194"/>
        <v>1.570768342316802</v>
      </c>
      <c r="K486" s="348">
        <f t="shared" si="210"/>
        <v>9.264449708369062</v>
      </c>
      <c r="L486" s="349">
        <f t="shared" si="211"/>
        <v>1.4626461283621619</v>
      </c>
      <c r="M486" s="337">
        <f t="shared" si="195"/>
        <v>1.1377174964605687</v>
      </c>
      <c r="N486" s="340">
        <f t="shared" si="196"/>
        <v>0.49713435865002042</v>
      </c>
      <c r="O486" s="341">
        <f t="shared" si="197"/>
        <v>1.0429940227790468</v>
      </c>
      <c r="P486" s="342">
        <f t="shared" si="198"/>
        <v>0.82190835485871649</v>
      </c>
      <c r="Q486" s="343">
        <f t="shared" si="199"/>
        <v>-0.53280365647293537</v>
      </c>
      <c r="R486" s="344">
        <f t="shared" si="200"/>
        <v>-162.39823483779026</v>
      </c>
      <c r="S486" s="346">
        <f t="shared" si="201"/>
        <v>17.601765162209745</v>
      </c>
      <c r="U486" s="319">
        <f t="shared" si="207"/>
        <v>59227</v>
      </c>
      <c r="V486" s="319">
        <f t="shared" si="208"/>
        <v>3507837529</v>
      </c>
      <c r="X486" s="345">
        <f t="shared" si="202"/>
        <v>24.861272458556392</v>
      </c>
      <c r="Y486" s="346">
        <f t="shared" si="203"/>
        <v>-34.678647172426665</v>
      </c>
      <c r="AA486" s="345">
        <f t="shared" si="204"/>
        <v>36.845665219360647</v>
      </c>
      <c r="AB486" s="346">
        <f t="shared" si="205"/>
        <v>-127.7195876653636</v>
      </c>
      <c r="AD486">
        <f t="shared" si="209"/>
        <v>0</v>
      </c>
      <c r="AE486">
        <f t="shared" si="212"/>
        <v>0</v>
      </c>
    </row>
    <row r="487" spans="1:31" x14ac:dyDescent="0.25">
      <c r="A487" s="347">
        <v>59570</v>
      </c>
      <c r="B487" s="364">
        <f t="shared" si="206"/>
        <v>59.57</v>
      </c>
      <c r="C487" s="337">
        <f t="shared" si="187"/>
        <v>13.512351211598974</v>
      </c>
      <c r="D487" s="338">
        <f t="shared" si="188"/>
        <v>1.4967222396771582</v>
      </c>
      <c r="E487" s="338">
        <f t="shared" si="189"/>
        <v>1.0040265578842791</v>
      </c>
      <c r="F487" s="339">
        <f t="shared" si="190"/>
        <v>8.9588985618985262E-2</v>
      </c>
      <c r="G487" s="338">
        <f t="shared" si="191"/>
        <v>1</v>
      </c>
      <c r="H487" s="339">
        <f t="shared" si="192"/>
        <v>0</v>
      </c>
      <c r="I487" s="337">
        <f t="shared" si="193"/>
        <v>35941.041114098625</v>
      </c>
      <c r="J487" s="340">
        <f t="shared" si="194"/>
        <v>1.5707685034495196</v>
      </c>
      <c r="K487" s="348">
        <f t="shared" si="210"/>
        <v>9.3174793799360778</v>
      </c>
      <c r="L487" s="349">
        <f t="shared" si="211"/>
        <v>1.463264046794637</v>
      </c>
      <c r="M487" s="337">
        <f t="shared" si="195"/>
        <v>1.139219422529455</v>
      </c>
      <c r="N487" s="340">
        <f t="shared" si="196"/>
        <v>0.49955874990220711</v>
      </c>
      <c r="O487" s="341">
        <f t="shared" si="197"/>
        <v>1.0439561560387469</v>
      </c>
      <c r="P487" s="342">
        <f t="shared" si="198"/>
        <v>0.82715633575249015</v>
      </c>
      <c r="Q487" s="343">
        <f t="shared" si="199"/>
        <v>-0.60233419077639616</v>
      </c>
      <c r="R487" s="344">
        <f t="shared" si="200"/>
        <v>-162.79752352558995</v>
      </c>
      <c r="S487" s="346">
        <f t="shared" si="201"/>
        <v>17.202476474410048</v>
      </c>
      <c r="U487" s="319">
        <f t="shared" si="207"/>
        <v>59570</v>
      </c>
      <c r="V487" s="319">
        <f t="shared" si="208"/>
        <v>3548584900</v>
      </c>
      <c r="X487" s="345">
        <f t="shared" si="202"/>
        <v>24.849232528491175</v>
      </c>
      <c r="Y487" s="346">
        <f t="shared" si="203"/>
        <v>-34.782159673144164</v>
      </c>
      <c r="AA487" s="345">
        <f t="shared" si="204"/>
        <v>36.788174615122401</v>
      </c>
      <c r="AB487" s="346">
        <f t="shared" si="205"/>
        <v>-128.01536385244577</v>
      </c>
      <c r="AD487">
        <f t="shared" si="209"/>
        <v>0</v>
      </c>
      <c r="AE487">
        <f t="shared" si="212"/>
        <v>0</v>
      </c>
    </row>
    <row r="488" spans="1:31" x14ac:dyDescent="0.25">
      <c r="A488" s="347">
        <v>59913</v>
      </c>
      <c r="B488" s="364">
        <f t="shared" si="206"/>
        <v>59.912999999999997</v>
      </c>
      <c r="C488" s="337">
        <f t="shared" si="187"/>
        <v>13.58972949846134</v>
      </c>
      <c r="D488" s="338">
        <f t="shared" si="188"/>
        <v>1.4971447751247828</v>
      </c>
      <c r="E488" s="338">
        <f t="shared" si="189"/>
        <v>1.0040729663514545</v>
      </c>
      <c r="F488" s="339">
        <f t="shared" si="190"/>
        <v>9.0102053436025092E-2</v>
      </c>
      <c r="G488" s="338">
        <f t="shared" si="191"/>
        <v>1</v>
      </c>
      <c r="H488" s="339">
        <f t="shared" si="192"/>
        <v>0</v>
      </c>
      <c r="I488" s="337">
        <f t="shared" si="193"/>
        <v>36147.98717910819</v>
      </c>
      <c r="J488" s="340">
        <f t="shared" si="194"/>
        <v>1.5707686627372779</v>
      </c>
      <c r="K488" s="348">
        <f t="shared" si="210"/>
        <v>9.3705125688652728</v>
      </c>
      <c r="L488" s="349">
        <f t="shared" si="211"/>
        <v>1.463874971137491</v>
      </c>
      <c r="M488" s="337">
        <f t="shared" si="195"/>
        <v>1.1407280269022835</v>
      </c>
      <c r="N488" s="340">
        <f t="shared" si="196"/>
        <v>0.50197674285634342</v>
      </c>
      <c r="O488" s="341">
        <f t="shared" si="197"/>
        <v>1.0449338985891545</v>
      </c>
      <c r="P488" s="342">
        <f t="shared" si="198"/>
        <v>0.83240827114895222</v>
      </c>
      <c r="Q488" s="343">
        <f t="shared" si="199"/>
        <v>-0.67172744881486746</v>
      </c>
      <c r="R488" s="344">
        <f t="shared" si="200"/>
        <v>-163.1967966670953</v>
      </c>
      <c r="S488" s="346">
        <f t="shared" si="201"/>
        <v>16.803203332904701</v>
      </c>
      <c r="U488" s="319">
        <f t="shared" si="207"/>
        <v>59913</v>
      </c>
      <c r="V488" s="319">
        <f t="shared" si="208"/>
        <v>3589567569</v>
      </c>
      <c r="X488" s="345">
        <f t="shared" si="202"/>
        <v>24.837166719862374</v>
      </c>
      <c r="Y488" s="346">
        <f t="shared" si="203"/>
        <v>-34.885706204495804</v>
      </c>
      <c r="AA488" s="345">
        <f t="shared" si="204"/>
        <v>36.730847165712731</v>
      </c>
      <c r="AB488" s="346">
        <f t="shared" si="205"/>
        <v>-128.31109046259948</v>
      </c>
      <c r="AD488">
        <f t="shared" si="209"/>
        <v>0</v>
      </c>
      <c r="AE488">
        <f t="shared" si="212"/>
        <v>0</v>
      </c>
    </row>
    <row r="489" spans="1:31" x14ac:dyDescent="0.25">
      <c r="A489" s="347">
        <v>60256</v>
      </c>
      <c r="B489" s="364">
        <f t="shared" si="206"/>
        <v>60.256</v>
      </c>
      <c r="C489" s="337">
        <f t="shared" si="187"/>
        <v>13.667110184108962</v>
      </c>
      <c r="D489" s="338">
        <f t="shared" si="188"/>
        <v>1.4975625260089798</v>
      </c>
      <c r="E489" s="338">
        <f t="shared" si="189"/>
        <v>1.0041196391049041</v>
      </c>
      <c r="F489" s="339">
        <f t="shared" si="190"/>
        <v>9.0615073692016421E-2</v>
      </c>
      <c r="G489" s="338">
        <f t="shared" si="191"/>
        <v>1</v>
      </c>
      <c r="H489" s="339">
        <f t="shared" si="192"/>
        <v>0</v>
      </c>
      <c r="I489" s="337">
        <f t="shared" si="193"/>
        <v>36354.933244118663</v>
      </c>
      <c r="J489" s="340">
        <f t="shared" si="194"/>
        <v>1.5707688202115835</v>
      </c>
      <c r="K489" s="348">
        <f t="shared" si="210"/>
        <v>9.4235492157723542</v>
      </c>
      <c r="L489" s="349">
        <f t="shared" si="211"/>
        <v>1.4644790190210413</v>
      </c>
      <c r="M489" s="337">
        <f t="shared" si="195"/>
        <v>1.142243283118181</v>
      </c>
      <c r="N489" s="340">
        <f t="shared" si="196"/>
        <v>0.50438833464542221</v>
      </c>
      <c r="O489" s="341">
        <f t="shared" si="197"/>
        <v>1.0459273955705926</v>
      </c>
      <c r="P489" s="342">
        <f t="shared" si="198"/>
        <v>0.8376640583836753</v>
      </c>
      <c r="Q489" s="343">
        <f t="shared" si="199"/>
        <v>-0.74098732670721734</v>
      </c>
      <c r="R489" s="344">
        <f t="shared" si="200"/>
        <v>-163.59604622088372</v>
      </c>
      <c r="S489" s="346">
        <f t="shared" si="201"/>
        <v>16.403953779116279</v>
      </c>
      <c r="U489" s="319">
        <f t="shared" si="207"/>
        <v>60256</v>
      </c>
      <c r="V489" s="319">
        <f t="shared" si="208"/>
        <v>3630785536</v>
      </c>
      <c r="X489" s="345">
        <f t="shared" si="202"/>
        <v>24.825075173539581</v>
      </c>
      <c r="Y489" s="346">
        <f t="shared" si="203"/>
        <v>-34.989279864298638</v>
      </c>
      <c r="AA489" s="345">
        <f t="shared" si="204"/>
        <v>36.673678834143182</v>
      </c>
      <c r="AB489" s="346">
        <f t="shared" si="205"/>
        <v>-128.60676635658507</v>
      </c>
      <c r="AD489">
        <f t="shared" si="209"/>
        <v>0</v>
      </c>
      <c r="AE489">
        <f t="shared" si="212"/>
        <v>0</v>
      </c>
    </row>
    <row r="490" spans="1:31" x14ac:dyDescent="0.25">
      <c r="A490" s="347">
        <v>60607</v>
      </c>
      <c r="B490" s="364">
        <f t="shared" si="206"/>
        <v>60.606999999999999</v>
      </c>
      <c r="C490" s="337">
        <f t="shared" si="187"/>
        <v>13.746298108185645</v>
      </c>
      <c r="D490" s="338">
        <f t="shared" si="188"/>
        <v>1.4979851512473994</v>
      </c>
      <c r="E490" s="338">
        <f t="shared" si="189"/>
        <v>1.0041676740015713</v>
      </c>
      <c r="F490" s="339">
        <f t="shared" si="190"/>
        <v>9.1140009922301382E-2</v>
      </c>
      <c r="G490" s="338">
        <f t="shared" si="191"/>
        <v>1</v>
      </c>
      <c r="H490" s="339">
        <f t="shared" si="192"/>
        <v>0</v>
      </c>
      <c r="I490" s="337">
        <f t="shared" si="193"/>
        <v>36566.706039509307</v>
      </c>
      <c r="J490" s="340">
        <f t="shared" si="194"/>
        <v>1.5707689795134914</v>
      </c>
      <c r="K490" s="348">
        <f t="shared" si="210"/>
        <v>9.4778263883534191</v>
      </c>
      <c r="L490" s="349">
        <f t="shared" si="211"/>
        <v>1.4650901565620194</v>
      </c>
      <c r="M490" s="337">
        <f t="shared" si="195"/>
        <v>1.1438007393750609</v>
      </c>
      <c r="N490" s="340">
        <f t="shared" si="196"/>
        <v>0.50684954395695836</v>
      </c>
      <c r="O490" s="341">
        <f t="shared" si="197"/>
        <v>1.0469605256277461</v>
      </c>
      <c r="P490" s="342">
        <f t="shared" si="198"/>
        <v>0.84304630833748084</v>
      </c>
      <c r="Q490" s="343">
        <f t="shared" si="199"/>
        <v>-0.81172850553372966</v>
      </c>
      <c r="R490" s="344">
        <f t="shared" si="200"/>
        <v>-164.00457487153261</v>
      </c>
      <c r="S490" s="346">
        <f t="shared" si="201"/>
        <v>15.995425128467389</v>
      </c>
      <c r="U490" s="319">
        <f t="shared" si="207"/>
        <v>60607</v>
      </c>
      <c r="V490" s="319">
        <f t="shared" si="208"/>
        <v>3673208449</v>
      </c>
      <c r="X490" s="345">
        <f t="shared" si="202"/>
        <v>24.812675115644794</v>
      </c>
      <c r="Y490" s="346">
        <f t="shared" si="203"/>
        <v>-35.095290295996037</v>
      </c>
      <c r="AA490" s="345">
        <f t="shared" si="204"/>
        <v>36.615337713211453</v>
      </c>
      <c r="AB490" s="346">
        <f t="shared" si="205"/>
        <v>-128.90928457553662</v>
      </c>
      <c r="AD490">
        <f t="shared" si="209"/>
        <v>0</v>
      </c>
      <c r="AE490">
        <f t="shared" si="212"/>
        <v>0</v>
      </c>
    </row>
    <row r="491" spans="1:31" x14ac:dyDescent="0.25">
      <c r="A491" s="347">
        <v>60958</v>
      </c>
      <c r="B491" s="364">
        <f t="shared" si="206"/>
        <v>60.957999999999998</v>
      </c>
      <c r="C491" s="337">
        <f t="shared" si="187"/>
        <v>13.825488459391323</v>
      </c>
      <c r="D491" s="338">
        <f t="shared" si="188"/>
        <v>1.4984029350901267</v>
      </c>
      <c r="E491" s="338">
        <f t="shared" si="189"/>
        <v>1.0042159855782045</v>
      </c>
      <c r="F491" s="339">
        <f t="shared" si="190"/>
        <v>9.1664895789158693E-2</v>
      </c>
      <c r="G491" s="338">
        <f t="shared" si="191"/>
        <v>1</v>
      </c>
      <c r="H491" s="339">
        <f t="shared" si="192"/>
        <v>0</v>
      </c>
      <c r="I491" s="337">
        <f t="shared" si="193"/>
        <v>36778.478834900874</v>
      </c>
      <c r="J491" s="340">
        <f t="shared" si="194"/>
        <v>1.5707691369808585</v>
      </c>
      <c r="K491" s="348">
        <f t="shared" si="210"/>
        <v>9.5321070604855205</v>
      </c>
      <c r="L491" s="349">
        <f t="shared" si="211"/>
        <v>1.4656943340697151</v>
      </c>
      <c r="M491" s="337">
        <f t="shared" si="195"/>
        <v>1.1453651053961529</v>
      </c>
      <c r="N491" s="340">
        <f t="shared" si="196"/>
        <v>0.50930404495035719</v>
      </c>
      <c r="O491" s="341">
        <f t="shared" si="197"/>
        <v>1.0480104605291758</v>
      </c>
      <c r="P491" s="342">
        <f t="shared" si="198"/>
        <v>0.84843236897441543</v>
      </c>
      <c r="Q491" s="343">
        <f t="shared" si="199"/>
        <v>-0.88233804655195325</v>
      </c>
      <c r="R491" s="344">
        <f t="shared" si="200"/>
        <v>-164.4130616694176</v>
      </c>
      <c r="S491" s="346">
        <f t="shared" si="201"/>
        <v>15.586938330582399</v>
      </c>
      <c r="U491" s="319">
        <f t="shared" si="207"/>
        <v>60958</v>
      </c>
      <c r="V491" s="319">
        <f t="shared" si="208"/>
        <v>3715877764</v>
      </c>
      <c r="X491" s="345">
        <f t="shared" si="202"/>
        <v>24.8002484194927</v>
      </c>
      <c r="Y491" s="346">
        <f t="shared" si="203"/>
        <v>-35.20131504479744</v>
      </c>
      <c r="AA491" s="345">
        <f t="shared" si="204"/>
        <v>36.557154868345322</v>
      </c>
      <c r="AB491" s="346">
        <f t="shared" si="205"/>
        <v>-129.21174662462013</v>
      </c>
      <c r="AD491">
        <f t="shared" si="209"/>
        <v>0</v>
      </c>
      <c r="AE491">
        <f t="shared" si="212"/>
        <v>0</v>
      </c>
    </row>
    <row r="492" spans="1:31" x14ac:dyDescent="0.25">
      <c r="A492" s="347">
        <v>61309</v>
      </c>
      <c r="B492" s="364">
        <f t="shared" si="206"/>
        <v>61.308999999999997</v>
      </c>
      <c r="C492" s="337">
        <f t="shared" si="187"/>
        <v>13.904681196256826</v>
      </c>
      <c r="D492" s="338">
        <f t="shared" si="188"/>
        <v>1.4988159601111302</v>
      </c>
      <c r="E492" s="338">
        <f t="shared" si="189"/>
        <v>1.0042645737948732</v>
      </c>
      <c r="F492" s="339">
        <f t="shared" si="190"/>
        <v>9.2189731010660192E-2</v>
      </c>
      <c r="G492" s="338">
        <f t="shared" si="191"/>
        <v>1</v>
      </c>
      <c r="H492" s="339">
        <f t="shared" si="192"/>
        <v>0</v>
      </c>
      <c r="I492" s="337">
        <f t="shared" si="193"/>
        <v>36990.251630293336</v>
      </c>
      <c r="J492" s="340">
        <f t="shared" si="194"/>
        <v>1.5707692926451937</v>
      </c>
      <c r="K492" s="348">
        <f t="shared" si="210"/>
        <v>9.5863911727225215</v>
      </c>
      <c r="L492" s="349">
        <f t="shared" si="211"/>
        <v>1.4662916693353714</v>
      </c>
      <c r="M492" s="337">
        <f t="shared" si="195"/>
        <v>1.146936352907699</v>
      </c>
      <c r="N492" s="340">
        <f t="shared" si="196"/>
        <v>0.51175183556100134</v>
      </c>
      <c r="O492" s="341">
        <f t="shared" si="197"/>
        <v>1.0490773551730246</v>
      </c>
      <c r="P492" s="342">
        <f t="shared" si="198"/>
        <v>0.85382212483635578</v>
      </c>
      <c r="Q492" s="343">
        <f t="shared" si="199"/>
        <v>-0.95281990580491094</v>
      </c>
      <c r="R492" s="344">
        <f t="shared" si="200"/>
        <v>-164.82149788113901</v>
      </c>
      <c r="S492" s="346">
        <f t="shared" si="201"/>
        <v>15.17850211886099</v>
      </c>
      <c r="U492" s="319">
        <f t="shared" si="207"/>
        <v>61309</v>
      </c>
      <c r="V492" s="319">
        <f t="shared" si="208"/>
        <v>3758793481</v>
      </c>
      <c r="X492" s="345">
        <f t="shared" si="202"/>
        <v>24.787795251329637</v>
      </c>
      <c r="Y492" s="346">
        <f t="shared" si="203"/>
        <v>-35.307347245273256</v>
      </c>
      <c r="AA492" s="345">
        <f t="shared" si="204"/>
        <v>36.499126177255434</v>
      </c>
      <c r="AB492" s="346">
        <f t="shared" si="205"/>
        <v>-129.51415063586572</v>
      </c>
      <c r="AD492">
        <f t="shared" si="209"/>
        <v>0</v>
      </c>
      <c r="AE492">
        <f t="shared" si="212"/>
        <v>0</v>
      </c>
    </row>
    <row r="493" spans="1:31" x14ac:dyDescent="0.25">
      <c r="A493" s="347">
        <v>61660</v>
      </c>
      <c r="B493" s="364">
        <f t="shared" si="206"/>
        <v>61.66</v>
      </c>
      <c r="C493" s="337">
        <f t="shared" si="187"/>
        <v>13.983876278251138</v>
      </c>
      <c r="D493" s="338">
        <f t="shared" si="188"/>
        <v>1.4992243070203877</v>
      </c>
      <c r="E493" s="338">
        <f t="shared" si="189"/>
        <v>1.0043134386114265</v>
      </c>
      <c r="F493" s="339">
        <f t="shared" si="190"/>
        <v>9.271451530504371E-2</v>
      </c>
      <c r="G493" s="338">
        <f t="shared" si="191"/>
        <v>1</v>
      </c>
      <c r="H493" s="339">
        <f t="shared" si="192"/>
        <v>0</v>
      </c>
      <c r="I493" s="337">
        <f t="shared" si="193"/>
        <v>37202.024425686686</v>
      </c>
      <c r="J493" s="340">
        <f t="shared" si="194"/>
        <v>1.5707694465372881</v>
      </c>
      <c r="K493" s="348">
        <f t="shared" si="210"/>
        <v>9.640678666953459</v>
      </c>
      <c r="L493" s="349">
        <f t="shared" si="211"/>
        <v>1.4668822775168444</v>
      </c>
      <c r="M493" s="337">
        <f t="shared" si="195"/>
        <v>1.1485144536666294</v>
      </c>
      <c r="N493" s="340">
        <f t="shared" si="196"/>
        <v>0.51419291405719636</v>
      </c>
      <c r="O493" s="341">
        <f t="shared" si="197"/>
        <v>1.0501613641958985</v>
      </c>
      <c r="P493" s="342">
        <f t="shared" si="198"/>
        <v>0.85921545866923243</v>
      </c>
      <c r="Q493" s="343">
        <f t="shared" si="199"/>
        <v>-1.0231779678168997</v>
      </c>
      <c r="R493" s="344">
        <f t="shared" si="200"/>
        <v>-165.22987473350466</v>
      </c>
      <c r="S493" s="346">
        <f t="shared" si="201"/>
        <v>14.770125266495342</v>
      </c>
      <c r="U493" s="319">
        <f t="shared" si="207"/>
        <v>61660</v>
      </c>
      <c r="V493" s="319">
        <f t="shared" si="208"/>
        <v>3801955600</v>
      </c>
      <c r="X493" s="345">
        <f t="shared" si="202"/>
        <v>24.775315782080966</v>
      </c>
      <c r="Y493" s="346">
        <f t="shared" si="203"/>
        <v>-35.413380201909753</v>
      </c>
      <c r="AA493" s="345">
        <f t="shared" si="204"/>
        <v>36.441247584492118</v>
      </c>
      <c r="AB493" s="346">
        <f t="shared" si="205"/>
        <v>-129.81649453159486</v>
      </c>
      <c r="AD493">
        <f t="shared" si="209"/>
        <v>0</v>
      </c>
      <c r="AE493">
        <f t="shared" si="212"/>
        <v>0</v>
      </c>
    </row>
    <row r="494" spans="1:31" x14ac:dyDescent="0.25">
      <c r="A494" s="347">
        <v>62019</v>
      </c>
      <c r="B494" s="364">
        <f t="shared" si="206"/>
        <v>62.018999999999998</v>
      </c>
      <c r="C494" s="337">
        <f t="shared" si="187"/>
        <v>14.064878760982458</v>
      </c>
      <c r="D494" s="338">
        <f t="shared" si="188"/>
        <v>1.4996372039450483</v>
      </c>
      <c r="E494" s="338">
        <f t="shared" si="189"/>
        <v>1.0043637032420458</v>
      </c>
      <c r="F494" s="339">
        <f t="shared" si="190"/>
        <v>9.3251207520074292E-2</v>
      </c>
      <c r="G494" s="338">
        <f t="shared" si="191"/>
        <v>1</v>
      </c>
      <c r="H494" s="339">
        <f t="shared" si="192"/>
        <v>0</v>
      </c>
      <c r="I494" s="337">
        <f t="shared" si="193"/>
        <v>37418.623951460278</v>
      </c>
      <c r="J494" s="340">
        <f t="shared" si="194"/>
        <v>1.5707696021349675</v>
      </c>
      <c r="K494" s="348">
        <f t="shared" si="210"/>
        <v>9.6962069222773195</v>
      </c>
      <c r="L494" s="349">
        <f t="shared" si="211"/>
        <v>1.4674795053823553</v>
      </c>
      <c r="M494" s="337">
        <f t="shared" si="195"/>
        <v>1.1501355824562949</v>
      </c>
      <c r="N494" s="340">
        <f t="shared" si="196"/>
        <v>0.5166826848786501</v>
      </c>
      <c r="O494" s="341">
        <f t="shared" si="197"/>
        <v>1.0512879447880301</v>
      </c>
      <c r="P494" s="342">
        <f t="shared" si="198"/>
        <v>0.86473529463854237</v>
      </c>
      <c r="Q494" s="343">
        <f t="shared" si="199"/>
        <v>-1.0950155456792059</v>
      </c>
      <c r="R494" s="344">
        <f t="shared" si="200"/>
        <v>-165.6474887299791</v>
      </c>
      <c r="S494" s="346">
        <f t="shared" si="201"/>
        <v>14.352511270020898</v>
      </c>
      <c r="U494" s="319">
        <f t="shared" si="207"/>
        <v>62019</v>
      </c>
      <c r="V494" s="319">
        <f t="shared" si="208"/>
        <v>3846356361</v>
      </c>
      <c r="X494" s="345">
        <f t="shared" si="202"/>
        <v>24.762524856209566</v>
      </c>
      <c r="Y494" s="346">
        <f t="shared" si="203"/>
        <v>-35.521823841046739</v>
      </c>
      <c r="AA494" s="345">
        <f t="shared" si="204"/>
        <v>36.382200932501206</v>
      </c>
      <c r="AB494" s="346">
        <f t="shared" si="205"/>
        <v>-130.12566488893233</v>
      </c>
      <c r="AD494">
        <f t="shared" si="209"/>
        <v>0</v>
      </c>
      <c r="AE494">
        <f t="shared" si="212"/>
        <v>0</v>
      </c>
    </row>
    <row r="495" spans="1:31" x14ac:dyDescent="0.25">
      <c r="A495" s="347">
        <v>62378</v>
      </c>
      <c r="B495" s="364">
        <f t="shared" si="206"/>
        <v>62.378</v>
      </c>
      <c r="C495" s="337">
        <f t="shared" si="187"/>
        <v>14.145883614087433</v>
      </c>
      <c r="D495" s="338">
        <f t="shared" si="188"/>
        <v>1.500045372120604</v>
      </c>
      <c r="E495" s="338">
        <f t="shared" si="189"/>
        <v>1.0044142571391099</v>
      </c>
      <c r="F495" s="339">
        <f t="shared" si="190"/>
        <v>9.3787845864379965E-2</v>
      </c>
      <c r="G495" s="338">
        <f t="shared" si="191"/>
        <v>1</v>
      </c>
      <c r="H495" s="339">
        <f t="shared" si="192"/>
        <v>0</v>
      </c>
      <c r="I495" s="337">
        <f t="shared" si="193"/>
        <v>37635.223477234758</v>
      </c>
      <c r="J495" s="340">
        <f t="shared" si="194"/>
        <v>1.5707697559416447</v>
      </c>
      <c r="K495" s="348">
        <f t="shared" si="210"/>
        <v>9.7517385966682522</v>
      </c>
      <c r="L495" s="349">
        <f t="shared" si="211"/>
        <v>1.4680699315794394</v>
      </c>
      <c r="M495" s="337">
        <f t="shared" si="195"/>
        <v>1.1517638207930383</v>
      </c>
      <c r="N495" s="340">
        <f t="shared" si="196"/>
        <v>0.51916543152035477</v>
      </c>
      <c r="O495" s="341">
        <f t="shared" si="197"/>
        <v>1.0524327550715269</v>
      </c>
      <c r="P495" s="342">
        <f t="shared" si="198"/>
        <v>0.87025861976029462</v>
      </c>
      <c r="Q495" s="343">
        <f t="shared" si="199"/>
        <v>-1.1667316144202091</v>
      </c>
      <c r="R495" s="344">
        <f t="shared" si="200"/>
        <v>-166.06502193778496</v>
      </c>
      <c r="S495" s="346">
        <f t="shared" si="201"/>
        <v>13.934978062215038</v>
      </c>
      <c r="U495" s="319">
        <f t="shared" si="207"/>
        <v>62378</v>
      </c>
      <c r="V495" s="319">
        <f t="shared" si="208"/>
        <v>3891014884</v>
      </c>
      <c r="X495" s="345">
        <f t="shared" si="202"/>
        <v>24.749706792390175</v>
      </c>
      <c r="Y495" s="346">
        <f t="shared" si="203"/>
        <v>-35.630254628607169</v>
      </c>
      <c r="AA495" s="345">
        <f t="shared" si="204"/>
        <v>36.323302927579597</v>
      </c>
      <c r="AB495" s="346">
        <f t="shared" si="205"/>
        <v>-130.4347673091778</v>
      </c>
      <c r="AD495">
        <f t="shared" si="209"/>
        <v>0</v>
      </c>
      <c r="AE495">
        <f t="shared" si="212"/>
        <v>0</v>
      </c>
    </row>
    <row r="496" spans="1:31" x14ac:dyDescent="0.25">
      <c r="A496" s="347">
        <v>62737</v>
      </c>
      <c r="B496" s="364">
        <f t="shared" si="206"/>
        <v>62.737000000000002</v>
      </c>
      <c r="C496" s="337">
        <f t="shared" si="187"/>
        <v>14.226890797076871</v>
      </c>
      <c r="D496" s="338">
        <f t="shared" si="188"/>
        <v>1.5004488921856383</v>
      </c>
      <c r="E496" s="338">
        <f t="shared" si="189"/>
        <v>1.0044651002589433</v>
      </c>
      <c r="F496" s="339">
        <f t="shared" si="190"/>
        <v>9.4324430037035015E-2</v>
      </c>
      <c r="G496" s="338">
        <f t="shared" si="191"/>
        <v>1</v>
      </c>
      <c r="H496" s="339">
        <f t="shared" si="192"/>
        <v>0</v>
      </c>
      <c r="I496" s="337">
        <f t="shared" si="193"/>
        <v>37851.823003010126</v>
      </c>
      <c r="J496" s="340">
        <f t="shared" si="194"/>
        <v>1.5707699079880657</v>
      </c>
      <c r="K496" s="348">
        <f t="shared" si="210"/>
        <v>9.8072736320469627</v>
      </c>
      <c r="L496" s="349">
        <f t="shared" si="211"/>
        <v>1.4686536712390594</v>
      </c>
      <c r="M496" s="337">
        <f t="shared" si="195"/>
        <v>1.1533991385674984</v>
      </c>
      <c r="N496" s="340">
        <f t="shared" si="196"/>
        <v>0.52164115318754545</v>
      </c>
      <c r="O496" s="341">
        <f t="shared" si="197"/>
        <v>1.0535959594946014</v>
      </c>
      <c r="P496" s="342">
        <f t="shared" si="198"/>
        <v>0.87578530288934331</v>
      </c>
      <c r="Q496" s="343">
        <f t="shared" si="199"/>
        <v>-1.2383301052715416</v>
      </c>
      <c r="R496" s="344">
        <f t="shared" si="200"/>
        <v>-166.48246484005799</v>
      </c>
      <c r="S496" s="346">
        <f t="shared" si="201"/>
        <v>13.517535159942014</v>
      </c>
      <c r="U496" s="319">
        <f t="shared" si="207"/>
        <v>62737</v>
      </c>
      <c r="V496" s="319">
        <f t="shared" si="208"/>
        <v>3935931169</v>
      </c>
      <c r="X496" s="345">
        <f t="shared" si="202"/>
        <v>24.736861787254472</v>
      </c>
      <c r="Y496" s="346">
        <f t="shared" si="203"/>
        <v>-35.738665924297756</v>
      </c>
      <c r="AA496" s="345">
        <f t="shared" si="204"/>
        <v>36.264549441863963</v>
      </c>
      <c r="AB496" s="346">
        <f t="shared" si="205"/>
        <v>-130.74379891576024</v>
      </c>
      <c r="AD496">
        <f t="shared" si="209"/>
        <v>0</v>
      </c>
      <c r="AE496">
        <f t="shared" si="212"/>
        <v>0</v>
      </c>
    </row>
    <row r="497" spans="1:31" x14ac:dyDescent="0.25">
      <c r="A497" s="347">
        <v>63096</v>
      </c>
      <c r="B497" s="364">
        <f t="shared" si="206"/>
        <v>63.095999999999997</v>
      </c>
      <c r="C497" s="337">
        <f t="shared" si="187"/>
        <v>14.307900270377386</v>
      </c>
      <c r="D497" s="338">
        <f t="shared" si="188"/>
        <v>1.5008478429586078</v>
      </c>
      <c r="E497" s="338">
        <f t="shared" si="189"/>
        <v>1.0045162325576293</v>
      </c>
      <c r="F497" s="339">
        <f t="shared" si="190"/>
        <v>9.4860959737299216E-2</v>
      </c>
      <c r="G497" s="338">
        <f t="shared" si="191"/>
        <v>1</v>
      </c>
      <c r="H497" s="339">
        <f t="shared" si="192"/>
        <v>0</v>
      </c>
      <c r="I497" s="337">
        <f t="shared" si="193"/>
        <v>38068.422528786352</v>
      </c>
      <c r="J497" s="340">
        <f t="shared" si="194"/>
        <v>1.5707700583042767</v>
      </c>
      <c r="K497" s="348">
        <f t="shared" si="210"/>
        <v>9.862811971638795</v>
      </c>
      <c r="L497" s="349">
        <f t="shared" si="211"/>
        <v>1.4692308369173923</v>
      </c>
      <c r="M497" s="337">
        <f t="shared" si="195"/>
        <v>1.1550415057102883</v>
      </c>
      <c r="N497" s="340">
        <f t="shared" si="196"/>
        <v>0.52410984943440631</v>
      </c>
      <c r="O497" s="341">
        <f t="shared" si="197"/>
        <v>1.0547777221141517</v>
      </c>
      <c r="P497" s="342">
        <f t="shared" si="198"/>
        <v>0.88131521101335353</v>
      </c>
      <c r="Q497" s="343">
        <f t="shared" si="199"/>
        <v>-1.3098148759102797</v>
      </c>
      <c r="R497" s="344">
        <f t="shared" si="200"/>
        <v>-166.89980787613297</v>
      </c>
      <c r="S497" s="346">
        <f t="shared" si="201"/>
        <v>13.100192123867032</v>
      </c>
      <c r="U497" s="319">
        <f t="shared" si="207"/>
        <v>63096</v>
      </c>
      <c r="V497" s="319">
        <f t="shared" si="208"/>
        <v>3981105216</v>
      </c>
      <c r="X497" s="345">
        <f t="shared" si="202"/>
        <v>24.723990041612595</v>
      </c>
      <c r="Y497" s="346">
        <f t="shared" si="203"/>
        <v>-35.847051255302723</v>
      </c>
      <c r="AA497" s="345">
        <f t="shared" si="204"/>
        <v>36.205936416867097</v>
      </c>
      <c r="AB497" s="346">
        <f t="shared" si="205"/>
        <v>-131.05275662083025</v>
      </c>
      <c r="AD497">
        <f t="shared" si="209"/>
        <v>0</v>
      </c>
      <c r="AE497">
        <f t="shared" si="212"/>
        <v>0</v>
      </c>
    </row>
    <row r="498" spans="1:31" x14ac:dyDescent="0.25">
      <c r="A498" s="347">
        <v>63463.25</v>
      </c>
      <c r="B498" s="364">
        <f t="shared" si="206"/>
        <v>63.463250000000002</v>
      </c>
      <c r="C498" s="337">
        <f t="shared" si="187"/>
        <v>14.390773711528121</v>
      </c>
      <c r="D498" s="338">
        <f t="shared" si="188"/>
        <v>1.5012513141407995</v>
      </c>
      <c r="E498" s="338">
        <f t="shared" si="189"/>
        <v>1.0045688390795573</v>
      </c>
      <c r="F498" s="339">
        <f t="shared" si="190"/>
        <v>9.5409762481234422E-2</v>
      </c>
      <c r="G498" s="338">
        <f t="shared" si="191"/>
        <v>1</v>
      </c>
      <c r="H498" s="339">
        <f t="shared" si="192"/>
        <v>0</v>
      </c>
      <c r="I498" s="337">
        <f t="shared" si="193"/>
        <v>38289.999620267234</v>
      </c>
      <c r="J498" s="340">
        <f t="shared" si="194"/>
        <v>1.570770210315136</v>
      </c>
      <c r="K498" s="348">
        <f t="shared" si="210"/>
        <v>9.9196299712384111</v>
      </c>
      <c r="L498" s="349">
        <f t="shared" si="211"/>
        <v>1.4698145785581831</v>
      </c>
      <c r="M498" s="337">
        <f t="shared" si="195"/>
        <v>1.1567288781916218</v>
      </c>
      <c r="N498" s="340">
        <f t="shared" si="196"/>
        <v>0.52662800800886678</v>
      </c>
      <c r="O498" s="341">
        <f t="shared" si="197"/>
        <v>1.056006015660431</v>
      </c>
      <c r="P498" s="342">
        <f t="shared" si="198"/>
        <v>0.88697539559701377</v>
      </c>
      <c r="Q498" s="343">
        <f t="shared" si="199"/>
        <v>-1.3828286784236146</v>
      </c>
      <c r="R498" s="344">
        <f t="shared" si="200"/>
        <v>-167.32662831511007</v>
      </c>
      <c r="S498" s="346">
        <f t="shared" si="201"/>
        <v>12.673371684889929</v>
      </c>
      <c r="U498" s="319">
        <f t="shared" si="207"/>
        <v>63463.25</v>
      </c>
      <c r="V498" s="319">
        <f t="shared" si="208"/>
        <v>4027584100.5625</v>
      </c>
      <c r="X498" s="345">
        <f t="shared" si="202"/>
        <v>24.710795041000644</v>
      </c>
      <c r="Y498" s="346">
        <f t="shared" si="203"/>
        <v>-35.957893891127952</v>
      </c>
      <c r="AA498" s="345">
        <f t="shared" si="204"/>
        <v>36.146117614965725</v>
      </c>
      <c r="AB498" s="346">
        <f t="shared" si="205"/>
        <v>-131.36873442398212</v>
      </c>
      <c r="AD498">
        <f t="shared" si="209"/>
        <v>0</v>
      </c>
      <c r="AE498">
        <f t="shared" si="212"/>
        <v>0</v>
      </c>
    </row>
    <row r="499" spans="1:31" x14ac:dyDescent="0.25">
      <c r="A499" s="347">
        <v>63830.5</v>
      </c>
      <c r="B499" s="364">
        <f t="shared" si="206"/>
        <v>63.830500000000001</v>
      </c>
      <c r="C499" s="337">
        <f t="shared" si="187"/>
        <v>14.473649468510954</v>
      </c>
      <c r="D499" s="338">
        <f t="shared" si="188"/>
        <v>1.501650164855387</v>
      </c>
      <c r="E499" s="338">
        <f t="shared" si="189"/>
        <v>1.0046217481302602</v>
      </c>
      <c r="F499" s="339">
        <f t="shared" si="190"/>
        <v>9.5958507584329472E-2</v>
      </c>
      <c r="G499" s="338">
        <f t="shared" si="191"/>
        <v>1</v>
      </c>
      <c r="H499" s="339">
        <f t="shared" si="192"/>
        <v>0</v>
      </c>
      <c r="I499" s="337">
        <f t="shared" si="193"/>
        <v>38511.576711748989</v>
      </c>
      <c r="J499" s="340">
        <f t="shared" si="194"/>
        <v>1.5707703605768009</v>
      </c>
      <c r="K499" s="348">
        <f t="shared" si="210"/>
        <v>9.9764513124925465</v>
      </c>
      <c r="L499" s="349">
        <f t="shared" si="211"/>
        <v>1.4703916709385689</v>
      </c>
      <c r="M499" s="337">
        <f t="shared" si="195"/>
        <v>1.1584235642371423</v>
      </c>
      <c r="N499" s="340">
        <f t="shared" si="196"/>
        <v>0.52913881471492219</v>
      </c>
      <c r="O499" s="341">
        <f t="shared" si="197"/>
        <v>1.0572540761020939</v>
      </c>
      <c r="P499" s="342">
        <f t="shared" si="198"/>
        <v>0.8926386676475071</v>
      </c>
      <c r="Q499" s="343">
        <f t="shared" si="199"/>
        <v>-1.4557314097690006</v>
      </c>
      <c r="R499" s="344">
        <f t="shared" si="200"/>
        <v>-167.75332386549513</v>
      </c>
      <c r="S499" s="346">
        <f t="shared" si="201"/>
        <v>12.246676134504867</v>
      </c>
      <c r="U499" s="319">
        <f t="shared" si="207"/>
        <v>63830.5</v>
      </c>
      <c r="V499" s="319">
        <f t="shared" si="208"/>
        <v>4074332730.25</v>
      </c>
      <c r="X499" s="345">
        <f t="shared" si="202"/>
        <v>24.697572494327098</v>
      </c>
      <c r="Y499" s="346">
        <f t="shared" si="203"/>
        <v>-36.068696170258654</v>
      </c>
      <c r="AA499" s="345">
        <f t="shared" si="204"/>
        <v>36.086437430293884</v>
      </c>
      <c r="AB499" s="346">
        <f t="shared" si="205"/>
        <v>-131.68462769523654</v>
      </c>
      <c r="AD499">
        <f t="shared" si="209"/>
        <v>0</v>
      </c>
      <c r="AE499">
        <f t="shared" si="212"/>
        <v>0</v>
      </c>
    </row>
    <row r="500" spans="1:31" x14ac:dyDescent="0.25">
      <c r="A500" s="347">
        <v>64197.75</v>
      </c>
      <c r="B500" s="364">
        <f t="shared" si="206"/>
        <v>64.197749999999999</v>
      </c>
      <c r="C500" s="337">
        <f t="shared" si="187"/>
        <v>14.556527501771185</v>
      </c>
      <c r="D500" s="338">
        <f t="shared" si="188"/>
        <v>1.5020444738946936</v>
      </c>
      <c r="E500" s="338">
        <f t="shared" si="189"/>
        <v>1.0046749596619422</v>
      </c>
      <c r="F500" s="339">
        <f t="shared" si="190"/>
        <v>9.6507194725239637E-2</v>
      </c>
      <c r="G500" s="338">
        <f t="shared" si="191"/>
        <v>1</v>
      </c>
      <c r="H500" s="339">
        <f t="shared" si="192"/>
        <v>0</v>
      </c>
      <c r="I500" s="337">
        <f t="shared" si="193"/>
        <v>38733.153803231602</v>
      </c>
      <c r="J500" s="340">
        <f t="shared" si="194"/>
        <v>1.5707705091192901</v>
      </c>
      <c r="K500" s="348">
        <f t="shared" si="210"/>
        <v>10.033275938626936</v>
      </c>
      <c r="L500" s="349">
        <f t="shared" si="211"/>
        <v>1.4709622266474427</v>
      </c>
      <c r="M500" s="337">
        <f t="shared" si="195"/>
        <v>1.1601255317963652</v>
      </c>
      <c r="N500" s="340">
        <f t="shared" si="196"/>
        <v>0.53164227018332455</v>
      </c>
      <c r="O500" s="341">
        <f t="shared" si="197"/>
        <v>1.0585220776231019</v>
      </c>
      <c r="P500" s="342">
        <f t="shared" si="198"/>
        <v>0.89830487888654864</v>
      </c>
      <c r="Q500" s="343">
        <f t="shared" si="199"/>
        <v>-1.5285269677827706</v>
      </c>
      <c r="R500" s="344">
        <f t="shared" si="200"/>
        <v>-168.17988415143867</v>
      </c>
      <c r="S500" s="346">
        <f t="shared" si="201"/>
        <v>11.820115848561329</v>
      </c>
      <c r="U500" s="319">
        <f t="shared" si="207"/>
        <v>64197.75</v>
      </c>
      <c r="V500" s="319">
        <f t="shared" si="208"/>
        <v>4121351105.0625</v>
      </c>
      <c r="X500" s="345">
        <f t="shared" si="202"/>
        <v>24.684322628758775</v>
      </c>
      <c r="Y500" s="346">
        <f t="shared" si="203"/>
        <v>-36.179451679685755</v>
      </c>
      <c r="AA500" s="345">
        <f t="shared" si="204"/>
        <v>36.02689173784843</v>
      </c>
      <c r="AB500" s="346">
        <f t="shared" si="205"/>
        <v>-132.00043247175296</v>
      </c>
      <c r="AD500">
        <f t="shared" si="209"/>
        <v>0</v>
      </c>
      <c r="AE500">
        <f t="shared" si="212"/>
        <v>0</v>
      </c>
    </row>
    <row r="501" spans="1:31" x14ac:dyDescent="0.25">
      <c r="A501" s="347">
        <v>64565</v>
      </c>
      <c r="B501" s="364">
        <f t="shared" si="206"/>
        <v>64.564999999999998</v>
      </c>
      <c r="C501" s="337">
        <f t="shared" si="187"/>
        <v>14.63940777264877</v>
      </c>
      <c r="D501" s="338">
        <f t="shared" si="188"/>
        <v>1.5024343182724504</v>
      </c>
      <c r="E501" s="338">
        <f t="shared" si="189"/>
        <v>1.0047284736265438</v>
      </c>
      <c r="F501" s="339">
        <f t="shared" si="190"/>
        <v>9.7055823582827661E-2</v>
      </c>
      <c r="G501" s="338">
        <f t="shared" si="191"/>
        <v>1</v>
      </c>
      <c r="H501" s="339">
        <f t="shared" si="192"/>
        <v>0</v>
      </c>
      <c r="I501" s="337">
        <f t="shared" si="193"/>
        <v>38954.730894715067</v>
      </c>
      <c r="J501" s="340">
        <f t="shared" si="194"/>
        <v>1.5707706559719403</v>
      </c>
      <c r="K501" s="348">
        <f t="shared" si="210"/>
        <v>10.09010379414301</v>
      </c>
      <c r="L501" s="349">
        <f t="shared" si="211"/>
        <v>1.471526355754522</v>
      </c>
      <c r="M501" s="337">
        <f t="shared" si="195"/>
        <v>1.1618347488693013</v>
      </c>
      <c r="N501" s="340">
        <f t="shared" si="196"/>
        <v>0.53413837540971409</v>
      </c>
      <c r="O501" s="341">
        <f t="shared" si="197"/>
        <v>1.0598101938615136</v>
      </c>
      <c r="P501" s="342">
        <f t="shared" si="198"/>
        <v>0.90397387911742244</v>
      </c>
      <c r="Q501" s="343">
        <f t="shared" si="199"/>
        <v>-1.6012191743380055</v>
      </c>
      <c r="R501" s="344">
        <f t="shared" si="200"/>
        <v>-168.60629875046081</v>
      </c>
      <c r="S501" s="346">
        <f t="shared" si="201"/>
        <v>11.393701249539191</v>
      </c>
      <c r="U501" s="319">
        <f t="shared" si="207"/>
        <v>64565</v>
      </c>
      <c r="V501" s="319">
        <f t="shared" si="208"/>
        <v>4168639225</v>
      </c>
      <c r="X501" s="345">
        <f t="shared" si="202"/>
        <v>24.671045675134245</v>
      </c>
      <c r="Y501" s="346">
        <f t="shared" si="203"/>
        <v>-36.290154171605863</v>
      </c>
      <c r="AA501" s="345">
        <f t="shared" si="204"/>
        <v>35.967476484917725</v>
      </c>
      <c r="AB501" s="346">
        <f t="shared" si="205"/>
        <v>-132.31614457885493</v>
      </c>
      <c r="AD501">
        <f t="shared" si="209"/>
        <v>0</v>
      </c>
      <c r="AE501">
        <f t="shared" si="212"/>
        <v>0</v>
      </c>
    </row>
    <row r="502" spans="1:31" x14ac:dyDescent="0.25">
      <c r="A502" s="347">
        <v>64941</v>
      </c>
      <c r="B502" s="364">
        <f t="shared" si="206"/>
        <v>64.941000000000003</v>
      </c>
      <c r="C502" s="337">
        <f t="shared" si="187"/>
        <v>14.724265005395285</v>
      </c>
      <c r="D502" s="338">
        <f t="shared" si="188"/>
        <v>1.5028289040941285</v>
      </c>
      <c r="E502" s="338">
        <f t="shared" si="189"/>
        <v>1.0047835758773396</v>
      </c>
      <c r="F502" s="339">
        <f t="shared" si="190"/>
        <v>9.7617463206471328E-2</v>
      </c>
      <c r="G502" s="338">
        <f t="shared" si="191"/>
        <v>1</v>
      </c>
      <c r="H502" s="339">
        <f t="shared" si="192"/>
        <v>0</v>
      </c>
      <c r="I502" s="337">
        <f t="shared" si="193"/>
        <v>39181.587222551949</v>
      </c>
      <c r="J502" s="340">
        <f t="shared" si="194"/>
        <v>1.5707708046026887</v>
      </c>
      <c r="K502" s="348">
        <f t="shared" si="210"/>
        <v>10.148288903962877</v>
      </c>
      <c r="L502" s="349">
        <f t="shared" si="211"/>
        <v>1.4720973799145163</v>
      </c>
      <c r="M502" s="337">
        <f t="shared" si="195"/>
        <v>1.1635921665873645</v>
      </c>
      <c r="N502" s="340">
        <f t="shared" si="196"/>
        <v>0.53668633857255388</v>
      </c>
      <c r="O502" s="341">
        <f t="shared" si="197"/>
        <v>1.0611500204273634</v>
      </c>
      <c r="P502" s="342">
        <f t="shared" si="198"/>
        <v>0.90978067806361684</v>
      </c>
      <c r="Q502" s="343">
        <f t="shared" si="199"/>
        <v>-1.6755401637993226</v>
      </c>
      <c r="R502" s="344">
        <f t="shared" si="200"/>
        <v>-169.04271112238567</v>
      </c>
      <c r="S502" s="346">
        <f t="shared" si="201"/>
        <v>10.957288877614332</v>
      </c>
      <c r="U502" s="319">
        <f t="shared" si="207"/>
        <v>64941</v>
      </c>
      <c r="V502" s="319">
        <f t="shared" si="208"/>
        <v>4217333481</v>
      </c>
      <c r="X502" s="345">
        <f t="shared" si="202"/>
        <v>24.657424569231296</v>
      </c>
      <c r="Y502" s="346">
        <f t="shared" si="203"/>
        <v>-36.403432948867732</v>
      </c>
      <c r="AA502" s="345">
        <f t="shared" si="204"/>
        <v>35.906776601359361</v>
      </c>
      <c r="AB502" s="346">
        <f t="shared" si="205"/>
        <v>-132.63927817351791</v>
      </c>
      <c r="AD502">
        <f t="shared" si="209"/>
        <v>0</v>
      </c>
      <c r="AE502">
        <f t="shared" si="212"/>
        <v>0</v>
      </c>
    </row>
    <row r="503" spans="1:31" x14ac:dyDescent="0.25">
      <c r="A503" s="347">
        <v>65317</v>
      </c>
      <c r="B503" s="364">
        <f t="shared" si="206"/>
        <v>65.316999999999993</v>
      </c>
      <c r="C503" s="337">
        <f t="shared" si="187"/>
        <v>14.809124504406993</v>
      </c>
      <c r="D503" s="338">
        <f t="shared" si="188"/>
        <v>1.5032189678510857</v>
      </c>
      <c r="E503" s="338">
        <f t="shared" si="189"/>
        <v>1.0048389950413099</v>
      </c>
      <c r="F503" s="339">
        <f t="shared" si="190"/>
        <v>9.8179041055828156E-2</v>
      </c>
      <c r="G503" s="338">
        <f t="shared" si="191"/>
        <v>1</v>
      </c>
      <c r="H503" s="339">
        <f t="shared" si="192"/>
        <v>0</v>
      </c>
      <c r="I503" s="337">
        <f t="shared" si="193"/>
        <v>39408.443550389689</v>
      </c>
      <c r="J503" s="340">
        <f t="shared" si="194"/>
        <v>1.570770951522239</v>
      </c>
      <c r="K503" s="348">
        <f t="shared" si="210"/>
        <v>10.206477285092037</v>
      </c>
      <c r="L503" s="349">
        <f t="shared" si="211"/>
        <v>1.4726618932990334</v>
      </c>
      <c r="M503" s="337">
        <f t="shared" si="195"/>
        <v>1.1653571156683553</v>
      </c>
      <c r="N503" s="340">
        <f t="shared" si="196"/>
        <v>0.53922660033634306</v>
      </c>
      <c r="O503" s="341">
        <f t="shared" si="197"/>
        <v>1.0625112981023275</v>
      </c>
      <c r="P503" s="342">
        <f t="shared" si="198"/>
        <v>0.91559007584401075</v>
      </c>
      <c r="Q503" s="343">
        <f t="shared" si="199"/>
        <v>-1.7497606866448101</v>
      </c>
      <c r="R503" s="344">
        <f t="shared" si="200"/>
        <v>-169.47894852497413</v>
      </c>
      <c r="S503" s="346">
        <f t="shared" si="201"/>
        <v>10.521051475025871</v>
      </c>
      <c r="U503" s="319">
        <f t="shared" si="207"/>
        <v>65317</v>
      </c>
      <c r="V503" s="319">
        <f t="shared" si="208"/>
        <v>4266310489</v>
      </c>
      <c r="X503" s="345">
        <f t="shared" si="202"/>
        <v>24.643775569719629</v>
      </c>
      <c r="Y503" s="346">
        <f t="shared" si="203"/>
        <v>-36.516643410379352</v>
      </c>
      <c r="AA503" s="345">
        <f t="shared" si="204"/>
        <v>35.846205078025541</v>
      </c>
      <c r="AB503" s="346">
        <f t="shared" si="205"/>
        <v>-132.96230511459476</v>
      </c>
      <c r="AD503">
        <f t="shared" si="209"/>
        <v>0</v>
      </c>
      <c r="AE503">
        <f t="shared" si="212"/>
        <v>0</v>
      </c>
    </row>
    <row r="504" spans="1:31" x14ac:dyDescent="0.25">
      <c r="A504" s="347">
        <v>65693</v>
      </c>
      <c r="B504" s="364">
        <f t="shared" si="206"/>
        <v>65.692999999999998</v>
      </c>
      <c r="C504" s="337">
        <f t="shared" si="187"/>
        <v>14.89398623094729</v>
      </c>
      <c r="D504" s="338">
        <f t="shared" si="188"/>
        <v>1.5036045867199419</v>
      </c>
      <c r="E504" s="338">
        <f t="shared" si="189"/>
        <v>1.0048947310660219</v>
      </c>
      <c r="F504" s="339">
        <f t="shared" si="190"/>
        <v>9.8740556786938716E-2</v>
      </c>
      <c r="G504" s="338">
        <f t="shared" si="191"/>
        <v>1</v>
      </c>
      <c r="H504" s="339">
        <f t="shared" si="192"/>
        <v>0</v>
      </c>
      <c r="I504" s="337">
        <f t="shared" si="193"/>
        <v>39635.299878228274</v>
      </c>
      <c r="J504" s="340">
        <f t="shared" si="194"/>
        <v>1.5707710967599737</v>
      </c>
      <c r="K504" s="348">
        <f t="shared" si="210"/>
        <v>10.264668881897274</v>
      </c>
      <c r="L504" s="349">
        <f t="shared" si="211"/>
        <v>1.4732200062762066</v>
      </c>
      <c r="M504" s="337">
        <f t="shared" si="195"/>
        <v>1.167129561945188</v>
      </c>
      <c r="N504" s="340">
        <f t="shared" si="196"/>
        <v>0.54175916292970205</v>
      </c>
      <c r="O504" s="341">
        <f t="shared" si="197"/>
        <v>1.0638942112614003</v>
      </c>
      <c r="P504" s="342">
        <f t="shared" si="198"/>
        <v>0.92140190525002474</v>
      </c>
      <c r="Q504" s="343">
        <f t="shared" si="199"/>
        <v>-1.8238846038493974</v>
      </c>
      <c r="R504" s="344">
        <f t="shared" si="200"/>
        <v>-169.91499962522812</v>
      </c>
      <c r="S504" s="346">
        <f t="shared" si="201"/>
        <v>10.08500037477188</v>
      </c>
      <c r="U504" s="319">
        <f t="shared" si="207"/>
        <v>65693</v>
      </c>
      <c r="V504" s="319">
        <f t="shared" si="208"/>
        <v>4315570249</v>
      </c>
      <c r="X504" s="345">
        <f t="shared" si="202"/>
        <v>24.630098934966156</v>
      </c>
      <c r="Y504" s="346">
        <f t="shared" si="203"/>
        <v>-36.62977936188652</v>
      </c>
      <c r="AA504" s="345">
        <f t="shared" si="204"/>
        <v>35.785757795574426</v>
      </c>
      <c r="AB504" s="346">
        <f t="shared" si="205"/>
        <v>-133.28522026334159</v>
      </c>
      <c r="AD504">
        <f t="shared" si="209"/>
        <v>0</v>
      </c>
      <c r="AE504">
        <f t="shared" si="212"/>
        <v>0</v>
      </c>
    </row>
    <row r="505" spans="1:31" x14ac:dyDescent="0.25">
      <c r="A505" s="347">
        <v>66069</v>
      </c>
      <c r="B505" s="364">
        <f t="shared" si="206"/>
        <v>66.069000000000003</v>
      </c>
      <c r="C505" s="337">
        <f t="shared" si="187"/>
        <v>14.978850147156416</v>
      </c>
      <c r="D505" s="338">
        <f t="shared" si="188"/>
        <v>1.5039858361336715</v>
      </c>
      <c r="E505" s="338">
        <f t="shared" si="189"/>
        <v>1.0049507838987553</v>
      </c>
      <c r="F505" s="339">
        <f t="shared" si="190"/>
        <v>9.9302010056076404E-2</v>
      </c>
      <c r="G505" s="338">
        <f t="shared" si="191"/>
        <v>1</v>
      </c>
      <c r="H505" s="339">
        <f t="shared" si="192"/>
        <v>0</v>
      </c>
      <c r="I505" s="337">
        <f t="shared" si="193"/>
        <v>39862.156206067681</v>
      </c>
      <c r="J505" s="340">
        <f t="shared" si="194"/>
        <v>1.5707712403446068</v>
      </c>
      <c r="K505" s="348">
        <f t="shared" si="210"/>
        <v>10.322863639996781</v>
      </c>
      <c r="L505" s="349">
        <f t="shared" si="211"/>
        <v>1.4737718267415409</v>
      </c>
      <c r="M505" s="337">
        <f t="shared" si="195"/>
        <v>1.1689094713133139</v>
      </c>
      <c r="N505" s="340">
        <f t="shared" si="196"/>
        <v>0.54428402896281214</v>
      </c>
      <c r="O505" s="341">
        <f t="shared" si="197"/>
        <v>1.0652989435492113</v>
      </c>
      <c r="P505" s="342">
        <f t="shared" si="198"/>
        <v>0.92721599712553915</v>
      </c>
      <c r="Q505" s="343">
        <f t="shared" si="199"/>
        <v>-1.8979156974244937</v>
      </c>
      <c r="R505" s="344">
        <f t="shared" si="200"/>
        <v>-170.35085304214158</v>
      </c>
      <c r="S505" s="346">
        <f t="shared" si="201"/>
        <v>9.6491469578584201</v>
      </c>
      <c r="U505" s="319">
        <f t="shared" si="207"/>
        <v>66069</v>
      </c>
      <c r="V505" s="319">
        <f t="shared" si="208"/>
        <v>4365112761</v>
      </c>
      <c r="X505" s="345">
        <f t="shared" si="202"/>
        <v>24.616394926501716</v>
      </c>
      <c r="Y505" s="346">
        <f t="shared" si="203"/>
        <v>-36.742834772629742</v>
      </c>
      <c r="AA505" s="345">
        <f t="shared" si="204"/>
        <v>35.725430710463769</v>
      </c>
      <c r="AB505" s="346">
        <f t="shared" si="205"/>
        <v>-133.60801826951186</v>
      </c>
      <c r="AD505">
        <f t="shared" si="209"/>
        <v>0</v>
      </c>
      <c r="AE505">
        <f t="shared" si="212"/>
        <v>0</v>
      </c>
    </row>
    <row r="506" spans="1:31" x14ac:dyDescent="0.25">
      <c r="A506" s="347">
        <v>66453.75</v>
      </c>
      <c r="B506" s="364">
        <f t="shared" si="206"/>
        <v>66.453749999999999</v>
      </c>
      <c r="C506" s="337">
        <f t="shared" si="187"/>
        <v>15.065691183127432</v>
      </c>
      <c r="D506" s="338">
        <f t="shared" si="188"/>
        <v>1.504371511459716</v>
      </c>
      <c r="E506" s="338">
        <f t="shared" si="189"/>
        <v>1.005008469049758</v>
      </c>
      <c r="F506" s="339">
        <f t="shared" si="190"/>
        <v>9.9876464041962168E-2</v>
      </c>
      <c r="G506" s="338">
        <f t="shared" si="191"/>
        <v>1</v>
      </c>
      <c r="H506" s="339">
        <f t="shared" si="192"/>
        <v>0</v>
      </c>
      <c r="I506" s="337">
        <f t="shared" si="193"/>
        <v>40094.291770260577</v>
      </c>
      <c r="J506" s="340">
        <f t="shared" si="194"/>
        <v>1.5707713855886563</v>
      </c>
      <c r="K506" s="348">
        <f t="shared" si="210"/>
        <v>10.382415881454511</v>
      </c>
      <c r="L506" s="349">
        <f t="shared" si="211"/>
        <v>1.4743300849409702</v>
      </c>
      <c r="M506" s="337">
        <f t="shared" si="195"/>
        <v>1.1707384915595638</v>
      </c>
      <c r="N506" s="340">
        <f t="shared" si="196"/>
        <v>0.54685968766245607</v>
      </c>
      <c r="O506" s="341">
        <f t="shared" si="197"/>
        <v>1.0667591432046348</v>
      </c>
      <c r="P506" s="342">
        <f t="shared" si="198"/>
        <v>0.93316755393644979</v>
      </c>
      <c r="Q506" s="343">
        <f t="shared" si="199"/>
        <v>-1.9735773637774217</v>
      </c>
      <c r="R506" s="344">
        <f t="shared" si="200"/>
        <v>-170.79663276509837</v>
      </c>
      <c r="S506" s="346">
        <f t="shared" si="201"/>
        <v>9.2033672349016342</v>
      </c>
      <c r="U506" s="319">
        <f t="shared" si="207"/>
        <v>66453.75</v>
      </c>
      <c r="V506" s="319">
        <f t="shared" si="208"/>
        <v>4416100889.0625</v>
      </c>
      <c r="X506" s="345">
        <f t="shared" si="202"/>
        <v>24.60234394755139</v>
      </c>
      <c r="Y506" s="346">
        <f t="shared" si="203"/>
        <v>-36.858431628882734</v>
      </c>
      <c r="AA506" s="345">
        <f t="shared" si="204"/>
        <v>35.663820023061163</v>
      </c>
      <c r="AB506" s="346">
        <f t="shared" si="205"/>
        <v>-133.93820113621561</v>
      </c>
      <c r="AD506">
        <f t="shared" si="209"/>
        <v>0</v>
      </c>
      <c r="AE506">
        <f t="shared" si="212"/>
        <v>0</v>
      </c>
    </row>
    <row r="507" spans="1:31" x14ac:dyDescent="0.25">
      <c r="A507" s="347">
        <v>66838.5</v>
      </c>
      <c r="B507" s="364">
        <f t="shared" si="206"/>
        <v>66.838499999999996</v>
      </c>
      <c r="C507" s="337">
        <f t="shared" si="187"/>
        <v>15.152534434365018</v>
      </c>
      <c r="D507" s="338">
        <f t="shared" si="188"/>
        <v>1.5047527660238311</v>
      </c>
      <c r="E507" s="338">
        <f t="shared" si="189"/>
        <v>1.0050664858127909</v>
      </c>
      <c r="F507" s="339">
        <f t="shared" si="190"/>
        <v>0.10045085189746358</v>
      </c>
      <c r="G507" s="338">
        <f t="shared" si="191"/>
        <v>1</v>
      </c>
      <c r="H507" s="339">
        <f t="shared" si="192"/>
        <v>0</v>
      </c>
      <c r="I507" s="337">
        <f t="shared" si="193"/>
        <v>40326.427334454303</v>
      </c>
      <c r="J507" s="340">
        <f t="shared" si="194"/>
        <v>1.5707715291605362</v>
      </c>
      <c r="K507" s="348">
        <f t="shared" si="210"/>
        <v>10.44197132170712</v>
      </c>
      <c r="L507" s="349">
        <f t="shared" si="211"/>
        <v>1.4748819752961801</v>
      </c>
      <c r="M507" s="337">
        <f t="shared" si="195"/>
        <v>1.1725752542462382</v>
      </c>
      <c r="N507" s="340">
        <f t="shared" si="196"/>
        <v>0.54942729414843683</v>
      </c>
      <c r="O507" s="341">
        <f t="shared" si="197"/>
        <v>1.0682425758980885</v>
      </c>
      <c r="P507" s="342">
        <f t="shared" si="198"/>
        <v>0.93912111532313625</v>
      </c>
      <c r="Q507" s="343">
        <f t="shared" si="199"/>
        <v>-2.0491495995819884</v>
      </c>
      <c r="R507" s="344">
        <f t="shared" si="200"/>
        <v>-171.24218123670911</v>
      </c>
      <c r="S507" s="346">
        <f t="shared" si="201"/>
        <v>8.757818763290885</v>
      </c>
      <c r="U507" s="319">
        <f t="shared" si="207"/>
        <v>66838.5</v>
      </c>
      <c r="V507" s="319">
        <f t="shared" si="208"/>
        <v>4467385082.25</v>
      </c>
      <c r="X507" s="345">
        <f t="shared" si="202"/>
        <v>24.588264869379998</v>
      </c>
      <c r="Y507" s="346">
        <f t="shared" si="203"/>
        <v>-36.973931882067127</v>
      </c>
      <c r="AA507" s="345">
        <f t="shared" si="204"/>
        <v>35.602326865427983</v>
      </c>
      <c r="AB507" s="346">
        <f t="shared" si="205"/>
        <v>-134.26824935464202</v>
      </c>
      <c r="AD507">
        <f t="shared" si="209"/>
        <v>0</v>
      </c>
      <c r="AE507">
        <f t="shared" si="212"/>
        <v>0</v>
      </c>
    </row>
    <row r="508" spans="1:31" x14ac:dyDescent="0.25">
      <c r="A508" s="347">
        <v>67223.25</v>
      </c>
      <c r="B508" s="364">
        <f t="shared" si="206"/>
        <v>67.223249999999993</v>
      </c>
      <c r="C508" s="337">
        <f t="shared" si="187"/>
        <v>15.239379862997374</v>
      </c>
      <c r="D508" s="338">
        <f t="shared" si="188"/>
        <v>1.5051296752926857</v>
      </c>
      <c r="E508" s="338">
        <f t="shared" si="189"/>
        <v>1.0051248341304309</v>
      </c>
      <c r="F508" s="339">
        <f t="shared" si="190"/>
        <v>0.10102517325505925</v>
      </c>
      <c r="G508" s="338">
        <f t="shared" si="191"/>
        <v>1</v>
      </c>
      <c r="H508" s="339">
        <f t="shared" si="192"/>
        <v>0</v>
      </c>
      <c r="I508" s="337">
        <f t="shared" si="193"/>
        <v>40558.562898648866</v>
      </c>
      <c r="J508" s="340">
        <f t="shared" si="194"/>
        <v>1.5707716710889585</v>
      </c>
      <c r="K508" s="348">
        <f t="shared" si="210"/>
        <v>10.501529906332356</v>
      </c>
      <c r="L508" s="349">
        <f t="shared" si="211"/>
        <v>1.4754276058122384</v>
      </c>
      <c r="M508" s="337">
        <f t="shared" si="195"/>
        <v>1.1744197230463957</v>
      </c>
      <c r="N508" s="340">
        <f t="shared" si="196"/>
        <v>0.55198685242615764</v>
      </c>
      <c r="O508" s="341">
        <f t="shared" si="197"/>
        <v>1.0697494358071187</v>
      </c>
      <c r="P508" s="342">
        <f t="shared" si="198"/>
        <v>0.94507649399984595</v>
      </c>
      <c r="Q508" s="343">
        <f t="shared" si="199"/>
        <v>-2.1246362070418856</v>
      </c>
      <c r="R508" s="344">
        <f t="shared" si="200"/>
        <v>-171.687486114173</v>
      </c>
      <c r="S508" s="346">
        <f t="shared" si="201"/>
        <v>8.312513885827002</v>
      </c>
      <c r="U508" s="319">
        <f t="shared" si="207"/>
        <v>67223.25</v>
      </c>
      <c r="V508" s="319">
        <f t="shared" si="208"/>
        <v>4518965340.5625</v>
      </c>
      <c r="X508" s="345">
        <f t="shared" si="202"/>
        <v>24.574157981216828</v>
      </c>
      <c r="Y508" s="346">
        <f t="shared" si="203"/>
        <v>-37.089329575086062</v>
      </c>
      <c r="AA508" s="345">
        <f t="shared" si="204"/>
        <v>35.540947146131266</v>
      </c>
      <c r="AB508" s="346">
        <f t="shared" si="205"/>
        <v>-134.59815653908694</v>
      </c>
      <c r="AD508">
        <f t="shared" si="209"/>
        <v>0</v>
      </c>
      <c r="AE508">
        <f t="shared" si="212"/>
        <v>0</v>
      </c>
    </row>
    <row r="509" spans="1:31" x14ac:dyDescent="0.25">
      <c r="A509" s="347">
        <v>67608</v>
      </c>
      <c r="B509" s="364">
        <f t="shared" si="206"/>
        <v>67.608000000000004</v>
      </c>
      <c r="C509" s="337">
        <f t="shared" si="187"/>
        <v>15.326227432010146</v>
      </c>
      <c r="D509" s="338">
        <f t="shared" si="188"/>
        <v>1.505502313027395</v>
      </c>
      <c r="E509" s="338">
        <f t="shared" si="189"/>
        <v>1.0051835139449405</v>
      </c>
      <c r="F509" s="339">
        <f t="shared" si="190"/>
        <v>0.10159942774748831</v>
      </c>
      <c r="G509" s="338">
        <f t="shared" si="191"/>
        <v>1</v>
      </c>
      <c r="H509" s="339">
        <f t="shared" si="192"/>
        <v>0</v>
      </c>
      <c r="I509" s="337">
        <f t="shared" si="193"/>
        <v>40790.69846284423</v>
      </c>
      <c r="J509" s="340">
        <f t="shared" si="194"/>
        <v>1.5707718114019815</v>
      </c>
      <c r="K509" s="348">
        <f t="shared" si="210"/>
        <v>10.561091582132764</v>
      </c>
      <c r="L509" s="349">
        <f t="shared" si="211"/>
        <v>1.4759670820728388</v>
      </c>
      <c r="M509" s="337">
        <f t="shared" si="195"/>
        <v>1.1762718617090147</v>
      </c>
      <c r="N509" s="340">
        <f t="shared" si="196"/>
        <v>0.55453836689776215</v>
      </c>
      <c r="O509" s="341">
        <f t="shared" si="197"/>
        <v>1.0712799161648321</v>
      </c>
      <c r="P509" s="342">
        <f t="shared" si="198"/>
        <v>0.951033500745323</v>
      </c>
      <c r="Q509" s="343">
        <f t="shared" si="199"/>
        <v>-2.2000409062175854</v>
      </c>
      <c r="R509" s="344">
        <f t="shared" si="200"/>
        <v>-172.1325350074855</v>
      </c>
      <c r="S509" s="346">
        <f t="shared" si="201"/>
        <v>7.867464992514499</v>
      </c>
      <c r="U509" s="319">
        <f t="shared" si="207"/>
        <v>67608</v>
      </c>
      <c r="V509" s="319">
        <f t="shared" si="208"/>
        <v>4570841664</v>
      </c>
      <c r="X509" s="345">
        <f t="shared" si="202"/>
        <v>24.560023574925051</v>
      </c>
      <c r="Y509" s="346">
        <f t="shared" si="203"/>
        <v>-37.204618912271414</v>
      </c>
      <c r="AA509" s="345">
        <f t="shared" si="204"/>
        <v>35.479676853247341</v>
      </c>
      <c r="AB509" s="346">
        <f t="shared" si="205"/>
        <v>-134.9279160952141</v>
      </c>
      <c r="AD509">
        <f t="shared" si="209"/>
        <v>0</v>
      </c>
      <c r="AE509">
        <f t="shared" si="212"/>
        <v>0</v>
      </c>
    </row>
    <row r="510" spans="1:31" x14ac:dyDescent="0.25">
      <c r="A510" s="347">
        <v>68001.75</v>
      </c>
      <c r="B510" s="364">
        <f t="shared" si="206"/>
        <v>68.001750000000001</v>
      </c>
      <c r="C510" s="337">
        <f t="shared" si="187"/>
        <v>15.41510870142463</v>
      </c>
      <c r="D510" s="338">
        <f t="shared" si="188"/>
        <v>1.5058793200783605</v>
      </c>
      <c r="E510" s="338">
        <f t="shared" si="189"/>
        <v>1.0052439095451466</v>
      </c>
      <c r="F510" s="339">
        <f t="shared" si="190"/>
        <v>0.10218704548099744</v>
      </c>
      <c r="G510" s="338">
        <f t="shared" si="191"/>
        <v>1</v>
      </c>
      <c r="H510" s="339">
        <f t="shared" si="192"/>
        <v>0</v>
      </c>
      <c r="I510" s="337">
        <f t="shared" si="193"/>
        <v>41028.264098717496</v>
      </c>
      <c r="J510" s="340">
        <f t="shared" si="194"/>
        <v>1.5707719533532689</v>
      </c>
      <c r="K510" s="348">
        <f t="shared" si="210"/>
        <v>10.622049659732008</v>
      </c>
      <c r="L510" s="349">
        <f t="shared" si="211"/>
        <v>1.4765129134824473</v>
      </c>
      <c r="M510" s="337">
        <f t="shared" si="195"/>
        <v>1.1781752285874469</v>
      </c>
      <c r="N510" s="340">
        <f t="shared" si="196"/>
        <v>0.55714124267680365</v>
      </c>
      <c r="O510" s="341">
        <f t="shared" si="197"/>
        <v>1.072870853528453</v>
      </c>
      <c r="P510" s="342">
        <f t="shared" si="198"/>
        <v>0.95713133890233426</v>
      </c>
      <c r="Q510" s="343">
        <f t="shared" si="199"/>
        <v>-2.2771284498557955</v>
      </c>
      <c r="R510" s="344">
        <f t="shared" si="200"/>
        <v>-172.5877163891754</v>
      </c>
      <c r="S510" s="346">
        <f t="shared" si="201"/>
        <v>7.412283610824602</v>
      </c>
      <c r="U510" s="319">
        <f t="shared" si="207"/>
        <v>68001.75</v>
      </c>
      <c r="V510" s="319">
        <f t="shared" si="208"/>
        <v>4624238003.0625</v>
      </c>
      <c r="X510" s="345">
        <f t="shared" si="202"/>
        <v>24.545530355143612</v>
      </c>
      <c r="Y510" s="346">
        <f t="shared" si="203"/>
        <v>-37.322487006255422</v>
      </c>
      <c r="AA510" s="345">
        <f t="shared" si="204"/>
        <v>35.417082529390569</v>
      </c>
      <c r="AB510" s="346">
        <f t="shared" si="205"/>
        <v>-135.26522938291998</v>
      </c>
      <c r="AD510">
        <f t="shared" si="209"/>
        <v>0</v>
      </c>
      <c r="AE510">
        <f t="shared" si="212"/>
        <v>0</v>
      </c>
    </row>
    <row r="511" spans="1:31" x14ac:dyDescent="0.25">
      <c r="A511" s="347">
        <v>68395.5</v>
      </c>
      <c r="B511" s="364">
        <f t="shared" si="206"/>
        <v>68.395499999999998</v>
      </c>
      <c r="C511" s="337">
        <f t="shared" si="187"/>
        <v>15.503992136733567</v>
      </c>
      <c r="D511" s="338">
        <f t="shared" si="188"/>
        <v>1.5062520044652259</v>
      </c>
      <c r="E511" s="338">
        <f t="shared" si="189"/>
        <v>1.0053046522088713</v>
      </c>
      <c r="F511" s="339">
        <f t="shared" si="190"/>
        <v>0.10277459240711488</v>
      </c>
      <c r="G511" s="338">
        <f t="shared" si="191"/>
        <v>1</v>
      </c>
      <c r="H511" s="339">
        <f t="shared" si="192"/>
        <v>0</v>
      </c>
      <c r="I511" s="337">
        <f t="shared" si="193"/>
        <v>41265.829734591585</v>
      </c>
      <c r="J511" s="340">
        <f t="shared" si="194"/>
        <v>1.570772093670141</v>
      </c>
      <c r="K511" s="348">
        <f t="shared" si="210"/>
        <v>10.683010865862995</v>
      </c>
      <c r="L511" s="349">
        <f t="shared" si="211"/>
        <v>1.4770525156200065</v>
      </c>
      <c r="M511" s="337">
        <f t="shared" si="195"/>
        <v>1.1800865517784669</v>
      </c>
      <c r="N511" s="340">
        <f t="shared" si="196"/>
        <v>0.55973570450799859</v>
      </c>
      <c r="O511" s="341">
        <f t="shared" si="197"/>
        <v>1.0744869356244244</v>
      </c>
      <c r="P511" s="342">
        <f t="shared" si="198"/>
        <v>0.9632304752191041</v>
      </c>
      <c r="Q511" s="343">
        <f t="shared" si="199"/>
        <v>-2.354137832772023</v>
      </c>
      <c r="R511" s="344">
        <f t="shared" si="200"/>
        <v>-173.04260327014794</v>
      </c>
      <c r="S511" s="346">
        <f t="shared" si="201"/>
        <v>6.9573967298520643</v>
      </c>
      <c r="U511" s="319">
        <f t="shared" si="207"/>
        <v>68395.5</v>
      </c>
      <c r="V511" s="319">
        <f t="shared" si="208"/>
        <v>4677944420.25</v>
      </c>
      <c r="X511" s="345">
        <f t="shared" si="202"/>
        <v>24.531008940916642</v>
      </c>
      <c r="Y511" s="346">
        <f t="shared" si="203"/>
        <v>-37.440229833891408</v>
      </c>
      <c r="AA511" s="345">
        <f t="shared" si="204"/>
        <v>35.354594560701315</v>
      </c>
      <c r="AB511" s="346">
        <f t="shared" si="205"/>
        <v>-135.60237343625647</v>
      </c>
      <c r="AD511">
        <f t="shared" si="209"/>
        <v>0</v>
      </c>
      <c r="AE511">
        <f t="shared" si="212"/>
        <v>0</v>
      </c>
    </row>
    <row r="512" spans="1:31" x14ac:dyDescent="0.25">
      <c r="A512" s="347">
        <v>68789.25</v>
      </c>
      <c r="B512" s="364">
        <f t="shared" si="206"/>
        <v>68.789249999999996</v>
      </c>
      <c r="C512" s="337">
        <f t="shared" si="187"/>
        <v>15.592877700898478</v>
      </c>
      <c r="D512" s="338">
        <f t="shared" si="188"/>
        <v>1.5066204400062493</v>
      </c>
      <c r="E512" s="338">
        <f t="shared" si="189"/>
        <v>1.0053657418732074</v>
      </c>
      <c r="F512" s="339">
        <f t="shared" si="190"/>
        <v>0.103362068133056</v>
      </c>
      <c r="G512" s="338">
        <f t="shared" si="191"/>
        <v>1</v>
      </c>
      <c r="H512" s="339">
        <f t="shared" si="192"/>
        <v>0</v>
      </c>
      <c r="I512" s="337">
        <f t="shared" si="193"/>
        <v>41503.395370466467</v>
      </c>
      <c r="J512" s="340">
        <f t="shared" si="194"/>
        <v>1.5707722323806645</v>
      </c>
      <c r="K512" s="348">
        <f t="shared" si="210"/>
        <v>10.743975147271948</v>
      </c>
      <c r="L512" s="349">
        <f t="shared" si="211"/>
        <v>1.4775859942084064</v>
      </c>
      <c r="M512" s="337">
        <f t="shared" si="195"/>
        <v>1.1820057926856031</v>
      </c>
      <c r="N512" s="340">
        <f t="shared" si="196"/>
        <v>0.56232175836471765</v>
      </c>
      <c r="O512" s="341">
        <f t="shared" si="197"/>
        <v>1.0761283662598924</v>
      </c>
      <c r="P512" s="342">
        <f t="shared" si="198"/>
        <v>0.96933070094294382</v>
      </c>
      <c r="Q512" s="343">
        <f t="shared" si="199"/>
        <v>-2.4310727816873885</v>
      </c>
      <c r="R512" s="344">
        <f t="shared" si="200"/>
        <v>-173.49718222811612</v>
      </c>
      <c r="S512" s="346">
        <f t="shared" si="201"/>
        <v>6.5028177718838833</v>
      </c>
      <c r="U512" s="319">
        <f t="shared" si="207"/>
        <v>68789.25</v>
      </c>
      <c r="V512" s="319">
        <f t="shared" si="208"/>
        <v>4731960915.5625</v>
      </c>
      <c r="X512" s="345">
        <f t="shared" si="202"/>
        <v>24.516459652417137</v>
      </c>
      <c r="Y512" s="346">
        <f t="shared" si="203"/>
        <v>-37.557841681560987</v>
      </c>
      <c r="AA512" s="345">
        <f t="shared" si="204"/>
        <v>35.292208900285452</v>
      </c>
      <c r="AB512" s="346">
        <f t="shared" si="205"/>
        <v>-135.93934054655514</v>
      </c>
      <c r="AD512">
        <f t="shared" si="209"/>
        <v>0</v>
      </c>
      <c r="AE512">
        <f t="shared" si="212"/>
        <v>0</v>
      </c>
    </row>
    <row r="513" spans="1:31" x14ac:dyDescent="0.25">
      <c r="A513" s="347">
        <v>69183</v>
      </c>
      <c r="B513" s="364">
        <f t="shared" si="206"/>
        <v>69.183000000000007</v>
      </c>
      <c r="C513" s="337">
        <f t="shared" si="187"/>
        <v>15.68176535771976</v>
      </c>
      <c r="D513" s="338">
        <f t="shared" si="188"/>
        <v>1.5069846988506908</v>
      </c>
      <c r="E513" s="338">
        <f t="shared" si="189"/>
        <v>1.0054271784749036</v>
      </c>
      <c r="F513" s="339">
        <f t="shared" si="190"/>
        <v>0.10394947226632795</v>
      </c>
      <c r="G513" s="338">
        <f t="shared" si="191"/>
        <v>1</v>
      </c>
      <c r="H513" s="339">
        <f t="shared" si="192"/>
        <v>0</v>
      </c>
      <c r="I513" s="337">
        <f t="shared" si="193"/>
        <v>41740.96100634215</v>
      </c>
      <c r="J513" s="340">
        <f t="shared" si="194"/>
        <v>1.5707723695122662</v>
      </c>
      <c r="K513" s="348">
        <f t="shared" si="210"/>
        <v>10.804942451904328</v>
      </c>
      <c r="L513" s="349">
        <f t="shared" si="211"/>
        <v>1.4781134525984798</v>
      </c>
      <c r="M513" s="337">
        <f t="shared" si="195"/>
        <v>1.1839329128032838</v>
      </c>
      <c r="N513" s="340">
        <f t="shared" si="196"/>
        <v>0.56489941063151472</v>
      </c>
      <c r="O513" s="341">
        <f t="shared" si="197"/>
        <v>1.0777953480494065</v>
      </c>
      <c r="P513" s="342">
        <f t="shared" si="198"/>
        <v>0.97543180544331654</v>
      </c>
      <c r="Q513" s="343">
        <f t="shared" si="199"/>
        <v>-2.5079369376179779</v>
      </c>
      <c r="R513" s="344">
        <f t="shared" si="200"/>
        <v>-173.95143979698852</v>
      </c>
      <c r="S513" s="346">
        <f t="shared" si="201"/>
        <v>6.0485602030114762</v>
      </c>
      <c r="U513" s="319">
        <f t="shared" si="207"/>
        <v>69183</v>
      </c>
      <c r="V513" s="319">
        <f t="shared" si="208"/>
        <v>4786287489</v>
      </c>
      <c r="X513" s="345">
        <f t="shared" si="202"/>
        <v>24.501882811907564</v>
      </c>
      <c r="Y513" s="346">
        <f t="shared" si="203"/>
        <v>-37.675316995077068</v>
      </c>
      <c r="AA513" s="345">
        <f t="shared" si="204"/>
        <v>35.229921584864435</v>
      </c>
      <c r="AB513" s="346">
        <f t="shared" si="205"/>
        <v>-136.27612280191138</v>
      </c>
      <c r="AD513">
        <f t="shared" si="209"/>
        <v>0</v>
      </c>
      <c r="AE513">
        <f t="shared" si="212"/>
        <v>0</v>
      </c>
    </row>
    <row r="514" spans="1:31" x14ac:dyDescent="0.25">
      <c r="A514" s="347">
        <v>69586</v>
      </c>
      <c r="B514" s="364">
        <f t="shared" si="206"/>
        <v>69.585999999999999</v>
      </c>
      <c r="C514" s="337">
        <f t="shared" si="187"/>
        <v>15.772743299070784</v>
      </c>
      <c r="D514" s="338">
        <f t="shared" si="188"/>
        <v>1.5073532634530846</v>
      </c>
      <c r="E514" s="338">
        <f t="shared" si="189"/>
        <v>1.0054904175412815</v>
      </c>
      <c r="F514" s="339">
        <f t="shared" si="190"/>
        <v>0.10455060119027397</v>
      </c>
      <c r="G514" s="338">
        <f t="shared" si="191"/>
        <v>1</v>
      </c>
      <c r="H514" s="339">
        <f t="shared" si="192"/>
        <v>0</v>
      </c>
      <c r="I514" s="337">
        <f t="shared" si="193"/>
        <v>41984.107549220149</v>
      </c>
      <c r="J514" s="340">
        <f t="shared" si="194"/>
        <v>1.5707725082583486</v>
      </c>
      <c r="K514" s="348">
        <f t="shared" si="210"/>
        <v>10.867345081816621</v>
      </c>
      <c r="L514" s="349">
        <f t="shared" si="211"/>
        <v>1.4786471735134632</v>
      </c>
      <c r="M514" s="337">
        <f t="shared" si="195"/>
        <v>1.185913423894279</v>
      </c>
      <c r="N514" s="340">
        <f t="shared" si="196"/>
        <v>0.56752892439311031</v>
      </c>
      <c r="O514" s="341">
        <f t="shared" si="197"/>
        <v>1.0795281594199759</v>
      </c>
      <c r="P514" s="342">
        <f t="shared" si="198"/>
        <v>0.98167692574199172</v>
      </c>
      <c r="Q514" s="343">
        <f t="shared" si="199"/>
        <v>-2.5865371950204343</v>
      </c>
      <c r="R514" s="344">
        <f t="shared" si="200"/>
        <v>-174.41602191350415</v>
      </c>
      <c r="S514" s="346">
        <f t="shared" si="201"/>
        <v>5.583978086495847</v>
      </c>
      <c r="U514" s="319">
        <f t="shared" si="207"/>
        <v>69586</v>
      </c>
      <c r="V514" s="319">
        <f t="shared" si="208"/>
        <v>4842211396</v>
      </c>
      <c r="X514" s="345">
        <f t="shared" si="202"/>
        <v>24.486935339163246</v>
      </c>
      <c r="Y514" s="346">
        <f t="shared" si="203"/>
        <v>-37.795405029623815</v>
      </c>
      <c r="AA514" s="345">
        <f t="shared" si="204"/>
        <v>35.166268800206296</v>
      </c>
      <c r="AB514" s="346">
        <f t="shared" si="205"/>
        <v>-136.6206168838803</v>
      </c>
      <c r="AD514">
        <f t="shared" si="209"/>
        <v>0</v>
      </c>
      <c r="AE514">
        <f t="shared" si="212"/>
        <v>0</v>
      </c>
    </row>
    <row r="515" spans="1:31" x14ac:dyDescent="0.25">
      <c r="A515" s="347">
        <v>69989</v>
      </c>
      <c r="B515" s="364">
        <f t="shared" si="206"/>
        <v>69.989000000000004</v>
      </c>
      <c r="C515" s="337">
        <f t="shared" si="187"/>
        <v>15.863723358413871</v>
      </c>
      <c r="D515" s="338">
        <f t="shared" si="188"/>
        <v>1.5077176005938888</v>
      </c>
      <c r="E515" s="338">
        <f t="shared" si="189"/>
        <v>1.0055540199018604</v>
      </c>
      <c r="F515" s="339">
        <f t="shared" si="190"/>
        <v>0.10515165428730448</v>
      </c>
      <c r="G515" s="338">
        <f t="shared" si="191"/>
        <v>1</v>
      </c>
      <c r="H515" s="339">
        <f t="shared" si="192"/>
        <v>0</v>
      </c>
      <c r="I515" s="337">
        <f t="shared" si="193"/>
        <v>42227.254092098956</v>
      </c>
      <c r="J515" s="340">
        <f t="shared" si="194"/>
        <v>1.570772645406618</v>
      </c>
      <c r="K515" s="348">
        <f t="shared" si="210"/>
        <v>10.929750772029962</v>
      </c>
      <c r="L515" s="349">
        <f t="shared" si="211"/>
        <v>1.4791747997956939</v>
      </c>
      <c r="M515" s="337">
        <f t="shared" si="195"/>
        <v>1.187902107421984</v>
      </c>
      <c r="N515" s="340">
        <f t="shared" si="196"/>
        <v>0.57014965201337175</v>
      </c>
      <c r="O515" s="341">
        <f t="shared" si="197"/>
        <v>1.0812881620296502</v>
      </c>
      <c r="P515" s="342">
        <f t="shared" si="198"/>
        <v>0.98792251437800349</v>
      </c>
      <c r="Q515" s="343">
        <f t="shared" si="199"/>
        <v>-2.6650707414533645</v>
      </c>
      <c r="R515" s="344">
        <f t="shared" si="200"/>
        <v>-174.88023868899711</v>
      </c>
      <c r="S515" s="346">
        <f t="shared" si="201"/>
        <v>5.1197613110028897</v>
      </c>
      <c r="U515" s="319">
        <f t="shared" si="207"/>
        <v>69989</v>
      </c>
      <c r="V515" s="319">
        <f t="shared" si="208"/>
        <v>4898460121</v>
      </c>
      <c r="X515" s="345">
        <f t="shared" si="202"/>
        <v>24.471959693714179</v>
      </c>
      <c r="Y515" s="346">
        <f t="shared" si="203"/>
        <v>-37.915338760540209</v>
      </c>
      <c r="AA515" s="345">
        <f t="shared" si="204"/>
        <v>35.10271089922243</v>
      </c>
      <c r="AB515" s="346">
        <f t="shared" si="205"/>
        <v>-136.9648999284569</v>
      </c>
      <c r="AD515">
        <f t="shared" si="209"/>
        <v>0</v>
      </c>
      <c r="AE515">
        <f t="shared" si="212"/>
        <v>0</v>
      </c>
    </row>
    <row r="516" spans="1:31" x14ac:dyDescent="0.25">
      <c r="A516" s="347">
        <v>70392</v>
      </c>
      <c r="B516" s="364">
        <f t="shared" si="206"/>
        <v>70.391999999999996</v>
      </c>
      <c r="C516" s="337">
        <f t="shared" si="187"/>
        <v>15.954705499516125</v>
      </c>
      <c r="D516" s="338">
        <f t="shared" si="188"/>
        <v>1.5080777824971847</v>
      </c>
      <c r="E516" s="338">
        <f t="shared" si="189"/>
        <v>1.0056179854877088</v>
      </c>
      <c r="F516" s="339">
        <f t="shared" si="190"/>
        <v>0.10575263113756973</v>
      </c>
      <c r="G516" s="338">
        <f t="shared" si="191"/>
        <v>1</v>
      </c>
      <c r="H516" s="339">
        <f t="shared" si="192"/>
        <v>0</v>
      </c>
      <c r="I516" s="337">
        <f t="shared" si="193"/>
        <v>42470.400634978549</v>
      </c>
      <c r="J516" s="340">
        <f t="shared" si="194"/>
        <v>1.5707727809845171</v>
      </c>
      <c r="K516" s="348">
        <f t="shared" si="210"/>
        <v>10.992159470421694</v>
      </c>
      <c r="L516" s="349">
        <f t="shared" si="211"/>
        <v>1.4796964349568884</v>
      </c>
      <c r="M516" s="337">
        <f t="shared" si="195"/>
        <v>1.1898989224105068</v>
      </c>
      <c r="N516" s="340">
        <f t="shared" si="196"/>
        <v>0.57276160163607559</v>
      </c>
      <c r="O516" s="341">
        <f t="shared" si="197"/>
        <v>1.0830755689771354</v>
      </c>
      <c r="P516" s="342">
        <f t="shared" si="198"/>
        <v>0.99416833984719388</v>
      </c>
      <c r="Q516" s="343">
        <f t="shared" si="199"/>
        <v>-2.743541208389952</v>
      </c>
      <c r="R516" s="344">
        <f t="shared" si="200"/>
        <v>-175.34407555883868</v>
      </c>
      <c r="S516" s="346">
        <f t="shared" si="201"/>
        <v>4.6559244411613179</v>
      </c>
      <c r="U516" s="319">
        <f t="shared" si="207"/>
        <v>70392</v>
      </c>
      <c r="V516" s="319">
        <f t="shared" si="208"/>
        <v>4955033664</v>
      </c>
      <c r="X516" s="345">
        <f t="shared" si="202"/>
        <v>24.456956226702374</v>
      </c>
      <c r="Y516" s="346">
        <f t="shared" si="203"/>
        <v>-38.035112725218141</v>
      </c>
      <c r="AA516" s="345">
        <f t="shared" si="204"/>
        <v>35.039243899297652</v>
      </c>
      <c r="AB516" s="346">
        <f t="shared" si="205"/>
        <v>-137.30896283362057</v>
      </c>
      <c r="AD516">
        <f t="shared" si="209"/>
        <v>0</v>
      </c>
      <c r="AE516">
        <f t="shared" si="212"/>
        <v>0</v>
      </c>
    </row>
    <row r="517" spans="1:31" x14ac:dyDescent="0.25">
      <c r="A517" s="347">
        <v>70795</v>
      </c>
      <c r="B517" s="364">
        <f t="shared" si="206"/>
        <v>70.795000000000002</v>
      </c>
      <c r="C517" s="337">
        <f t="shared" si="187"/>
        <v>16.045689686965627</v>
      </c>
      <c r="D517" s="338">
        <f t="shared" si="188"/>
        <v>1.5084338797532877</v>
      </c>
      <c r="E517" s="338">
        <f t="shared" si="189"/>
        <v>1.0056823142295186</v>
      </c>
      <c r="F517" s="339">
        <f t="shared" si="190"/>
        <v>0.10635353132154668</v>
      </c>
      <c r="G517" s="338">
        <f t="shared" si="191"/>
        <v>1</v>
      </c>
      <c r="H517" s="339">
        <f t="shared" si="192"/>
        <v>0</v>
      </c>
      <c r="I517" s="337">
        <f t="shared" si="193"/>
        <v>42713.547177858905</v>
      </c>
      <c r="J517" s="340">
        <f t="shared" si="194"/>
        <v>1.5707729150188638</v>
      </c>
      <c r="K517" s="348">
        <f t="shared" si="210"/>
        <v>11.054571126043708</v>
      </c>
      <c r="L517" s="349">
        <f t="shared" si="211"/>
        <v>1.480212180184358</v>
      </c>
      <c r="M517" s="337">
        <f t="shared" si="195"/>
        <v>1.1919038279915604</v>
      </c>
      <c r="N517" s="340">
        <f t="shared" si="196"/>
        <v>0.57536478182962214</v>
      </c>
      <c r="O517" s="341">
        <f t="shared" si="197"/>
        <v>1.0848905918835146</v>
      </c>
      <c r="P517" s="342">
        <f t="shared" si="198"/>
        <v>1.0004141688817558</v>
      </c>
      <c r="Q517" s="343">
        <f t="shared" si="199"/>
        <v>-2.8219521376729033</v>
      </c>
      <c r="R517" s="344">
        <f t="shared" si="200"/>
        <v>-175.80751792119591</v>
      </c>
      <c r="S517" s="346">
        <f t="shared" si="201"/>
        <v>4.1924820788040904</v>
      </c>
      <c r="U517" s="319">
        <f t="shared" si="207"/>
        <v>70795</v>
      </c>
      <c r="V517" s="319">
        <f t="shared" si="208"/>
        <v>5011932025</v>
      </c>
      <c r="X517" s="345">
        <f t="shared" si="202"/>
        <v>24.441925290798277</v>
      </c>
      <c r="Y517" s="346">
        <f t="shared" si="203"/>
        <v>-38.154721618521428</v>
      </c>
      <c r="AA517" s="345">
        <f t="shared" si="204"/>
        <v>34.9758639059188</v>
      </c>
      <c r="AB517" s="346">
        <f t="shared" si="205"/>
        <v>-137.65279630267449</v>
      </c>
      <c r="AD517">
        <f t="shared" si="209"/>
        <v>0</v>
      </c>
      <c r="AE517">
        <f t="shared" si="212"/>
        <v>0</v>
      </c>
    </row>
    <row r="518" spans="1:31" x14ac:dyDescent="0.25">
      <c r="A518" s="347">
        <v>71207.25</v>
      </c>
      <c r="B518" s="364">
        <f t="shared" si="206"/>
        <v>71.207250000000002</v>
      </c>
      <c r="C518" s="337">
        <f t="shared" si="187"/>
        <v>16.138764302405679</v>
      </c>
      <c r="D518" s="338">
        <f t="shared" si="188"/>
        <v>1.5087939960362271</v>
      </c>
      <c r="E518" s="338">
        <f t="shared" si="189"/>
        <v>1.0057484951816873</v>
      </c>
      <c r="F518" s="339">
        <f t="shared" si="190"/>
        <v>0.10696814411637086</v>
      </c>
      <c r="G518" s="338">
        <f t="shared" si="191"/>
        <v>1</v>
      </c>
      <c r="H518" s="339">
        <f t="shared" si="192"/>
        <v>0</v>
      </c>
      <c r="I518" s="337">
        <f t="shared" si="193"/>
        <v>42962.274627741652</v>
      </c>
      <c r="J518" s="340">
        <f t="shared" si="194"/>
        <v>1.5707730505599031</v>
      </c>
      <c r="K518" s="348">
        <f t="shared" si="210"/>
        <v>11.118418315162682</v>
      </c>
      <c r="L518" s="349">
        <f t="shared" si="211"/>
        <v>1.4807337720947191</v>
      </c>
      <c r="M518" s="337">
        <f t="shared" si="195"/>
        <v>1.1939630806590644</v>
      </c>
      <c r="N518" s="340">
        <f t="shared" si="196"/>
        <v>0.57801864814447501</v>
      </c>
      <c r="O518" s="341">
        <f t="shared" si="197"/>
        <v>1.0867760678209446</v>
      </c>
      <c r="P518" s="342">
        <f t="shared" si="198"/>
        <v>1.0068031162307214</v>
      </c>
      <c r="Q518" s="343">
        <f t="shared" si="199"/>
        <v>-2.9021048182363804</v>
      </c>
      <c r="R518" s="344">
        <f t="shared" si="200"/>
        <v>-176.28117415440306</v>
      </c>
      <c r="S518" s="346">
        <f t="shared" si="201"/>
        <v>3.718825845596939</v>
      </c>
      <c r="U518" s="319">
        <f t="shared" si="207"/>
        <v>71207.25</v>
      </c>
      <c r="V518" s="319">
        <f t="shared" si="208"/>
        <v>5070472452.5625</v>
      </c>
      <c r="X518" s="345">
        <f t="shared" si="202"/>
        <v>24.426521299277098</v>
      </c>
      <c r="Y518" s="346">
        <f t="shared" si="203"/>
        <v>-38.276899708731683</v>
      </c>
      <c r="AA518" s="345">
        <f t="shared" si="204"/>
        <v>34.911115216876503</v>
      </c>
      <c r="AB518" s="346">
        <f t="shared" si="205"/>
        <v>-138.00427444567131</v>
      </c>
      <c r="AD518">
        <f t="shared" si="209"/>
        <v>0</v>
      </c>
      <c r="AE518">
        <f t="shared" si="212"/>
        <v>0</v>
      </c>
    </row>
    <row r="519" spans="1:31" x14ac:dyDescent="0.25">
      <c r="A519" s="347">
        <v>71619.5</v>
      </c>
      <c r="B519" s="364">
        <f t="shared" si="206"/>
        <v>71.619500000000002</v>
      </c>
      <c r="C519" s="337">
        <f t="shared" si="187"/>
        <v>16.231840986778746</v>
      </c>
      <c r="D519" s="338">
        <f t="shared" si="188"/>
        <v>1.5091499824045713</v>
      </c>
      <c r="E519" s="338">
        <f t="shared" si="189"/>
        <v>1.0058150560041512</v>
      </c>
      <c r="F519" s="339">
        <f t="shared" si="190"/>
        <v>0.10758267579806904</v>
      </c>
      <c r="G519" s="338">
        <f t="shared" si="191"/>
        <v>1</v>
      </c>
      <c r="H519" s="339">
        <f t="shared" si="192"/>
        <v>0</v>
      </c>
      <c r="I519" s="337">
        <f t="shared" si="193"/>
        <v>43211.002077625177</v>
      </c>
      <c r="J519" s="340">
        <f t="shared" si="194"/>
        <v>1.570773184540563</v>
      </c>
      <c r="K519" s="348">
        <f t="shared" si="210"/>
        <v>11.182268494595245</v>
      </c>
      <c r="L519" s="349">
        <f t="shared" si="211"/>
        <v>1.4812494076179321</v>
      </c>
      <c r="M519" s="337">
        <f t="shared" si="195"/>
        <v>1.1960307134252133</v>
      </c>
      <c r="N519" s="340">
        <f t="shared" si="196"/>
        <v>0.58066335731336671</v>
      </c>
      <c r="O519" s="341">
        <f t="shared" si="197"/>
        <v>1.0886908850622361</v>
      </c>
      <c r="P519" s="342">
        <f t="shared" si="198"/>
        <v>1.0131915681974484</v>
      </c>
      <c r="Q519" s="343">
        <f t="shared" si="199"/>
        <v>-2.9822024116677999</v>
      </c>
      <c r="R519" s="344">
        <f t="shared" si="200"/>
        <v>-176.75438654568745</v>
      </c>
      <c r="S519" s="346">
        <f t="shared" si="201"/>
        <v>3.2456134543125472</v>
      </c>
      <c r="U519" s="319">
        <f t="shared" si="207"/>
        <v>71619.5</v>
      </c>
      <c r="V519" s="319">
        <f t="shared" si="208"/>
        <v>5129352780.25</v>
      </c>
      <c r="X519" s="345">
        <f t="shared" si="202"/>
        <v>24.411089314129349</v>
      </c>
      <c r="Y519" s="346">
        <f t="shared" si="203"/>
        <v>-38.398894319567347</v>
      </c>
      <c r="AA519" s="345">
        <f t="shared" si="204"/>
        <v>34.846449608592827</v>
      </c>
      <c r="AB519" s="346">
        <f t="shared" si="205"/>
        <v>-138.35549222612013</v>
      </c>
      <c r="AD519">
        <f t="shared" si="209"/>
        <v>0</v>
      </c>
      <c r="AE519">
        <f t="shared" si="212"/>
        <v>0</v>
      </c>
    </row>
    <row r="520" spans="1:31" x14ac:dyDescent="0.25">
      <c r="A520" s="347">
        <v>72031.75</v>
      </c>
      <c r="B520" s="364">
        <f t="shared" si="206"/>
        <v>72.031750000000002</v>
      </c>
      <c r="C520" s="337">
        <f t="shared" si="187"/>
        <v>16.324919704696701</v>
      </c>
      <c r="D520" s="338">
        <f t="shared" si="188"/>
        <v>1.5095019094090987</v>
      </c>
      <c r="E520" s="338">
        <f t="shared" si="189"/>
        <v>1.0058819966215005</v>
      </c>
      <c r="F520" s="339">
        <f t="shared" si="190"/>
        <v>0.10819712591863488</v>
      </c>
      <c r="G520" s="338">
        <f t="shared" si="191"/>
        <v>1</v>
      </c>
      <c r="H520" s="339">
        <f t="shared" si="192"/>
        <v>0</v>
      </c>
      <c r="I520" s="337">
        <f t="shared" si="193"/>
        <v>43459.729527509466</v>
      </c>
      <c r="J520" s="340">
        <f t="shared" si="194"/>
        <v>1.5707733169876346</v>
      </c>
      <c r="K520" s="348">
        <f t="shared" si="210"/>
        <v>11.246121613408626</v>
      </c>
      <c r="L520" s="349">
        <f t="shared" si="211"/>
        <v>1.4817591879347898</v>
      </c>
      <c r="M520" s="337">
        <f t="shared" si="195"/>
        <v>1.1981066829041391</v>
      </c>
      <c r="N520" s="340">
        <f t="shared" si="196"/>
        <v>0.58329891984413018</v>
      </c>
      <c r="O520" s="341">
        <f t="shared" si="197"/>
        <v>1.0906352650687727</v>
      </c>
      <c r="P520" s="342">
        <f t="shared" si="198"/>
        <v>1.0195792698694528</v>
      </c>
      <c r="Q520" s="343">
        <f t="shared" si="199"/>
        <v>-3.0622484249671884</v>
      </c>
      <c r="R520" s="344">
        <f t="shared" si="200"/>
        <v>-177.22713936392751</v>
      </c>
      <c r="S520" s="346">
        <f t="shared" si="201"/>
        <v>2.7728606360724939</v>
      </c>
      <c r="U520" s="319">
        <f t="shared" si="207"/>
        <v>72031.75</v>
      </c>
      <c r="V520" s="319">
        <f t="shared" si="208"/>
        <v>5188573008.0625</v>
      </c>
      <c r="X520" s="345">
        <f t="shared" si="202"/>
        <v>24.395629716723157</v>
      </c>
      <c r="Y520" s="346">
        <f t="shared" si="203"/>
        <v>-38.520700257385521</v>
      </c>
      <c r="AA520" s="345">
        <f t="shared" si="204"/>
        <v>34.781863192699632</v>
      </c>
      <c r="AB520" s="346">
        <f t="shared" si="205"/>
        <v>-138.70643910654204</v>
      </c>
      <c r="AD520">
        <f t="shared" si="209"/>
        <v>0</v>
      </c>
      <c r="AE520">
        <f t="shared" si="212"/>
        <v>0</v>
      </c>
    </row>
    <row r="521" spans="1:31" x14ac:dyDescent="0.25">
      <c r="A521" s="347">
        <v>72444</v>
      </c>
      <c r="B521" s="364">
        <f t="shared" si="206"/>
        <v>72.444000000000003</v>
      </c>
      <c r="C521" s="337">
        <f t="shared" si="187"/>
        <v>16.418000421573154</v>
      </c>
      <c r="D521" s="338">
        <f t="shared" si="188"/>
        <v>1.5098498460047316</v>
      </c>
      <c r="E521" s="338">
        <f t="shared" si="189"/>
        <v>1.0059493169579152</v>
      </c>
      <c r="F521" s="339">
        <f t="shared" si="190"/>
        <v>0.10881149403042731</v>
      </c>
      <c r="G521" s="338">
        <f t="shared" si="191"/>
        <v>1</v>
      </c>
      <c r="H521" s="339">
        <f t="shared" si="192"/>
        <v>0</v>
      </c>
      <c r="I521" s="337">
        <f t="shared" si="193"/>
        <v>43708.456977394511</v>
      </c>
      <c r="J521" s="340">
        <f t="shared" si="194"/>
        <v>1.5707734479272988</v>
      </c>
      <c r="K521" s="348">
        <f t="shared" si="210"/>
        <v>11.309977621817939</v>
      </c>
      <c r="L521" s="349">
        <f t="shared" si="211"/>
        <v>1.4822632119533539</v>
      </c>
      <c r="M521" s="337">
        <f t="shared" si="195"/>
        <v>1.2001909458358229</v>
      </c>
      <c r="N521" s="340">
        <f t="shared" si="196"/>
        <v>0.58592534668031593</v>
      </c>
      <c r="O521" s="341">
        <f t="shared" si="197"/>
        <v>1.0926094275044558</v>
      </c>
      <c r="P521" s="342">
        <f t="shared" si="198"/>
        <v>1.0259659647570194</v>
      </c>
      <c r="Q521" s="343">
        <f t="shared" si="199"/>
        <v>-3.1422462714761581</v>
      </c>
      <c r="R521" s="344">
        <f t="shared" si="200"/>
        <v>-177.69941685132389</v>
      </c>
      <c r="S521" s="346">
        <f t="shared" si="201"/>
        <v>2.300583148676111</v>
      </c>
      <c r="U521" s="319">
        <f t="shared" si="207"/>
        <v>72444</v>
      </c>
      <c r="V521" s="319">
        <f t="shared" si="208"/>
        <v>5248133136</v>
      </c>
      <c r="X521" s="345">
        <f t="shared" si="202"/>
        <v>24.380142889373566</v>
      </c>
      <c r="Y521" s="346">
        <f t="shared" si="203"/>
        <v>-38.642312483691022</v>
      </c>
      <c r="AA521" s="345">
        <f t="shared" si="204"/>
        <v>34.717352173540249</v>
      </c>
      <c r="AB521" s="346">
        <f t="shared" si="205"/>
        <v>-139.05710436763283</v>
      </c>
      <c r="AD521">
        <f t="shared" si="209"/>
        <v>0</v>
      </c>
      <c r="AE521">
        <f t="shared" si="212"/>
        <v>0</v>
      </c>
    </row>
    <row r="522" spans="1:31" x14ac:dyDescent="0.25">
      <c r="A522" s="347">
        <v>72865.75</v>
      </c>
      <c r="B522" s="364">
        <f t="shared" si="206"/>
        <v>72.865750000000006</v>
      </c>
      <c r="C522" s="337">
        <f t="shared" si="187"/>
        <v>16.513228148888825</v>
      </c>
      <c r="D522" s="338">
        <f t="shared" si="188"/>
        <v>1.5102017414208189</v>
      </c>
      <c r="E522" s="338">
        <f t="shared" si="189"/>
        <v>1.0060185815082057</v>
      </c>
      <c r="F522" s="339">
        <f t="shared" si="190"/>
        <v>0.10943993447470575</v>
      </c>
      <c r="G522" s="338">
        <f t="shared" si="191"/>
        <v>1</v>
      </c>
      <c r="H522" s="339">
        <f t="shared" si="192"/>
        <v>0</v>
      </c>
      <c r="I522" s="337">
        <f t="shared" si="193"/>
        <v>43962.916169606353</v>
      </c>
      <c r="J522" s="340">
        <f t="shared" si="194"/>
        <v>1.5707735803511387</v>
      </c>
      <c r="K522" s="348">
        <f t="shared" si="210"/>
        <v>11.375308084780011</v>
      </c>
      <c r="L522" s="349">
        <f t="shared" si="211"/>
        <v>1.482772994858377</v>
      </c>
      <c r="M522" s="337">
        <f t="shared" si="195"/>
        <v>1.2023317764366421</v>
      </c>
      <c r="N522" s="340">
        <f t="shared" si="196"/>
        <v>0.58860285555631064</v>
      </c>
      <c r="O522" s="341">
        <f t="shared" si="197"/>
        <v>1.0946601300095125</v>
      </c>
      <c r="P522" s="342">
        <f t="shared" si="198"/>
        <v>1.0324985254891768</v>
      </c>
      <c r="Q522" s="343">
        <f t="shared" si="199"/>
        <v>-3.2240412276410018</v>
      </c>
      <c r="R522" s="344">
        <f t="shared" si="200"/>
        <v>-178.1820692848849</v>
      </c>
      <c r="S522" s="346">
        <f t="shared" si="201"/>
        <v>1.8179307151150965</v>
      </c>
      <c r="U522" s="319">
        <f t="shared" si="207"/>
        <v>72865.75</v>
      </c>
      <c r="V522" s="319">
        <f t="shared" si="208"/>
        <v>5309417523.0625</v>
      </c>
      <c r="X522" s="345">
        <f t="shared" si="202"/>
        <v>24.364271400479659</v>
      </c>
      <c r="Y522" s="346">
        <f t="shared" si="203"/>
        <v>-38.766521620437643</v>
      </c>
      <c r="AA522" s="345">
        <f t="shared" si="204"/>
        <v>34.651428706269314</v>
      </c>
      <c r="AB522" s="346">
        <f t="shared" si="205"/>
        <v>-139.41554766444725</v>
      </c>
      <c r="AD522">
        <f t="shared" si="209"/>
        <v>0</v>
      </c>
      <c r="AE522">
        <f t="shared" si="212"/>
        <v>0</v>
      </c>
    </row>
    <row r="523" spans="1:31" x14ac:dyDescent="0.25">
      <c r="A523" s="347">
        <v>73287.5</v>
      </c>
      <c r="B523" s="364">
        <f t="shared" si="206"/>
        <v>73.287499999999994</v>
      </c>
      <c r="C523" s="337">
        <f t="shared" si="187"/>
        <v>16.608457897594782</v>
      </c>
      <c r="D523" s="338">
        <f t="shared" si="188"/>
        <v>1.5105496014763744</v>
      </c>
      <c r="E523" s="338">
        <f t="shared" si="189"/>
        <v>1.0060882433180529</v>
      </c>
      <c r="F523" s="339">
        <f t="shared" si="190"/>
        <v>0.11006828814035861</v>
      </c>
      <c r="G523" s="338">
        <f t="shared" si="191"/>
        <v>1</v>
      </c>
      <c r="H523" s="339">
        <f t="shared" si="192"/>
        <v>0</v>
      </c>
      <c r="I523" s="337">
        <f t="shared" si="193"/>
        <v>44217.375361818958</v>
      </c>
      <c r="J523" s="340">
        <f t="shared" si="194"/>
        <v>1.5707737112508509</v>
      </c>
      <c r="K523" s="348">
        <f t="shared" si="210"/>
        <v>11.440641470178823</v>
      </c>
      <c r="L523" s="349">
        <f t="shared" si="211"/>
        <v>1.4832769555197747</v>
      </c>
      <c r="M523" s="337">
        <f t="shared" si="195"/>
        <v>1.2044811959419739</v>
      </c>
      <c r="N523" s="340">
        <f t="shared" si="196"/>
        <v>0.59127082737179959</v>
      </c>
      <c r="O523" s="341">
        <f t="shared" si="197"/>
        <v>1.0967424625482796</v>
      </c>
      <c r="P523" s="342">
        <f t="shared" si="198"/>
        <v>1.0390294847653152</v>
      </c>
      <c r="Q523" s="343">
        <f t="shared" si="199"/>
        <v>-3.3057927032473216</v>
      </c>
      <c r="R523" s="344">
        <f t="shared" si="200"/>
        <v>-178.66419079404105</v>
      </c>
      <c r="S523" s="346">
        <f t="shared" si="201"/>
        <v>1.3358092059589524</v>
      </c>
      <c r="U523" s="319">
        <f t="shared" si="207"/>
        <v>73287.5</v>
      </c>
      <c r="V523" s="319">
        <f t="shared" si="208"/>
        <v>5371057656.25</v>
      </c>
      <c r="X523" s="345">
        <f t="shared" si="202"/>
        <v>24.348372224021595</v>
      </c>
      <c r="Y523" s="346">
        <f t="shared" si="203"/>
        <v>-38.890517826529042</v>
      </c>
      <c r="AA523" s="345">
        <f t="shared" si="204"/>
        <v>34.58557640712106</v>
      </c>
      <c r="AB523" s="346">
        <f t="shared" si="205"/>
        <v>-139.77367296751206</v>
      </c>
      <c r="AD523">
        <f t="shared" si="209"/>
        <v>0</v>
      </c>
      <c r="AE523">
        <f t="shared" si="212"/>
        <v>0</v>
      </c>
    </row>
    <row r="524" spans="1:31" x14ac:dyDescent="0.25">
      <c r="A524" s="347">
        <v>73709.25</v>
      </c>
      <c r="B524" s="364">
        <f t="shared" si="206"/>
        <v>73.709249999999997</v>
      </c>
      <c r="C524" s="337">
        <f t="shared" si="187"/>
        <v>16.703689633118458</v>
      </c>
      <c r="D524" s="338">
        <f t="shared" si="188"/>
        <v>1.5108934951061541</v>
      </c>
      <c r="E524" s="338">
        <f t="shared" si="189"/>
        <v>1.0061583023049439</v>
      </c>
      <c r="F524" s="339">
        <f t="shared" si="190"/>
        <v>0.11069655454927846</v>
      </c>
      <c r="G524" s="338">
        <f t="shared" si="191"/>
        <v>1</v>
      </c>
      <c r="H524" s="339">
        <f t="shared" si="192"/>
        <v>0</v>
      </c>
      <c r="I524" s="337">
        <f t="shared" si="193"/>
        <v>44471.834554032313</v>
      </c>
      <c r="J524" s="340">
        <f t="shared" si="194"/>
        <v>1.5707738406525975</v>
      </c>
      <c r="K524" s="348">
        <f t="shared" si="210"/>
        <v>11.505977728231727</v>
      </c>
      <c r="L524" s="349">
        <f t="shared" si="211"/>
        <v>1.4837751928635217</v>
      </c>
      <c r="M524" s="337">
        <f t="shared" si="195"/>
        <v>1.2066391584528635</v>
      </c>
      <c r="N524" s="340">
        <f t="shared" si="196"/>
        <v>0.59392927521248751</v>
      </c>
      <c r="O524" s="341">
        <f t="shared" si="197"/>
        <v>1.0988566542004452</v>
      </c>
      <c r="P524" s="342">
        <f t="shared" si="198"/>
        <v>1.045558563438352</v>
      </c>
      <c r="Q524" s="343">
        <f t="shared" si="199"/>
        <v>-3.3875040557468528</v>
      </c>
      <c r="R524" s="344">
        <f t="shared" si="200"/>
        <v>-179.14576444512065</v>
      </c>
      <c r="S524" s="346">
        <f t="shared" si="201"/>
        <v>0.85423555487935232</v>
      </c>
      <c r="U524" s="319">
        <f t="shared" si="207"/>
        <v>73709.25</v>
      </c>
      <c r="V524" s="319">
        <f t="shared" si="208"/>
        <v>5433053535.5625</v>
      </c>
      <c r="X524" s="345">
        <f t="shared" si="202"/>
        <v>24.332445771380165</v>
      </c>
      <c r="Y524" s="346">
        <f t="shared" si="203"/>
        <v>-39.014296185178992</v>
      </c>
      <c r="AA524" s="345">
        <f t="shared" si="204"/>
        <v>34.519791507262958</v>
      </c>
      <c r="AB524" s="346">
        <f t="shared" si="205"/>
        <v>-140.13146825994164</v>
      </c>
      <c r="AD524">
        <f t="shared" si="209"/>
        <v>0</v>
      </c>
      <c r="AE524">
        <f t="shared" si="212"/>
        <v>0</v>
      </c>
    </row>
    <row r="525" spans="1:31" x14ac:dyDescent="0.25">
      <c r="A525" s="347">
        <v>74131</v>
      </c>
      <c r="B525" s="364">
        <f t="shared" si="206"/>
        <v>74.131</v>
      </c>
      <c r="C525" s="337">
        <f t="shared" ref="C525:C588" si="213">SQRT(1+(A525/pole1)^2)</f>
        <v>16.798923321670529</v>
      </c>
      <c r="D525" s="338">
        <f t="shared" ref="D525:D588" si="214">ATAN(A525/pole1)</f>
        <v>1.5112334896855413</v>
      </c>
      <c r="E525" s="338">
        <f t="shared" ref="E525:E588" si="215">SQRT(1+(A525/Zero1)^2)</f>
        <v>1.0062287583859175</v>
      </c>
      <c r="F525" s="339">
        <f t="shared" ref="F525:F588" si="216">ATAN(A525/Zero1)</f>
        <v>0.1113247332237662</v>
      </c>
      <c r="G525" s="338">
        <f t="shared" ref="G525:G588" si="217">IF(VIN_nom&gt;Vout, 1, SQRT(1+(A525/z_RHP)^2))</f>
        <v>1</v>
      </c>
      <c r="H525" s="339">
        <f t="shared" ref="H525:H588" si="218">IF(VIN_nom&gt;Vout, 0, -ATAN(A525/z_RHP))</f>
        <v>0</v>
      </c>
      <c r="I525" s="337">
        <f t="shared" ref="I525:I588" si="219">SQRT(1+(A525/Pole2)^2)</f>
        <v>44726.293746246411</v>
      </c>
      <c r="J525" s="340">
        <f t="shared" ref="J525:J588" si="220">ATAN(A525/Pole2)</f>
        <v>1.5707739685819457</v>
      </c>
      <c r="K525" s="348">
        <f t="shared" si="210"/>
        <v>11.571316810278281</v>
      </c>
      <c r="L525" s="349">
        <f t="shared" si="211"/>
        <v>1.484267803592709</v>
      </c>
      <c r="M525" s="337">
        <f t="shared" ref="M525:M588" si="221">SQRT(1+(A525/pole4)^2)</f>
        <v>1.2088056182163338</v>
      </c>
      <c r="N525" s="340">
        <f t="shared" ref="N525:N588" si="222">ATAN(A525/pole4)</f>
        <v>0.59657821260929456</v>
      </c>
      <c r="O525" s="341">
        <f t="shared" ref="O525:O588" si="223">SQRT((1-(V525/pterm2))^2+(A525/pterm1)^2)</f>
        <v>1.1010029318889649</v>
      </c>
      <c r="P525" s="342">
        <f t="shared" ref="P525:P588" si="224">IF((ATAN((A525/pterm1)/(1-A525^2/pterm2))&gt;0),ATAN((A525/pterm1)/(1-A525^2/pterm2)),PI()+ATAN((A525/pterm1)/(1-A525^2/pterm2)))</f>
        <v>1.0520854810498925</v>
      </c>
      <c r="Q525" s="343">
        <f t="shared" ref="Q525:Q588" si="225">20*LOG10(((E525*K525*G525)/(C525*I525*O525*M525))*Adc)</f>
        <v>-3.4691785446394166</v>
      </c>
      <c r="R525" s="344">
        <f t="shared" ref="R525:R588" si="226">((F525+L525+H525)-(D525+J525+P525+N525))*radconv</f>
        <v>-179.62677329278694</v>
      </c>
      <c r="S525" s="346">
        <f t="shared" ref="S525:S588" si="227">IF(R525&gt;0,R525,R525+180)</f>
        <v>0.37322670721306395</v>
      </c>
      <c r="U525" s="319">
        <f t="shared" si="207"/>
        <v>74131</v>
      </c>
      <c r="V525" s="319">
        <f t="shared" si="208"/>
        <v>5495405161</v>
      </c>
      <c r="X525" s="345">
        <f t="shared" ref="X525:X588" si="228">20*LOG10((K525/(I525*M525))*AEA)</f>
        <v>24.316492454284941</v>
      </c>
      <c r="Y525" s="346">
        <f t="shared" ref="Y525:Y588" si="229">(L525-(J525+N525))*radconv</f>
        <v>-39.137851932438032</v>
      </c>
      <c r="AA525" s="345">
        <f t="shared" ref="AA525:AA588" si="230">20*LOG10((E525*G525/(C525*O525))*Acs*Am)</f>
        <v>34.454070335465616</v>
      </c>
      <c r="AB525" s="346">
        <f t="shared" ref="AB525:AB588" si="231">(F525+H525-(D525+P525))*radconv</f>
        <v>-140.48892136034891</v>
      </c>
      <c r="AD525">
        <f t="shared" si="209"/>
        <v>0</v>
      </c>
      <c r="AE525">
        <f t="shared" si="212"/>
        <v>0</v>
      </c>
    </row>
    <row r="526" spans="1:31" x14ac:dyDescent="0.25">
      <c r="A526" s="347">
        <v>74562.75</v>
      </c>
      <c r="B526" s="364">
        <f t="shared" ref="B526:B589" si="232">A526/1000</f>
        <v>74.562749999999994</v>
      </c>
      <c r="C526" s="337">
        <f t="shared" si="213"/>
        <v>16.89641705897462</v>
      </c>
      <c r="D526" s="338">
        <f t="shared" si="214"/>
        <v>1.5115775757146064</v>
      </c>
      <c r="E526" s="338">
        <f t="shared" si="215"/>
        <v>1.0063012962736486</v>
      </c>
      <c r="F526" s="339">
        <f t="shared" si="216"/>
        <v>0.11196771509486579</v>
      </c>
      <c r="G526" s="338">
        <f t="shared" si="217"/>
        <v>1</v>
      </c>
      <c r="H526" s="339">
        <f t="shared" si="218"/>
        <v>0</v>
      </c>
      <c r="I526" s="337">
        <f t="shared" si="219"/>
        <v>44986.786351436094</v>
      </c>
      <c r="J526" s="340">
        <f t="shared" si="220"/>
        <v>1.5707740980454974</v>
      </c>
      <c r="K526" s="348">
        <f t="shared" si="210"/>
        <v>11.638208005167389</v>
      </c>
      <c r="L526" s="349">
        <f t="shared" si="211"/>
        <v>1.4847663648606924</v>
      </c>
      <c r="M526" s="337">
        <f t="shared" si="221"/>
        <v>1.2110322005632705</v>
      </c>
      <c r="N526" s="340">
        <f t="shared" si="222"/>
        <v>0.59928012146242526</v>
      </c>
      <c r="O526" s="341">
        <f t="shared" si="223"/>
        <v>1.1032335702197005</v>
      </c>
      <c r="P526" s="342">
        <f t="shared" si="224"/>
        <v>1.0587646240358146</v>
      </c>
      <c r="Q526" s="343">
        <f t="shared" si="225"/>
        <v>-3.5527547114952989</v>
      </c>
      <c r="R526" s="344">
        <f t="shared" si="226"/>
        <v>-180.11858446208842</v>
      </c>
      <c r="S526" s="346">
        <f t="shared" si="227"/>
        <v>-0.11858446208842111</v>
      </c>
      <c r="U526" s="319">
        <f t="shared" ref="U526:U589" si="233">IF(Q526&lt;0,A526,1000000000)</f>
        <v>74562.75</v>
      </c>
      <c r="V526" s="319">
        <f t="shared" ref="V526:V589" si="234">A526^2</f>
        <v>5559603687.5625</v>
      </c>
      <c r="X526" s="345">
        <f t="shared" si="228"/>
        <v>24.300133475001818</v>
      </c>
      <c r="Y526" s="346">
        <f t="shared" si="229"/>
        <v>-39.264101867726673</v>
      </c>
      <c r="AA526" s="345">
        <f t="shared" si="230"/>
        <v>34.386853147892865</v>
      </c>
      <c r="AB526" s="346">
        <f t="shared" si="231"/>
        <v>-140.85448259436174</v>
      </c>
      <c r="AD526">
        <f t="shared" ref="AD526:AD589" si="235">SUM((Q527&lt;0)*(Q526&gt;0))*A526</f>
        <v>0</v>
      </c>
      <c r="AE526">
        <f t="shared" si="212"/>
        <v>0</v>
      </c>
    </row>
    <row r="527" spans="1:31" x14ac:dyDescent="0.25">
      <c r="A527" s="347">
        <v>74994.5</v>
      </c>
      <c r="B527" s="364">
        <f t="shared" si="232"/>
        <v>74.994500000000002</v>
      </c>
      <c r="C527" s="337">
        <f t="shared" si="213"/>
        <v>16.993912773780039</v>
      </c>
      <c r="D527" s="338">
        <f t="shared" si="214"/>
        <v>1.5119177136741608</v>
      </c>
      <c r="E527" s="338">
        <f t="shared" si="215"/>
        <v>1.0063742501321102</v>
      </c>
      <c r="F527" s="339">
        <f t="shared" si="216"/>
        <v>0.11261060400992237</v>
      </c>
      <c r="G527" s="338">
        <f t="shared" si="217"/>
        <v>1</v>
      </c>
      <c r="H527" s="339">
        <f t="shared" si="218"/>
        <v>0</v>
      </c>
      <c r="I527" s="337">
        <f t="shared" si="219"/>
        <v>45247.278956626527</v>
      </c>
      <c r="J527" s="340">
        <f t="shared" si="220"/>
        <v>1.5707742260183828</v>
      </c>
      <c r="K527" s="348">
        <f t="shared" si="210"/>
        <v>11.705102059824554</v>
      </c>
      <c r="L527" s="349">
        <f t="shared" si="211"/>
        <v>1.4852592277461463</v>
      </c>
      <c r="M527" s="337">
        <f t="shared" si="221"/>
        <v>1.2132675913352868</v>
      </c>
      <c r="N527" s="340">
        <f t="shared" si="222"/>
        <v>0.60197209361739135</v>
      </c>
      <c r="O527" s="341">
        <f t="shared" si="223"/>
        <v>1.1054983083362335</v>
      </c>
      <c r="P527" s="342">
        <f t="shared" si="224"/>
        <v>1.0654409037200043</v>
      </c>
      <c r="Q527" s="343">
        <f t="shared" si="225"/>
        <v>-3.6362988490533965</v>
      </c>
      <c r="R527" s="344">
        <f t="shared" si="226"/>
        <v>-180.60976777154627</v>
      </c>
      <c r="S527" s="346">
        <f t="shared" si="227"/>
        <v>-0.60976777154627371</v>
      </c>
      <c r="U527" s="319">
        <f t="shared" si="233"/>
        <v>74994.5</v>
      </c>
      <c r="V527" s="319">
        <f t="shared" si="234"/>
        <v>5624175030.25</v>
      </c>
      <c r="X527" s="345">
        <f t="shared" si="228"/>
        <v>24.283747215865787</v>
      </c>
      <c r="Y527" s="346">
        <f t="shared" si="229"/>
        <v>-39.390108880008029</v>
      </c>
      <c r="AA527" s="345">
        <f t="shared" si="230"/>
        <v>34.319695269470799</v>
      </c>
      <c r="AB527" s="346">
        <f t="shared" si="231"/>
        <v>-141.21965889153824</v>
      </c>
      <c r="AD527">
        <f t="shared" si="235"/>
        <v>0</v>
      </c>
      <c r="AE527">
        <f t="shared" si="212"/>
        <v>0</v>
      </c>
    </row>
    <row r="528" spans="1:31" x14ac:dyDescent="0.25">
      <c r="A528" s="347">
        <v>75426.25</v>
      </c>
      <c r="B528" s="364">
        <f t="shared" si="232"/>
        <v>75.426249999999996</v>
      </c>
      <c r="C528" s="337">
        <f t="shared" si="213"/>
        <v>17.091410432245592</v>
      </c>
      <c r="D528" s="338">
        <f t="shared" si="214"/>
        <v>1.5122539710499048</v>
      </c>
      <c r="E528" s="338">
        <f t="shared" si="215"/>
        <v>1.0064476198708452</v>
      </c>
      <c r="F528" s="339">
        <f t="shared" si="216"/>
        <v>0.11325339945778826</v>
      </c>
      <c r="G528" s="338">
        <f t="shared" si="217"/>
        <v>1</v>
      </c>
      <c r="H528" s="339">
        <f t="shared" si="218"/>
        <v>0</v>
      </c>
      <c r="I528" s="337">
        <f t="shared" si="219"/>
        <v>45507.771561817688</v>
      </c>
      <c r="J528" s="340">
        <f t="shared" si="220"/>
        <v>1.5707743525262001</v>
      </c>
      <c r="K528" s="348">
        <f t="shared" si="210"/>
        <v>11.771998925498123</v>
      </c>
      <c r="L528" s="349">
        <f t="shared" si="211"/>
        <v>1.4857464891543397</v>
      </c>
      <c r="M528" s="337">
        <f t="shared" si="221"/>
        <v>1.2155117419348962</v>
      </c>
      <c r="N528" s="340">
        <f t="shared" si="222"/>
        <v>0.60465414498822045</v>
      </c>
      <c r="O528" s="341">
        <f t="shared" si="223"/>
        <v>1.1077973823730209</v>
      </c>
      <c r="P528" s="342">
        <f t="shared" si="224"/>
        <v>1.0721140156601592</v>
      </c>
      <c r="Q528" s="343">
        <f t="shared" si="225"/>
        <v>-3.7198141425563271</v>
      </c>
      <c r="R528" s="344">
        <f t="shared" si="226"/>
        <v>-181.1003050348441</v>
      </c>
      <c r="S528" s="346">
        <f t="shared" si="227"/>
        <v>-1.1003050348440979</v>
      </c>
      <c r="U528" s="319">
        <f t="shared" si="233"/>
        <v>75426.25</v>
      </c>
      <c r="V528" s="319">
        <f t="shared" si="234"/>
        <v>5689119189.0625</v>
      </c>
      <c r="X528" s="345">
        <f t="shared" si="228"/>
        <v>24.267334118730727</v>
      </c>
      <c r="Y528" s="346">
        <f t="shared" si="229"/>
        <v>-39.515868330292449</v>
      </c>
      <c r="AA528" s="345">
        <f t="shared" si="230"/>
        <v>34.252593073102929</v>
      </c>
      <c r="AB528" s="346">
        <f t="shared" si="231"/>
        <v>-141.58443670455162</v>
      </c>
      <c r="AD528">
        <f t="shared" si="235"/>
        <v>0</v>
      </c>
      <c r="AE528">
        <f t="shared" si="212"/>
        <v>0</v>
      </c>
    </row>
    <row r="529" spans="1:31" x14ac:dyDescent="0.25">
      <c r="A529" s="347">
        <v>75858</v>
      </c>
      <c r="B529" s="364">
        <f t="shared" si="232"/>
        <v>75.858000000000004</v>
      </c>
      <c r="C529" s="337">
        <f t="shared" si="213"/>
        <v>17.18891000129722</v>
      </c>
      <c r="D529" s="338">
        <f t="shared" si="214"/>
        <v>1.5125864137999143</v>
      </c>
      <c r="E529" s="338">
        <f t="shared" si="215"/>
        <v>1.0065214053989076</v>
      </c>
      <c r="F529" s="339">
        <f t="shared" si="216"/>
        <v>0.11389610092777334</v>
      </c>
      <c r="G529" s="338">
        <f t="shared" si="217"/>
        <v>1</v>
      </c>
      <c r="H529" s="339">
        <f t="shared" si="218"/>
        <v>0</v>
      </c>
      <c r="I529" s="337">
        <f t="shared" si="219"/>
        <v>45768.264167009576</v>
      </c>
      <c r="J529" s="340">
        <f t="shared" si="220"/>
        <v>1.5707744775939649</v>
      </c>
      <c r="K529" s="348">
        <f t="shared" si="210"/>
        <v>11.838898554536312</v>
      </c>
      <c r="L529" s="349">
        <f t="shared" si="211"/>
        <v>1.4862282438109382</v>
      </c>
      <c r="M529" s="337">
        <f t="shared" si="221"/>
        <v>1.2177646039331034</v>
      </c>
      <c r="N529" s="340">
        <f t="shared" si="222"/>
        <v>0.60732629194277399</v>
      </c>
      <c r="O529" s="341">
        <f t="shared" si="223"/>
        <v>1.1101310259024171</v>
      </c>
      <c r="P529" s="342">
        <f t="shared" si="224"/>
        <v>1.0787836544584568</v>
      </c>
      <c r="Q529" s="343">
        <f t="shared" si="225"/>
        <v>-3.8033036745784492</v>
      </c>
      <c r="R529" s="344">
        <f t="shared" si="226"/>
        <v>-181.59017807421711</v>
      </c>
      <c r="S529" s="346">
        <f t="shared" si="227"/>
        <v>-1.590178074217107</v>
      </c>
      <c r="U529" s="319">
        <f t="shared" si="233"/>
        <v>75858</v>
      </c>
      <c r="V529" s="319">
        <f t="shared" si="234"/>
        <v>5754436164</v>
      </c>
      <c r="X529" s="345">
        <f t="shared" si="228"/>
        <v>24.250894625182454</v>
      </c>
      <c r="Y529" s="346">
        <f t="shared" si="229"/>
        <v>-39.64137573044173</v>
      </c>
      <c r="AA529" s="345">
        <f t="shared" si="230"/>
        <v>34.185543034629077</v>
      </c>
      <c r="AB529" s="346">
        <f t="shared" si="231"/>
        <v>-141.94880234377538</v>
      </c>
      <c r="AD529">
        <f t="shared" si="235"/>
        <v>0</v>
      </c>
      <c r="AE529">
        <f t="shared" si="212"/>
        <v>0</v>
      </c>
    </row>
    <row r="530" spans="1:31" x14ac:dyDescent="0.25">
      <c r="A530" s="347">
        <v>76299.75</v>
      </c>
      <c r="B530" s="364">
        <f t="shared" si="232"/>
        <v>76.299750000000003</v>
      </c>
      <c r="C530" s="337">
        <f t="shared" si="213"/>
        <v>17.288669755432736</v>
      </c>
      <c r="D530" s="338">
        <f t="shared" si="214"/>
        <v>1.5129226754990697</v>
      </c>
      <c r="E530" s="338">
        <f t="shared" si="215"/>
        <v>1.006597330165276</v>
      </c>
      <c r="F530" s="339">
        <f t="shared" si="216"/>
        <v>0.11455359056089609</v>
      </c>
      <c r="G530" s="338">
        <f t="shared" si="217"/>
        <v>1</v>
      </c>
      <c r="H530" s="339">
        <f t="shared" si="218"/>
        <v>0</v>
      </c>
      <c r="I530" s="337">
        <f t="shared" si="219"/>
        <v>46034.790185177109</v>
      </c>
      <c r="J530" s="340">
        <f t="shared" si="220"/>
        <v>1.5707746040935211</v>
      </c>
      <c r="K530" s="348">
        <f t="shared" si="210"/>
        <v>11.907350494331535</v>
      </c>
      <c r="L530" s="349">
        <f t="shared" si="211"/>
        <v>1.4867155536835144</v>
      </c>
      <c r="M530" s="337">
        <f t="shared" si="221"/>
        <v>1.2200786117680127</v>
      </c>
      <c r="N530" s="340">
        <f t="shared" si="222"/>
        <v>0.61005009633068907</v>
      </c>
      <c r="O530" s="341">
        <f t="shared" si="223"/>
        <v>1.1125547409073533</v>
      </c>
      <c r="P530" s="342">
        <f t="shared" si="224"/>
        <v>1.0856038583013947</v>
      </c>
      <c r="Q530" s="343">
        <f t="shared" si="225"/>
        <v>-3.8887033990162752</v>
      </c>
      <c r="R530" s="344">
        <f t="shared" si="226"/>
        <v>-182.09069091005401</v>
      </c>
      <c r="S530" s="346">
        <f t="shared" si="227"/>
        <v>-2.0906909100540076</v>
      </c>
      <c r="U530" s="319">
        <f t="shared" si="233"/>
        <v>76299.75</v>
      </c>
      <c r="V530" s="319">
        <f t="shared" si="234"/>
        <v>5821651850.0625</v>
      </c>
      <c r="X530" s="345">
        <f t="shared" si="228"/>
        <v>24.234047507024265</v>
      </c>
      <c r="Y530" s="346">
        <f t="shared" si="229"/>
        <v>-39.76952467511191</v>
      </c>
      <c r="AA530" s="345">
        <f t="shared" si="230"/>
        <v>34.116990428349439</v>
      </c>
      <c r="AB530" s="346">
        <f t="shared" si="231"/>
        <v>-142.3211662349421</v>
      </c>
      <c r="AD530">
        <f t="shared" si="235"/>
        <v>0</v>
      </c>
      <c r="AE530">
        <f t="shared" si="212"/>
        <v>0</v>
      </c>
    </row>
    <row r="531" spans="1:31" x14ac:dyDescent="0.25">
      <c r="A531" s="347">
        <v>76741.5</v>
      </c>
      <c r="B531" s="364">
        <f t="shared" si="232"/>
        <v>76.741500000000002</v>
      </c>
      <c r="C531" s="337">
        <f t="shared" si="213"/>
        <v>17.388431442000762</v>
      </c>
      <c r="D531" s="338">
        <f t="shared" si="214"/>
        <v>1.5132550788041321</v>
      </c>
      <c r="E531" s="338">
        <f t="shared" si="215"/>
        <v>1.0066736900104911</v>
      </c>
      <c r="F531" s="339">
        <f t="shared" si="216"/>
        <v>0.11521098073222819</v>
      </c>
      <c r="G531" s="338">
        <f t="shared" si="217"/>
        <v>1</v>
      </c>
      <c r="H531" s="339">
        <f t="shared" si="218"/>
        <v>0</v>
      </c>
      <c r="I531" s="337">
        <f t="shared" si="219"/>
        <v>46301.316203345363</v>
      </c>
      <c r="J531" s="340">
        <f t="shared" si="220"/>
        <v>1.5707747291367289</v>
      </c>
      <c r="K531" s="348">
        <f t="shared" si="210"/>
        <v>11.975805229450895</v>
      </c>
      <c r="L531" s="349">
        <f t="shared" si="211"/>
        <v>1.4871972926589172</v>
      </c>
      <c r="M531" s="337">
        <f t="shared" si="221"/>
        <v>1.222401637191173</v>
      </c>
      <c r="N531" s="340">
        <f t="shared" si="222"/>
        <v>0.61276356826958811</v>
      </c>
      <c r="O531" s="341">
        <f t="shared" si="223"/>
        <v>1.1150151316054693</v>
      </c>
      <c r="P531" s="342">
        <f t="shared" si="224"/>
        <v>1.0924197769039137</v>
      </c>
      <c r="Q531" s="343">
        <f t="shared" si="225"/>
        <v>-3.9740823596623609</v>
      </c>
      <c r="R531" s="344">
        <f t="shared" si="226"/>
        <v>-182.59046994847634</v>
      </c>
      <c r="S531" s="346">
        <f t="shared" si="227"/>
        <v>-2.5904699484763398</v>
      </c>
      <c r="U531" s="319">
        <f t="shared" si="233"/>
        <v>76741.5</v>
      </c>
      <c r="V531" s="319">
        <f t="shared" si="234"/>
        <v>5889257822.25</v>
      </c>
      <c r="X531" s="345">
        <f t="shared" si="228"/>
        <v>24.217173689305881</v>
      </c>
      <c r="Y531" s="346">
        <f t="shared" si="229"/>
        <v>-39.89740071951465</v>
      </c>
      <c r="AA531" s="345">
        <f t="shared" si="230"/>
        <v>34.048485285421741</v>
      </c>
      <c r="AB531" s="346">
        <f t="shared" si="231"/>
        <v>-142.69306922896166</v>
      </c>
      <c r="AD531">
        <f t="shared" si="235"/>
        <v>0</v>
      </c>
      <c r="AE531">
        <f t="shared" si="212"/>
        <v>0</v>
      </c>
    </row>
    <row r="532" spans="1:31" x14ac:dyDescent="0.25">
      <c r="A532" s="347">
        <v>77183.25</v>
      </c>
      <c r="B532" s="364">
        <f t="shared" si="232"/>
        <v>77.183250000000001</v>
      </c>
      <c r="C532" s="337">
        <f t="shared" si="213"/>
        <v>17.488195027930519</v>
      </c>
      <c r="D532" s="338">
        <f t="shared" si="214"/>
        <v>1.5135836896730792</v>
      </c>
      <c r="E532" s="338">
        <f t="shared" si="215"/>
        <v>1.0067504848355533</v>
      </c>
      <c r="F532" s="339">
        <f t="shared" si="216"/>
        <v>0.11586827089626855</v>
      </c>
      <c r="G532" s="338">
        <f t="shared" si="217"/>
        <v>1</v>
      </c>
      <c r="H532" s="339">
        <f t="shared" si="218"/>
        <v>0</v>
      </c>
      <c r="I532" s="337">
        <f t="shared" si="219"/>
        <v>46567.842221514336</v>
      </c>
      <c r="J532" s="340">
        <f t="shared" si="220"/>
        <v>1.5707748527485941</v>
      </c>
      <c r="K532" s="348">
        <f t="shared" si="210"/>
        <v>12.044262712231903</v>
      </c>
      <c r="L532" s="349">
        <f t="shared" si="211"/>
        <v>1.4876735555036376</v>
      </c>
      <c r="M532" s="337">
        <f t="shared" si="221"/>
        <v>1.2247336288899908</v>
      </c>
      <c r="N532" s="340">
        <f t="shared" si="222"/>
        <v>0.61546672670940283</v>
      </c>
      <c r="O532" s="341">
        <f t="shared" si="223"/>
        <v>1.1175124395542682</v>
      </c>
      <c r="P532" s="342">
        <f t="shared" si="224"/>
        <v>1.0992310808657719</v>
      </c>
      <c r="Q532" s="343">
        <f t="shared" si="225"/>
        <v>-4.0594435324279985</v>
      </c>
      <c r="R532" s="344">
        <f t="shared" si="226"/>
        <v>-183.08949578407291</v>
      </c>
      <c r="S532" s="346">
        <f t="shared" si="227"/>
        <v>-3.0894957840729091</v>
      </c>
      <c r="U532" s="319">
        <f t="shared" si="233"/>
        <v>77183.25</v>
      </c>
      <c r="V532" s="319">
        <f t="shared" si="234"/>
        <v>5957254080.5625</v>
      </c>
      <c r="X532" s="345">
        <f t="shared" si="228"/>
        <v>24.200273643202923</v>
      </c>
      <c r="Y532" s="346">
        <f t="shared" si="229"/>
        <v>-40.02499952111382</v>
      </c>
      <c r="AA532" s="345">
        <f t="shared" si="230"/>
        <v>33.980024158759058</v>
      </c>
      <c r="AB532" s="346">
        <f t="shared" si="231"/>
        <v>-143.06449626295912</v>
      </c>
      <c r="AD532">
        <f t="shared" si="235"/>
        <v>0</v>
      </c>
      <c r="AE532">
        <f t="shared" si="212"/>
        <v>0</v>
      </c>
    </row>
    <row r="533" spans="1:31" x14ac:dyDescent="0.25">
      <c r="A533" s="347">
        <v>77625</v>
      </c>
      <c r="B533" s="364">
        <f t="shared" si="232"/>
        <v>77.625</v>
      </c>
      <c r="C533" s="337">
        <f t="shared" si="213"/>
        <v>17.587960480900961</v>
      </c>
      <c r="D533" s="338">
        <f t="shared" si="214"/>
        <v>1.5139085725706536</v>
      </c>
      <c r="E533" s="338">
        <f t="shared" si="215"/>
        <v>1.0068277145409299</v>
      </c>
      <c r="F533" s="339">
        <f t="shared" si="216"/>
        <v>0.11652546050802771</v>
      </c>
      <c r="G533" s="338">
        <f t="shared" si="217"/>
        <v>1</v>
      </c>
      <c r="H533" s="339">
        <f t="shared" si="218"/>
        <v>0</v>
      </c>
      <c r="I533" s="337">
        <f t="shared" si="219"/>
        <v>46834.368239684016</v>
      </c>
      <c r="J533" s="340">
        <f t="shared" si="220"/>
        <v>1.5707749749535531</v>
      </c>
      <c r="K533" s="348">
        <f t="shared" si="210"/>
        <v>12.112722896087677</v>
      </c>
      <c r="L533" s="349">
        <f t="shared" si="211"/>
        <v>1.4881444348517809</v>
      </c>
      <c r="M533" s="337">
        <f t="shared" si="221"/>
        <v>1.2270745357446378</v>
      </c>
      <c r="N533" s="340">
        <f t="shared" si="222"/>
        <v>0.6181595910591795</v>
      </c>
      <c r="O533" s="341">
        <f t="shared" si="223"/>
        <v>1.1200469033089846</v>
      </c>
      <c r="P533" s="342">
        <f t="shared" si="224"/>
        <v>1.1060374402946567</v>
      </c>
      <c r="Q533" s="343">
        <f t="shared" si="225"/>
        <v>-4.1447897859924989</v>
      </c>
      <c r="R533" s="344">
        <f t="shared" si="226"/>
        <v>-183.58774904610311</v>
      </c>
      <c r="S533" s="346">
        <f t="shared" si="227"/>
        <v>-3.587749046103113</v>
      </c>
      <c r="U533" s="319">
        <f t="shared" si="233"/>
        <v>77625</v>
      </c>
      <c r="V533" s="319">
        <f t="shared" si="234"/>
        <v>6025640625</v>
      </c>
      <c r="X533" s="345">
        <f t="shared" si="228"/>
        <v>24.183347838986428</v>
      </c>
      <c r="Y533" s="346">
        <f t="shared" si="229"/>
        <v>-40.152316885822621</v>
      </c>
      <c r="AA533" s="345">
        <f t="shared" si="230"/>
        <v>33.911603709411054</v>
      </c>
      <c r="AB533" s="346">
        <f t="shared" si="231"/>
        <v>-143.43543216028047</v>
      </c>
      <c r="AD533">
        <f t="shared" si="235"/>
        <v>0</v>
      </c>
      <c r="AE533">
        <f t="shared" si="212"/>
        <v>0</v>
      </c>
    </row>
    <row r="534" spans="1:31" x14ac:dyDescent="0.25">
      <c r="A534" s="347">
        <v>78077</v>
      </c>
      <c r="B534" s="364">
        <f t="shared" si="232"/>
        <v>78.076999999999998</v>
      </c>
      <c r="C534" s="337">
        <f t="shared" si="213"/>
        <v>17.690042708134371</v>
      </c>
      <c r="D534" s="338">
        <f t="shared" si="214"/>
        <v>1.5142372007745284</v>
      </c>
      <c r="E534" s="338">
        <f t="shared" si="215"/>
        <v>1.0069071862491319</v>
      </c>
      <c r="F534" s="339">
        <f t="shared" si="216"/>
        <v>0.11719779435457926</v>
      </c>
      <c r="G534" s="338">
        <f t="shared" si="217"/>
        <v>1</v>
      </c>
      <c r="H534" s="339">
        <f t="shared" si="218"/>
        <v>0</v>
      </c>
      <c r="I534" s="337">
        <f t="shared" si="219"/>
        <v>47107.078506153761</v>
      </c>
      <c r="J534" s="340">
        <f t="shared" si="220"/>
        <v>1.5707750985627118</v>
      </c>
      <c r="K534" s="348">
        <f t="shared" si="210"/>
        <v>12.182774321488834</v>
      </c>
      <c r="L534" s="349">
        <f t="shared" si="211"/>
        <v>1.4886207622263716</v>
      </c>
      <c r="M534" s="337">
        <f t="shared" si="221"/>
        <v>1.2294789337848571</v>
      </c>
      <c r="N534" s="340">
        <f t="shared" si="222"/>
        <v>0.62090430396858765</v>
      </c>
      <c r="O534" s="341">
        <f t="shared" si="223"/>
        <v>1.1226788792963498</v>
      </c>
      <c r="P534" s="342">
        <f t="shared" si="224"/>
        <v>1.1129962664045199</v>
      </c>
      <c r="Q534" s="343">
        <f t="shared" si="225"/>
        <v>-4.232103781788993</v>
      </c>
      <c r="R534" s="344">
        <f t="shared" si="226"/>
        <v>-184.09674353016177</v>
      </c>
      <c r="S534" s="346">
        <f t="shared" si="227"/>
        <v>-4.0967435301617741</v>
      </c>
      <c r="U534" s="319">
        <f t="shared" si="233"/>
        <v>78077</v>
      </c>
      <c r="V534" s="319">
        <f t="shared" si="234"/>
        <v>6096017929</v>
      </c>
      <c r="X534" s="345">
        <f t="shared" si="228"/>
        <v>24.166003130354486</v>
      </c>
      <c r="Y534" s="346">
        <f t="shared" si="229"/>
        <v>-40.282292885707832</v>
      </c>
      <c r="AA534" s="345">
        <f t="shared" si="230"/>
        <v>33.8416344222465</v>
      </c>
      <c r="AB534" s="346">
        <f t="shared" si="231"/>
        <v>-143.81445064445396</v>
      </c>
      <c r="AD534">
        <f t="shared" si="235"/>
        <v>0</v>
      </c>
      <c r="AE534">
        <f t="shared" si="212"/>
        <v>0</v>
      </c>
    </row>
    <row r="535" spans="1:31" x14ac:dyDescent="0.25">
      <c r="A535" s="347">
        <v>78529</v>
      </c>
      <c r="B535" s="364">
        <f t="shared" si="232"/>
        <v>78.528999999999996</v>
      </c>
      <c r="C535" s="337">
        <f t="shared" si="213"/>
        <v>17.792126823907754</v>
      </c>
      <c r="D535" s="338">
        <f t="shared" si="214"/>
        <v>1.5145620579384576</v>
      </c>
      <c r="E535" s="338">
        <f t="shared" si="215"/>
        <v>1.006987113040448</v>
      </c>
      <c r="F535" s="339">
        <f t="shared" si="216"/>
        <v>0.11787002177571473</v>
      </c>
      <c r="G535" s="338">
        <f t="shared" si="217"/>
        <v>1</v>
      </c>
      <c r="H535" s="339">
        <f t="shared" si="218"/>
        <v>0</v>
      </c>
      <c r="I535" s="337">
        <f t="shared" si="219"/>
        <v>47379.788772624219</v>
      </c>
      <c r="J535" s="340">
        <f t="shared" si="220"/>
        <v>1.5707752207489225</v>
      </c>
      <c r="K535" s="348">
        <f t="shared" ref="K535:K598" si="236">SQRT(1+(A535/Zero2)^2)</f>
        <v>12.252828479406219</v>
      </c>
      <c r="L535" s="349">
        <f t="shared" ref="L535:L598" si="237">ATAN(A535/Zero2)</f>
        <v>1.4890916430112431</v>
      </c>
      <c r="M535" s="337">
        <f t="shared" si="221"/>
        <v>1.2318925578454125</v>
      </c>
      <c r="N535" s="340">
        <f t="shared" si="222"/>
        <v>0.62363828207780014</v>
      </c>
      <c r="O535" s="341">
        <f t="shared" si="223"/>
        <v>1.1253502508437137</v>
      </c>
      <c r="P535" s="342">
        <f t="shared" si="224"/>
        <v>1.1199492161205575</v>
      </c>
      <c r="Q535" s="343">
        <f t="shared" si="225"/>
        <v>-4.3194078962622164</v>
      </c>
      <c r="R535" s="344">
        <f t="shared" si="226"/>
        <v>-184.60488828103806</v>
      </c>
      <c r="S535" s="346">
        <f t="shared" si="227"/>
        <v>-4.6048882810380576</v>
      </c>
      <c r="U535" s="319">
        <f t="shared" si="233"/>
        <v>78529</v>
      </c>
      <c r="V535" s="319">
        <f t="shared" si="234"/>
        <v>6166803841</v>
      </c>
      <c r="X535" s="345">
        <f t="shared" si="228"/>
        <v>24.148632447035482</v>
      </c>
      <c r="Y535" s="346">
        <f t="shared" si="229"/>
        <v>-40.411965811922265</v>
      </c>
      <c r="AA535" s="345">
        <f t="shared" si="230"/>
        <v>33.771700991092281</v>
      </c>
      <c r="AB535" s="346">
        <f t="shared" si="231"/>
        <v>-144.19292246911579</v>
      </c>
      <c r="AD535">
        <f t="shared" si="235"/>
        <v>0</v>
      </c>
      <c r="AE535">
        <f t="shared" si="212"/>
        <v>0</v>
      </c>
    </row>
    <row r="536" spans="1:31" x14ac:dyDescent="0.25">
      <c r="A536" s="347">
        <v>78981</v>
      </c>
      <c r="B536" s="364">
        <f t="shared" si="232"/>
        <v>78.980999999999995</v>
      </c>
      <c r="C536" s="337">
        <f t="shared" si="213"/>
        <v>17.894212795899502</v>
      </c>
      <c r="D536" s="338">
        <f t="shared" si="214"/>
        <v>1.5148832085343069</v>
      </c>
      <c r="E536" s="338">
        <f t="shared" si="215"/>
        <v>1.0070674948065239</v>
      </c>
      <c r="F536" s="339">
        <f t="shared" si="216"/>
        <v>0.11854214218930118</v>
      </c>
      <c r="G536" s="338">
        <f t="shared" si="217"/>
        <v>1</v>
      </c>
      <c r="H536" s="339">
        <f t="shared" si="218"/>
        <v>0</v>
      </c>
      <c r="I536" s="337">
        <f t="shared" si="219"/>
        <v>47652.499039095383</v>
      </c>
      <c r="J536" s="340">
        <f t="shared" si="220"/>
        <v>1.5707753415366155</v>
      </c>
      <c r="K536" s="348">
        <f t="shared" si="236"/>
        <v>12.322885323237728</v>
      </c>
      <c r="L536" s="349">
        <f t="shared" si="237"/>
        <v>1.4895571698890111</v>
      </c>
      <c r="M536" s="337">
        <f t="shared" si="221"/>
        <v>1.2343153538036424</v>
      </c>
      <c r="N536" s="340">
        <f t="shared" si="222"/>
        <v>0.626361547609251</v>
      </c>
      <c r="O536" s="341">
        <f t="shared" si="223"/>
        <v>1.12806126344978</v>
      </c>
      <c r="P536" s="342">
        <f t="shared" si="224"/>
        <v>1.1268959353776888</v>
      </c>
      <c r="Q536" s="343">
        <f t="shared" si="225"/>
        <v>-4.4067048624370129</v>
      </c>
      <c r="R536" s="344">
        <f t="shared" si="226"/>
        <v>-185.11216270394544</v>
      </c>
      <c r="S536" s="346">
        <f t="shared" si="227"/>
        <v>-5.1121627039454438</v>
      </c>
      <c r="U536" s="319">
        <f t="shared" si="233"/>
        <v>78981</v>
      </c>
      <c r="V536" s="319">
        <f t="shared" si="234"/>
        <v>6237998361</v>
      </c>
      <c r="X536" s="345">
        <f t="shared" si="228"/>
        <v>24.131236288985029</v>
      </c>
      <c r="Y536" s="346">
        <f t="shared" si="229"/>
        <v>-40.541331628794708</v>
      </c>
      <c r="AA536" s="345">
        <f t="shared" si="230"/>
        <v>33.701800182967936</v>
      </c>
      <c r="AB536" s="346">
        <f t="shared" si="231"/>
        <v>-144.57083107515066</v>
      </c>
      <c r="AD536">
        <f t="shared" si="235"/>
        <v>0</v>
      </c>
      <c r="AE536">
        <f t="shared" si="212"/>
        <v>0</v>
      </c>
    </row>
    <row r="537" spans="1:31" x14ac:dyDescent="0.25">
      <c r="A537" s="347">
        <v>79433</v>
      </c>
      <c r="B537" s="364">
        <f t="shared" si="232"/>
        <v>79.433000000000007</v>
      </c>
      <c r="C537" s="337">
        <f t="shared" si="213"/>
        <v>17.996300592520814</v>
      </c>
      <c r="D537" s="338">
        <f t="shared" si="214"/>
        <v>1.5152007155741196</v>
      </c>
      <c r="E537" s="338">
        <f t="shared" si="215"/>
        <v>1.0071483314384233</v>
      </c>
      <c r="F537" s="339">
        <f t="shared" si="216"/>
        <v>0.11921415501377758</v>
      </c>
      <c r="G537" s="338">
        <f t="shared" si="217"/>
        <v>1</v>
      </c>
      <c r="H537" s="339">
        <f t="shared" si="218"/>
        <v>0</v>
      </c>
      <c r="I537" s="337">
        <f t="shared" si="219"/>
        <v>47925.209305567223</v>
      </c>
      <c r="J537" s="340">
        <f t="shared" si="220"/>
        <v>1.5707754609496647</v>
      </c>
      <c r="K537" s="348">
        <f t="shared" si="236"/>
        <v>12.392944807433249</v>
      </c>
      <c r="L537" s="349">
        <f t="shared" si="237"/>
        <v>1.4900174334558909</v>
      </c>
      <c r="M537" s="337">
        <f t="shared" si="221"/>
        <v>1.2367472677561264</v>
      </c>
      <c r="N537" s="340">
        <f t="shared" si="222"/>
        <v>0.62907412324714007</v>
      </c>
      <c r="O537" s="341">
        <f t="shared" si="223"/>
        <v>1.130812159132613</v>
      </c>
      <c r="P537" s="342">
        <f t="shared" si="224"/>
        <v>1.1338360701979631</v>
      </c>
      <c r="Q537" s="343">
        <f t="shared" si="225"/>
        <v>-4.4939973015949972</v>
      </c>
      <c r="R537" s="344">
        <f t="shared" si="226"/>
        <v>-185.61854627138226</v>
      </c>
      <c r="S537" s="346">
        <f t="shared" si="227"/>
        <v>-5.6185462713822574</v>
      </c>
      <c r="U537" s="319">
        <f t="shared" si="233"/>
        <v>79433</v>
      </c>
      <c r="V537" s="319">
        <f t="shared" si="234"/>
        <v>6309601489</v>
      </c>
      <c r="X537" s="345">
        <f t="shared" si="228"/>
        <v>24.113815154598388</v>
      </c>
      <c r="Y537" s="346">
        <f t="shared" si="229"/>
        <v>-40.670386446621102</v>
      </c>
      <c r="AA537" s="345">
        <f t="shared" si="230"/>
        <v>33.631928878196597</v>
      </c>
      <c r="AB537" s="346">
        <f t="shared" si="231"/>
        <v>-144.94815982476112</v>
      </c>
      <c r="AD537">
        <f t="shared" si="235"/>
        <v>0</v>
      </c>
      <c r="AE537">
        <f t="shared" si="212"/>
        <v>0</v>
      </c>
    </row>
    <row r="538" spans="1:31" x14ac:dyDescent="0.25">
      <c r="A538" s="347">
        <v>79895.5</v>
      </c>
      <c r="B538" s="364">
        <f t="shared" si="232"/>
        <v>79.895499999999998</v>
      </c>
      <c r="C538" s="337">
        <f t="shared" si="213"/>
        <v>18.100761754189172</v>
      </c>
      <c r="D538" s="338">
        <f t="shared" si="214"/>
        <v>1.51552189107263</v>
      </c>
      <c r="E538" s="338">
        <f t="shared" si="215"/>
        <v>1.0072315166366053</v>
      </c>
      <c r="F538" s="339">
        <f t="shared" si="216"/>
        <v>0.11990166678249971</v>
      </c>
      <c r="G538" s="338">
        <f t="shared" si="217"/>
        <v>1</v>
      </c>
      <c r="H538" s="339">
        <f t="shared" si="218"/>
        <v>0</v>
      </c>
      <c r="I538" s="337">
        <f t="shared" si="219"/>
        <v>48204.254655663557</v>
      </c>
      <c r="J538" s="340">
        <f t="shared" si="220"/>
        <v>1.5707755817381124</v>
      </c>
      <c r="K538" s="348">
        <f t="shared" si="236"/>
        <v>12.46463446628484</v>
      </c>
      <c r="L538" s="349">
        <f t="shared" si="237"/>
        <v>1.4904830332303836</v>
      </c>
      <c r="M538" s="337">
        <f t="shared" si="221"/>
        <v>1.2392450574607892</v>
      </c>
      <c r="N538" s="340">
        <f t="shared" si="222"/>
        <v>0.63183867112474812</v>
      </c>
      <c r="O538" s="341">
        <f t="shared" si="223"/>
        <v>1.1336684906935768</v>
      </c>
      <c r="P538" s="342">
        <f t="shared" si="224"/>
        <v>1.1409302403280057</v>
      </c>
      <c r="Q538" s="343">
        <f t="shared" si="225"/>
        <v>-4.5833154844895425</v>
      </c>
      <c r="R538" s="344">
        <f t="shared" si="226"/>
        <v>-186.13574970170313</v>
      </c>
      <c r="S538" s="346">
        <f t="shared" si="227"/>
        <v>-6.1357497017031335</v>
      </c>
      <c r="U538" s="319">
        <f t="shared" si="233"/>
        <v>79895.5</v>
      </c>
      <c r="V538" s="319">
        <f t="shared" si="234"/>
        <v>6383290920.25</v>
      </c>
      <c r="X538" s="345">
        <f t="shared" si="228"/>
        <v>24.095963990459065</v>
      </c>
      <c r="Y538" s="346">
        <f t="shared" si="229"/>
        <v>-40.802113391068012</v>
      </c>
      <c r="AA538" s="345">
        <f t="shared" si="230"/>
        <v>33.560461859441368</v>
      </c>
      <c r="AB538" s="346">
        <f t="shared" si="231"/>
        <v>-145.33363631063511</v>
      </c>
      <c r="AD538">
        <f t="shared" si="235"/>
        <v>0</v>
      </c>
      <c r="AE538">
        <f t="shared" ref="AE538:AE601" si="238">IF(AD538&gt;0,S538,0)</f>
        <v>0</v>
      </c>
    </row>
    <row r="539" spans="1:31" x14ac:dyDescent="0.25">
      <c r="A539" s="347">
        <v>80358</v>
      </c>
      <c r="B539" s="364">
        <f t="shared" si="232"/>
        <v>80.358000000000004</v>
      </c>
      <c r="C539" s="337">
        <f t="shared" si="213"/>
        <v>18.205224761590532</v>
      </c>
      <c r="D539" s="338">
        <f t="shared" si="214"/>
        <v>1.515839380743182</v>
      </c>
      <c r="E539" s="338">
        <f t="shared" si="215"/>
        <v>1.0073151778465947</v>
      </c>
      <c r="F539" s="339">
        <f t="shared" si="216"/>
        <v>0.12058906467535678</v>
      </c>
      <c r="G539" s="338">
        <f t="shared" si="217"/>
        <v>1</v>
      </c>
      <c r="H539" s="339">
        <f t="shared" si="218"/>
        <v>0</v>
      </c>
      <c r="I539" s="337">
        <f t="shared" si="219"/>
        <v>48483.30000576059</v>
      </c>
      <c r="J539" s="340">
        <f t="shared" si="220"/>
        <v>1.5707757011361656</v>
      </c>
      <c r="K539" s="348">
        <f t="shared" si="236"/>
        <v>12.536326796354345</v>
      </c>
      <c r="L539" s="349">
        <f t="shared" si="237"/>
        <v>1.4909433077905985</v>
      </c>
      <c r="M539" s="337">
        <f t="shared" si="221"/>
        <v>1.2417522802297156</v>
      </c>
      <c r="N539" s="340">
        <f t="shared" si="222"/>
        <v>0.63459207617470148</v>
      </c>
      <c r="O539" s="341">
        <f t="shared" si="223"/>
        <v>1.1365670811568462</v>
      </c>
      <c r="P539" s="342">
        <f t="shared" si="224"/>
        <v>1.1480167676735951</v>
      </c>
      <c r="Q539" s="343">
        <f t="shared" si="225"/>
        <v>-4.6726341283136854</v>
      </c>
      <c r="R539" s="344">
        <f t="shared" si="226"/>
        <v>-186.6519771705934</v>
      </c>
      <c r="S539" s="346">
        <f t="shared" si="227"/>
        <v>-6.6519771705933977</v>
      </c>
      <c r="U539" s="319">
        <f t="shared" si="233"/>
        <v>80358</v>
      </c>
      <c r="V539" s="319">
        <f t="shared" si="234"/>
        <v>6457408164</v>
      </c>
      <c r="X539" s="345">
        <f t="shared" si="228"/>
        <v>24.078087726317246</v>
      </c>
      <c r="Y539" s="346">
        <f t="shared" si="229"/>
        <v>-40.93350693115746</v>
      </c>
      <c r="AA539" s="345">
        <f t="shared" si="230"/>
        <v>33.489019479759044</v>
      </c>
      <c r="AB539" s="346">
        <f t="shared" si="231"/>
        <v>-145.7184702394359</v>
      </c>
      <c r="AD539">
        <f t="shared" si="235"/>
        <v>0</v>
      </c>
      <c r="AE539">
        <f t="shared" si="238"/>
        <v>0</v>
      </c>
    </row>
    <row r="540" spans="1:31" x14ac:dyDescent="0.25">
      <c r="A540" s="347">
        <v>80820.5</v>
      </c>
      <c r="B540" s="364">
        <f t="shared" si="232"/>
        <v>80.820499999999996</v>
      </c>
      <c r="C540" s="337">
        <f t="shared" si="213"/>
        <v>18.309689583133295</v>
      </c>
      <c r="D540" s="338">
        <f t="shared" si="214"/>
        <v>1.516153247609018</v>
      </c>
      <c r="E540" s="338">
        <f t="shared" si="215"/>
        <v>1.0073993149497977</v>
      </c>
      <c r="F540" s="339">
        <f t="shared" si="216"/>
        <v>0.12127634807118834</v>
      </c>
      <c r="G540" s="338">
        <f t="shared" si="217"/>
        <v>1</v>
      </c>
      <c r="H540" s="339">
        <f t="shared" si="218"/>
        <v>0</v>
      </c>
      <c r="I540" s="337">
        <f t="shared" si="219"/>
        <v>48762.345355858306</v>
      </c>
      <c r="J540" s="340">
        <f t="shared" si="220"/>
        <v>1.5707758191676944</v>
      </c>
      <c r="K540" s="348">
        <f t="shared" si="236"/>
        <v>12.60802175207415</v>
      </c>
      <c r="L540" s="349">
        <f t="shared" si="237"/>
        <v>1.4913983477846151</v>
      </c>
      <c r="M540" s="337">
        <f t="shared" si="221"/>
        <v>1.2442688790395571</v>
      </c>
      <c r="N540" s="340">
        <f t="shared" si="222"/>
        <v>0.63733436413358013</v>
      </c>
      <c r="O540" s="341">
        <f t="shared" si="223"/>
        <v>1.1395081782098073</v>
      </c>
      <c r="P540" s="342">
        <f t="shared" si="224"/>
        <v>1.1550952743279947</v>
      </c>
      <c r="Q540" s="343">
        <f t="shared" si="225"/>
        <v>-4.7619556875469522</v>
      </c>
      <c r="R540" s="344">
        <f t="shared" si="226"/>
        <v>-187.1672069543603</v>
      </c>
      <c r="S540" s="346">
        <f t="shared" si="227"/>
        <v>-7.1672069543602959</v>
      </c>
      <c r="U540" s="319">
        <f t="shared" si="233"/>
        <v>80820.5</v>
      </c>
      <c r="V540" s="319">
        <f t="shared" si="234"/>
        <v>6531953220.25</v>
      </c>
      <c r="X540" s="345">
        <f t="shared" si="228"/>
        <v>24.060186890232128</v>
      </c>
      <c r="Y540" s="346">
        <f t="shared" si="229"/>
        <v>-41.064563349102151</v>
      </c>
      <c r="AA540" s="345">
        <f t="shared" si="230"/>
        <v>33.4175987566109</v>
      </c>
      <c r="AB540" s="346">
        <f t="shared" si="231"/>
        <v>-146.10264360525812</v>
      </c>
      <c r="AD540">
        <f t="shared" si="235"/>
        <v>0</v>
      </c>
      <c r="AE540">
        <f t="shared" si="238"/>
        <v>0</v>
      </c>
    </row>
    <row r="541" spans="1:31" x14ac:dyDescent="0.25">
      <c r="A541" s="347">
        <v>81283</v>
      </c>
      <c r="B541" s="364">
        <f t="shared" si="232"/>
        <v>81.283000000000001</v>
      </c>
      <c r="C541" s="337">
        <f t="shared" si="213"/>
        <v>18.414156187942194</v>
      </c>
      <c r="D541" s="338">
        <f t="shared" si="214"/>
        <v>1.516463553266107</v>
      </c>
      <c r="E541" s="338">
        <f t="shared" si="215"/>
        <v>1.0074839278269858</v>
      </c>
      <c r="F541" s="339">
        <f t="shared" si="216"/>
        <v>0.12196351634947347</v>
      </c>
      <c r="G541" s="338">
        <f t="shared" si="217"/>
        <v>1</v>
      </c>
      <c r="H541" s="339">
        <f t="shared" si="218"/>
        <v>0</v>
      </c>
      <c r="I541" s="337">
        <f t="shared" si="219"/>
        <v>49041.390705956692</v>
      </c>
      <c r="J541" s="340">
        <f t="shared" si="220"/>
        <v>1.5707759358560249</v>
      </c>
      <c r="K541" s="348">
        <f t="shared" si="236"/>
        <v>12.679719288905597</v>
      </c>
      <c r="L541" s="349">
        <f t="shared" si="237"/>
        <v>1.4918482418190175</v>
      </c>
      <c r="M541" s="337">
        <f t="shared" si="221"/>
        <v>1.2467947971149731</v>
      </c>
      <c r="N541" s="340">
        <f t="shared" si="222"/>
        <v>0.64006556119937685</v>
      </c>
      <c r="O541" s="341">
        <f t="shared" si="223"/>
        <v>1.1424920255458579</v>
      </c>
      <c r="P541" s="342">
        <f t="shared" si="224"/>
        <v>1.1621653831761944</v>
      </c>
      <c r="Q541" s="343">
        <f t="shared" si="225"/>
        <v>-4.8512825006302034</v>
      </c>
      <c r="R541" s="344">
        <f t="shared" si="226"/>
        <v>-187.68141743623511</v>
      </c>
      <c r="S541" s="346">
        <f t="shared" si="227"/>
        <v>-7.6814174362351082</v>
      </c>
      <c r="U541" s="319">
        <f t="shared" si="233"/>
        <v>81283</v>
      </c>
      <c r="V541" s="319">
        <f t="shared" si="234"/>
        <v>6606926089</v>
      </c>
      <c r="X541" s="345">
        <f t="shared" si="228"/>
        <v>24.042262008027603</v>
      </c>
      <c r="Y541" s="346">
        <f t="shared" si="229"/>
        <v>-41.195279070489647</v>
      </c>
      <c r="AA541" s="345">
        <f t="shared" si="230"/>
        <v>33.346196825732179</v>
      </c>
      <c r="AB541" s="346">
        <f t="shared" si="231"/>
        <v>-146.48613836574546</v>
      </c>
      <c r="AD541">
        <f t="shared" si="235"/>
        <v>0</v>
      </c>
      <c r="AE541">
        <f t="shared" si="238"/>
        <v>0</v>
      </c>
    </row>
    <row r="542" spans="1:31" x14ac:dyDescent="0.25">
      <c r="A542" s="347">
        <v>81756.25</v>
      </c>
      <c r="B542" s="364">
        <f t="shared" si="232"/>
        <v>81.756249999999994</v>
      </c>
      <c r="C542" s="337">
        <f t="shared" si="213"/>
        <v>18.52105274990129</v>
      </c>
      <c r="D542" s="338">
        <f t="shared" si="214"/>
        <v>1.5167774479002112</v>
      </c>
      <c r="E542" s="338">
        <f t="shared" si="215"/>
        <v>1.0075709997471196</v>
      </c>
      <c r="F542" s="339">
        <f t="shared" si="216"/>
        <v>0.1226665368383746</v>
      </c>
      <c r="G542" s="338">
        <f t="shared" si="217"/>
        <v>1</v>
      </c>
      <c r="H542" s="339">
        <f t="shared" si="218"/>
        <v>0</v>
      </c>
      <c r="I542" s="337">
        <f t="shared" si="219"/>
        <v>49326.921975003992</v>
      </c>
      <c r="J542" s="340">
        <f t="shared" si="220"/>
        <v>1.5707760538899589</v>
      </c>
      <c r="K542" s="348">
        <f t="shared" si="236"/>
        <v>12.753085935413026</v>
      </c>
      <c r="L542" s="349">
        <f t="shared" si="237"/>
        <v>1.4923033564355785</v>
      </c>
      <c r="M542" s="337">
        <f t="shared" si="221"/>
        <v>1.2493890134530796</v>
      </c>
      <c r="N542" s="340">
        <f t="shared" si="222"/>
        <v>0.64284878737248574</v>
      </c>
      <c r="O542" s="341">
        <f t="shared" si="223"/>
        <v>1.1455897294630442</v>
      </c>
      <c r="P542" s="342">
        <f t="shared" si="224"/>
        <v>1.1693907390454574</v>
      </c>
      <c r="Q542" s="343">
        <f t="shared" si="225"/>
        <v>-4.9426933163326963</v>
      </c>
      <c r="R542" s="344">
        <f t="shared" si="226"/>
        <v>-188.20650229371682</v>
      </c>
      <c r="S542" s="346">
        <f t="shared" si="227"/>
        <v>-8.2065022937168237</v>
      </c>
      <c r="U542" s="319">
        <f t="shared" si="233"/>
        <v>81756.25</v>
      </c>
      <c r="V542" s="319">
        <f t="shared" si="234"/>
        <v>6684084414.0625</v>
      </c>
      <c r="X542" s="345">
        <f t="shared" si="228"/>
        <v>24.023896148493829</v>
      </c>
      <c r="Y542" s="346">
        <f t="shared" si="229"/>
        <v>-41.328676799914184</v>
      </c>
      <c r="AA542" s="345">
        <f t="shared" si="230"/>
        <v>33.273151869563449</v>
      </c>
      <c r="AB542" s="346">
        <f t="shared" si="231"/>
        <v>-146.87782549380259</v>
      </c>
      <c r="AD542">
        <f t="shared" si="235"/>
        <v>0</v>
      </c>
      <c r="AE542">
        <f t="shared" si="238"/>
        <v>0</v>
      </c>
    </row>
    <row r="543" spans="1:31" x14ac:dyDescent="0.25">
      <c r="A543" s="347">
        <v>82229.5</v>
      </c>
      <c r="B543" s="364">
        <f t="shared" si="232"/>
        <v>82.229500000000002</v>
      </c>
      <c r="C543" s="337">
        <f t="shared" si="213"/>
        <v>18.627951115792552</v>
      </c>
      <c r="D543" s="338">
        <f t="shared" si="214"/>
        <v>1.5170877399329126</v>
      </c>
      <c r="E543" s="338">
        <f t="shared" si="215"/>
        <v>1.0076585695607307</v>
      </c>
      <c r="F543" s="339">
        <f t="shared" si="216"/>
        <v>0.12336943548368608</v>
      </c>
      <c r="G543" s="338">
        <f t="shared" si="217"/>
        <v>1</v>
      </c>
      <c r="H543" s="339">
        <f t="shared" si="218"/>
        <v>0</v>
      </c>
      <c r="I543" s="337">
        <f t="shared" si="219"/>
        <v>49612.453244051976</v>
      </c>
      <c r="J543" s="340">
        <f t="shared" si="220"/>
        <v>1.5707761705652672</v>
      </c>
      <c r="K543" s="348">
        <f t="shared" si="236"/>
        <v>12.826455193239164</v>
      </c>
      <c r="L543" s="349">
        <f t="shared" si="237"/>
        <v>1.4927532644959742</v>
      </c>
      <c r="M543" s="337">
        <f t="shared" si="221"/>
        <v>1.2519928678417407</v>
      </c>
      <c r="N543" s="340">
        <f t="shared" si="222"/>
        <v>0.64562045801361656</v>
      </c>
      <c r="O543" s="341">
        <f t="shared" si="223"/>
        <v>1.1487326973340797</v>
      </c>
      <c r="P543" s="342">
        <f t="shared" si="224"/>
        <v>1.1766065065956306</v>
      </c>
      <c r="Q543" s="343">
        <f t="shared" si="225"/>
        <v>-5.0341142216786565</v>
      </c>
      <c r="R543" s="344">
        <f t="shared" si="226"/>
        <v>-188.73047450088666</v>
      </c>
      <c r="S543" s="346">
        <f t="shared" si="227"/>
        <v>-8.7304745008866576</v>
      </c>
      <c r="U543" s="319">
        <f t="shared" si="233"/>
        <v>82229.5</v>
      </c>
      <c r="V543" s="319">
        <f t="shared" si="234"/>
        <v>6761690670.25</v>
      </c>
      <c r="X543" s="345">
        <f t="shared" si="228"/>
        <v>24.005506218267026</v>
      </c>
      <c r="Y543" s="346">
        <f t="shared" si="229"/>
        <v>-41.461710681976442</v>
      </c>
      <c r="AA543" s="345">
        <f t="shared" si="230"/>
        <v>33.200120894444296</v>
      </c>
      <c r="AB543" s="346">
        <f t="shared" si="231"/>
        <v>-147.2687638189102</v>
      </c>
      <c r="AD543">
        <f t="shared" si="235"/>
        <v>0</v>
      </c>
      <c r="AE543">
        <f t="shared" si="238"/>
        <v>0</v>
      </c>
    </row>
    <row r="544" spans="1:31" x14ac:dyDescent="0.25">
      <c r="A544" s="347">
        <v>82702.75</v>
      </c>
      <c r="B544" s="364">
        <f t="shared" si="232"/>
        <v>82.702749999999995</v>
      </c>
      <c r="C544" s="337">
        <f t="shared" si="213"/>
        <v>18.734851254737045</v>
      </c>
      <c r="D544" s="338">
        <f t="shared" si="214"/>
        <v>1.5173944909727421</v>
      </c>
      <c r="E544" s="338">
        <f t="shared" si="215"/>
        <v>1.0077466371380239</v>
      </c>
      <c r="F544" s="339">
        <f t="shared" si="216"/>
        <v>0.12407221162270488</v>
      </c>
      <c r="G544" s="338">
        <f t="shared" si="217"/>
        <v>1</v>
      </c>
      <c r="H544" s="339">
        <f t="shared" si="218"/>
        <v>0</v>
      </c>
      <c r="I544" s="337">
        <f t="shared" si="219"/>
        <v>49897.984513100637</v>
      </c>
      <c r="J544" s="340">
        <f t="shared" si="220"/>
        <v>1.570776285905273</v>
      </c>
      <c r="K544" s="348">
        <f t="shared" si="236"/>
        <v>12.899827017827485</v>
      </c>
      <c r="L544" s="349">
        <f t="shared" si="237"/>
        <v>1.4931980546582726</v>
      </c>
      <c r="M544" s="337">
        <f t="shared" si="221"/>
        <v>1.2546063002715027</v>
      </c>
      <c r="N544" s="340">
        <f t="shared" si="222"/>
        <v>0.64838060261865393</v>
      </c>
      <c r="O544" s="341">
        <f t="shared" si="223"/>
        <v>1.151921177008618</v>
      </c>
      <c r="P544" s="342">
        <f t="shared" si="224"/>
        <v>1.1838122855082256</v>
      </c>
      <c r="Q544" s="343">
        <f t="shared" si="225"/>
        <v>-5.1255473554504327</v>
      </c>
      <c r="R544" s="344">
        <f t="shared" si="226"/>
        <v>-189.25331130065672</v>
      </c>
      <c r="S544" s="346">
        <f t="shared" si="227"/>
        <v>-9.2533113006567191</v>
      </c>
      <c r="U544" s="319">
        <f t="shared" si="233"/>
        <v>82702.75</v>
      </c>
      <c r="V544" s="319">
        <f t="shared" si="234"/>
        <v>6839744857.5625</v>
      </c>
      <c r="X544" s="345">
        <f t="shared" si="228"/>
        <v>23.987092772687504</v>
      </c>
      <c r="Y544" s="346">
        <f t="shared" si="229"/>
        <v>-41.594377328269388</v>
      </c>
      <c r="AA544" s="345">
        <f t="shared" si="230"/>
        <v>33.127101206252043</v>
      </c>
      <c r="AB544" s="346">
        <f t="shared" si="231"/>
        <v>-147.65893397238727</v>
      </c>
      <c r="AD544">
        <f t="shared" si="235"/>
        <v>0</v>
      </c>
      <c r="AE544">
        <f t="shared" si="238"/>
        <v>0</v>
      </c>
    </row>
    <row r="545" spans="1:31" x14ac:dyDescent="0.25">
      <c r="A545" s="347">
        <v>83176</v>
      </c>
      <c r="B545" s="364">
        <f t="shared" si="232"/>
        <v>83.176000000000002</v>
      </c>
      <c r="C545" s="337">
        <f t="shared" si="213"/>
        <v>18.841753136556111</v>
      </c>
      <c r="D545" s="338">
        <f t="shared" si="214"/>
        <v>1.5176977612327456</v>
      </c>
      <c r="E545" s="338">
        <f t="shared" si="215"/>
        <v>1.0078352023485109</v>
      </c>
      <c r="F545" s="339">
        <f t="shared" si="216"/>
        <v>0.12477486459344306</v>
      </c>
      <c r="G545" s="338">
        <f t="shared" si="217"/>
        <v>1</v>
      </c>
      <c r="H545" s="339">
        <f t="shared" si="218"/>
        <v>0</v>
      </c>
      <c r="I545" s="337">
        <f t="shared" si="219"/>
        <v>50183.515782149931</v>
      </c>
      <c r="J545" s="340">
        <f t="shared" si="220"/>
        <v>1.5707763999327691</v>
      </c>
      <c r="K545" s="348">
        <f t="shared" si="236"/>
        <v>12.973201365627897</v>
      </c>
      <c r="L545" s="349">
        <f t="shared" si="237"/>
        <v>1.4936378135830048</v>
      </c>
      <c r="M545" s="337">
        <f t="shared" si="221"/>
        <v>1.2572292510120593</v>
      </c>
      <c r="N545" s="340">
        <f t="shared" si="222"/>
        <v>0.65112925114115883</v>
      </c>
      <c r="O545" s="341">
        <f t="shared" si="223"/>
        <v>1.1551554117990119</v>
      </c>
      <c r="P545" s="342">
        <f t="shared" si="224"/>
        <v>1.1910076770935052</v>
      </c>
      <c r="Q545" s="343">
        <f t="shared" si="225"/>
        <v>-5.2169947365046827</v>
      </c>
      <c r="R545" s="344">
        <f t="shared" si="226"/>
        <v>-189.774990089906</v>
      </c>
      <c r="S545" s="346">
        <f t="shared" si="227"/>
        <v>-9.774990089905998</v>
      </c>
      <c r="U545" s="319">
        <f t="shared" si="233"/>
        <v>83176</v>
      </c>
      <c r="V545" s="319">
        <f t="shared" si="234"/>
        <v>6918246976</v>
      </c>
      <c r="X545" s="345">
        <f t="shared" si="228"/>
        <v>23.96865636416652</v>
      </c>
      <c r="Y545" s="346">
        <f t="shared" si="229"/>
        <v>-41.726673491028855</v>
      </c>
      <c r="AA545" s="345">
        <f t="shared" si="230"/>
        <v>33.054090233718767</v>
      </c>
      <c r="AB545" s="346">
        <f t="shared" si="231"/>
        <v>-148.04831659887714</v>
      </c>
      <c r="AD545">
        <f t="shared" si="235"/>
        <v>0</v>
      </c>
      <c r="AE545">
        <f t="shared" si="238"/>
        <v>0</v>
      </c>
    </row>
    <row r="546" spans="1:31" x14ac:dyDescent="0.25">
      <c r="A546" s="347">
        <v>83660.5</v>
      </c>
      <c r="B546" s="364">
        <f t="shared" si="232"/>
        <v>83.660499999999999</v>
      </c>
      <c r="C546" s="337">
        <f t="shared" si="213"/>
        <v>18.951198042264377</v>
      </c>
      <c r="D546" s="338">
        <f t="shared" si="214"/>
        <v>1.5180046963371097</v>
      </c>
      <c r="E546" s="338">
        <f t="shared" si="215"/>
        <v>1.0079263882939267</v>
      </c>
      <c r="F546" s="339">
        <f t="shared" si="216"/>
        <v>0.1254940925981754</v>
      </c>
      <c r="G546" s="338">
        <f t="shared" si="217"/>
        <v>1</v>
      </c>
      <c r="H546" s="339">
        <f t="shared" si="218"/>
        <v>0</v>
      </c>
      <c r="I546" s="337">
        <f t="shared" si="219"/>
        <v>50475.834640796958</v>
      </c>
      <c r="J546" s="340">
        <f t="shared" si="220"/>
        <v>1.5707765153344784</v>
      </c>
      <c r="K546" s="348">
        <f t="shared" si="236"/>
        <v>13.048322522526407</v>
      </c>
      <c r="L546" s="349">
        <f t="shared" si="237"/>
        <v>1.4940829027507676</v>
      </c>
      <c r="M546" s="337">
        <f t="shared" si="221"/>
        <v>1.2599243523176338</v>
      </c>
      <c r="N546" s="340">
        <f t="shared" si="222"/>
        <v>0.65393136245111305</v>
      </c>
      <c r="O546" s="341">
        <f t="shared" si="223"/>
        <v>1.1585141789610798</v>
      </c>
      <c r="P546" s="342">
        <f t="shared" si="224"/>
        <v>1.1983629409893664</v>
      </c>
      <c r="Q546" s="343">
        <f t="shared" si="225"/>
        <v>-5.310632728886084</v>
      </c>
      <c r="R546" s="344">
        <f t="shared" si="226"/>
        <v>-190.30784705883562</v>
      </c>
      <c r="S546" s="346">
        <f t="shared" si="227"/>
        <v>-10.30784705883562</v>
      </c>
      <c r="U546" s="319">
        <f t="shared" si="233"/>
        <v>83660.5</v>
      </c>
      <c r="V546" s="319">
        <f t="shared" si="234"/>
        <v>6999079260.25</v>
      </c>
      <c r="X546" s="345">
        <f t="shared" si="228"/>
        <v>23.949758474575724</v>
      </c>
      <c r="Y546" s="346">
        <f t="shared" si="229"/>
        <v>-41.86172752418053</v>
      </c>
      <c r="AA546" s="345">
        <f t="shared" si="230"/>
        <v>32.979350130928175</v>
      </c>
      <c r="AB546" s="346">
        <f t="shared" si="231"/>
        <v>-148.44611953465514</v>
      </c>
      <c r="AD546">
        <f t="shared" si="235"/>
        <v>0</v>
      </c>
      <c r="AE546">
        <f t="shared" si="238"/>
        <v>0</v>
      </c>
    </row>
    <row r="547" spans="1:31" x14ac:dyDescent="0.25">
      <c r="A547" s="347">
        <v>84145</v>
      </c>
      <c r="B547" s="364">
        <f t="shared" si="232"/>
        <v>84.144999999999996</v>
      </c>
      <c r="C547" s="337">
        <f t="shared" si="213"/>
        <v>19.060644712845946</v>
      </c>
      <c r="D547" s="338">
        <f t="shared" si="214"/>
        <v>1.518308106612597</v>
      </c>
      <c r="E547" s="338">
        <f t="shared" si="215"/>
        <v>1.0080180955340103</v>
      </c>
      <c r="F547" s="339">
        <f t="shared" si="216"/>
        <v>0.12621319010731033</v>
      </c>
      <c r="G547" s="338">
        <f t="shared" si="217"/>
        <v>1</v>
      </c>
      <c r="H547" s="339">
        <f t="shared" si="218"/>
        <v>0</v>
      </c>
      <c r="I547" s="337">
        <f t="shared" si="219"/>
        <v>50768.153499444648</v>
      </c>
      <c r="J547" s="340">
        <f t="shared" si="220"/>
        <v>1.5707766294072405</v>
      </c>
      <c r="K547" s="348">
        <f t="shared" si="236"/>
        <v>13.123446234761019</v>
      </c>
      <c r="L547" s="349">
        <f t="shared" si="237"/>
        <v>1.4945228962777279</v>
      </c>
      <c r="M547" s="337">
        <f t="shared" si="221"/>
        <v>1.2626293040547825</v>
      </c>
      <c r="N547" s="340">
        <f t="shared" si="222"/>
        <v>0.65672148957140319</v>
      </c>
      <c r="O547" s="341">
        <f t="shared" si="223"/>
        <v>1.161921403844222</v>
      </c>
      <c r="P547" s="342">
        <f t="shared" si="224"/>
        <v>1.2057064782005755</v>
      </c>
      <c r="Q547" s="343">
        <f t="shared" si="225"/>
        <v>-5.4042895591519144</v>
      </c>
      <c r="R547" s="344">
        <f t="shared" si="226"/>
        <v>-190.83944289633473</v>
      </c>
      <c r="S547" s="346">
        <f t="shared" si="227"/>
        <v>-10.839442896334731</v>
      </c>
      <c r="U547" s="319">
        <f t="shared" si="233"/>
        <v>84145</v>
      </c>
      <c r="V547" s="319">
        <f t="shared" si="234"/>
        <v>7080381025</v>
      </c>
      <c r="X547" s="345">
        <f t="shared" si="228"/>
        <v>23.930837679210168</v>
      </c>
      <c r="Y547" s="346">
        <f t="shared" si="229"/>
        <v>-41.99638679641194</v>
      </c>
      <c r="AA547" s="345">
        <f t="shared" si="230"/>
        <v>32.904614096027899</v>
      </c>
      <c r="AB547" s="346">
        <f t="shared" si="231"/>
        <v>-148.84305609992279</v>
      </c>
      <c r="AD547">
        <f t="shared" si="235"/>
        <v>0</v>
      </c>
      <c r="AE547">
        <f t="shared" si="238"/>
        <v>0</v>
      </c>
    </row>
    <row r="548" spans="1:31" x14ac:dyDescent="0.25">
      <c r="A548" s="347">
        <v>84629.5</v>
      </c>
      <c r="B548" s="364">
        <f t="shared" si="232"/>
        <v>84.629499999999993</v>
      </c>
      <c r="C548" s="337">
        <f t="shared" si="213"/>
        <v>19.170093118072558</v>
      </c>
      <c r="D548" s="338">
        <f t="shared" si="214"/>
        <v>1.518608052376105</v>
      </c>
      <c r="E548" s="338">
        <f t="shared" si="215"/>
        <v>1.0081103239264964</v>
      </c>
      <c r="F548" s="339">
        <f t="shared" si="216"/>
        <v>0.12693215641287078</v>
      </c>
      <c r="G548" s="338">
        <f t="shared" si="217"/>
        <v>1</v>
      </c>
      <c r="H548" s="339">
        <f t="shared" si="218"/>
        <v>0</v>
      </c>
      <c r="I548" s="337">
        <f t="shared" si="219"/>
        <v>51060.472358092993</v>
      </c>
      <c r="J548" s="340">
        <f t="shared" si="220"/>
        <v>1.5707767421738801</v>
      </c>
      <c r="K548" s="348">
        <f t="shared" si="236"/>
        <v>13.198572458698299</v>
      </c>
      <c r="L548" s="349">
        <f t="shared" si="237"/>
        <v>1.4949578810051576</v>
      </c>
      <c r="M548" s="337">
        <f t="shared" si="221"/>
        <v>1.2653440430511023</v>
      </c>
      <c r="N548" s="340">
        <f t="shared" si="222"/>
        <v>0.6594996660564727</v>
      </c>
      <c r="O548" s="341">
        <f t="shared" si="223"/>
        <v>1.1653773325415575</v>
      </c>
      <c r="P548" s="342">
        <f t="shared" si="224"/>
        <v>1.21303786745301</v>
      </c>
      <c r="Q548" s="343">
        <f t="shared" si="225"/>
        <v>-5.4979670151917013</v>
      </c>
      <c r="R548" s="344">
        <f t="shared" si="226"/>
        <v>-191.36975390983898</v>
      </c>
      <c r="S548" s="346">
        <f t="shared" si="227"/>
        <v>-11.369753909838977</v>
      </c>
      <c r="U548" s="319">
        <f t="shared" si="233"/>
        <v>84629.5</v>
      </c>
      <c r="V548" s="319">
        <f t="shared" si="234"/>
        <v>7162152270.25</v>
      </c>
      <c r="X548" s="345">
        <f t="shared" si="228"/>
        <v>23.911894560611259</v>
      </c>
      <c r="Y548" s="346">
        <f t="shared" si="229"/>
        <v>-42.130648255920477</v>
      </c>
      <c r="AA548" s="345">
        <f t="shared" si="230"/>
        <v>32.829879758587012</v>
      </c>
      <c r="AB548" s="346">
        <f t="shared" si="231"/>
        <v>-149.23910565391853</v>
      </c>
      <c r="AD548">
        <f t="shared" si="235"/>
        <v>0</v>
      </c>
      <c r="AE548">
        <f t="shared" si="238"/>
        <v>0</v>
      </c>
    </row>
    <row r="549" spans="1:31" x14ac:dyDescent="0.25">
      <c r="A549" s="347">
        <v>85114</v>
      </c>
      <c r="B549" s="364">
        <f t="shared" si="232"/>
        <v>85.114000000000004</v>
      </c>
      <c r="C549" s="337">
        <f t="shared" si="213"/>
        <v>19.279543228401899</v>
      </c>
      <c r="D549" s="338">
        <f t="shared" si="214"/>
        <v>1.5189045925773785</v>
      </c>
      <c r="E549" s="338">
        <f t="shared" si="215"/>
        <v>1.0082030733283627</v>
      </c>
      <c r="F549" s="339">
        <f t="shared" si="216"/>
        <v>0.12765099080768044</v>
      </c>
      <c r="G549" s="338">
        <f t="shared" si="217"/>
        <v>1</v>
      </c>
      <c r="H549" s="339">
        <f t="shared" si="218"/>
        <v>0</v>
      </c>
      <c r="I549" s="337">
        <f t="shared" si="219"/>
        <v>51352.791216741985</v>
      </c>
      <c r="J549" s="340">
        <f t="shared" si="220"/>
        <v>1.5707768536567015</v>
      </c>
      <c r="K549" s="348">
        <f t="shared" si="236"/>
        <v>13.273701151691197</v>
      </c>
      <c r="L549" s="349">
        <f t="shared" si="237"/>
        <v>1.4953879418159348</v>
      </c>
      <c r="M549" s="337">
        <f t="shared" si="221"/>
        <v>1.2680685064475599</v>
      </c>
      <c r="N549" s="340">
        <f t="shared" si="222"/>
        <v>0.6622659259118524</v>
      </c>
      <c r="O549" s="341">
        <f t="shared" si="223"/>
        <v>1.1688822060320327</v>
      </c>
      <c r="P549" s="342">
        <f t="shared" si="224"/>
        <v>1.220356690079768</v>
      </c>
      <c r="Q549" s="343">
        <f t="shared" si="225"/>
        <v>-5.5916667614577804</v>
      </c>
      <c r="R549" s="344">
        <f t="shared" si="226"/>
        <v>-191.89875661581246</v>
      </c>
      <c r="S549" s="346">
        <f t="shared" si="227"/>
        <v>-11.898756615812459</v>
      </c>
      <c r="U549" s="319">
        <f t="shared" si="233"/>
        <v>85114</v>
      </c>
      <c r="V549" s="319">
        <f t="shared" si="234"/>
        <v>7244392996</v>
      </c>
      <c r="X549" s="345">
        <f t="shared" si="228"/>
        <v>23.892929697671974</v>
      </c>
      <c r="Y549" s="346">
        <f t="shared" si="229"/>
        <v>-42.264508988926814</v>
      </c>
      <c r="AA549" s="345">
        <f t="shared" si="230"/>
        <v>32.755144875260221</v>
      </c>
      <c r="AB549" s="346">
        <f t="shared" si="231"/>
        <v>-149.63424762688564</v>
      </c>
      <c r="AD549">
        <f t="shared" si="235"/>
        <v>0</v>
      </c>
      <c r="AE549">
        <f t="shared" si="238"/>
        <v>0</v>
      </c>
    </row>
    <row r="550" spans="1:31" x14ac:dyDescent="0.25">
      <c r="A550" s="347">
        <v>85609.5</v>
      </c>
      <c r="B550" s="364">
        <f t="shared" si="232"/>
        <v>85.609499999999997</v>
      </c>
      <c r="C550" s="337">
        <f t="shared" si="213"/>
        <v>19.391480007678659</v>
      </c>
      <c r="D550" s="338">
        <f t="shared" si="214"/>
        <v>1.5192044029962748</v>
      </c>
      <c r="E550" s="338">
        <f t="shared" si="215"/>
        <v>1.0082984672329771</v>
      </c>
      <c r="F550" s="339">
        <f t="shared" si="216"/>
        <v>0.12838600831482869</v>
      </c>
      <c r="G550" s="338">
        <f t="shared" si="217"/>
        <v>1</v>
      </c>
      <c r="H550" s="339">
        <f t="shared" si="218"/>
        <v>0</v>
      </c>
      <c r="I550" s="337">
        <f t="shared" si="219"/>
        <v>51651.746829664356</v>
      </c>
      <c r="J550" s="340">
        <f t="shared" si="220"/>
        <v>1.5707769663654545</v>
      </c>
      <c r="K550" s="348">
        <f t="shared" si="236"/>
        <v>13.350538063222004</v>
      </c>
      <c r="L550" s="349">
        <f t="shared" si="237"/>
        <v>1.4958227602410883</v>
      </c>
      <c r="M550" s="337">
        <f t="shared" si="221"/>
        <v>1.2708648184660751</v>
      </c>
      <c r="N550" s="340">
        <f t="shared" si="222"/>
        <v>0.66508270079605858</v>
      </c>
      <c r="O550" s="341">
        <f t="shared" si="223"/>
        <v>1.1725175235397887</v>
      </c>
      <c r="P550" s="342">
        <f t="shared" si="224"/>
        <v>1.227828246728373</v>
      </c>
      <c r="Q550" s="343">
        <f t="shared" si="225"/>
        <v>-5.6875185122864105</v>
      </c>
      <c r="R550" s="344">
        <f t="shared" si="226"/>
        <v>-192.43839225923952</v>
      </c>
      <c r="S550" s="346">
        <f t="shared" si="227"/>
        <v>-12.438392259239521</v>
      </c>
      <c r="U550" s="319">
        <f t="shared" si="233"/>
        <v>85609.5</v>
      </c>
      <c r="V550" s="319">
        <f t="shared" si="234"/>
        <v>7328986490.25</v>
      </c>
      <c r="X550" s="345">
        <f t="shared" si="228"/>
        <v>23.873512368830877</v>
      </c>
      <c r="Y550" s="346">
        <f t="shared" si="229"/>
        <v>-42.400991498906286</v>
      </c>
      <c r="AA550" s="345">
        <f t="shared" si="230"/>
        <v>32.678710453272693</v>
      </c>
      <c r="AB550" s="346">
        <f t="shared" si="231"/>
        <v>-150.03740076033327</v>
      </c>
      <c r="AD550">
        <f t="shared" si="235"/>
        <v>0</v>
      </c>
      <c r="AE550">
        <f t="shared" si="238"/>
        <v>0</v>
      </c>
    </row>
    <row r="551" spans="1:31" x14ac:dyDescent="0.25">
      <c r="A551" s="347">
        <v>86105</v>
      </c>
      <c r="B551" s="364">
        <f t="shared" si="232"/>
        <v>86.105000000000004</v>
      </c>
      <c r="C551" s="337">
        <f t="shared" si="213"/>
        <v>19.503418509975802</v>
      </c>
      <c r="D551" s="338">
        <f t="shared" si="214"/>
        <v>1.5195007719598235</v>
      </c>
      <c r="E551" s="338">
        <f t="shared" si="215"/>
        <v>1.0083944057683452</v>
      </c>
      <c r="F551" s="339">
        <f t="shared" si="216"/>
        <v>0.12912088635995933</v>
      </c>
      <c r="G551" s="338">
        <f t="shared" si="217"/>
        <v>1</v>
      </c>
      <c r="H551" s="339">
        <f t="shared" si="218"/>
        <v>0</v>
      </c>
      <c r="I551" s="337">
        <f t="shared" si="219"/>
        <v>51950.702442587375</v>
      </c>
      <c r="J551" s="340">
        <f t="shared" si="220"/>
        <v>1.5707770777770191</v>
      </c>
      <c r="K551" s="348">
        <f t="shared" si="236"/>
        <v>13.427377470011161</v>
      </c>
      <c r="L551" s="349">
        <f t="shared" si="237"/>
        <v>1.4962526021696021</v>
      </c>
      <c r="M551" s="337">
        <f t="shared" si="221"/>
        <v>1.2736711694847069</v>
      </c>
      <c r="N551" s="340">
        <f t="shared" si="222"/>
        <v>0.66788708513365524</v>
      </c>
      <c r="O551" s="341">
        <f t="shared" si="223"/>
        <v>1.1762045268741959</v>
      </c>
      <c r="P551" s="342">
        <f t="shared" si="224"/>
        <v>1.2352857831239756</v>
      </c>
      <c r="Q551" s="343">
        <f t="shared" si="225"/>
        <v>-5.7833967122500187</v>
      </c>
      <c r="R551" s="344">
        <f t="shared" si="226"/>
        <v>-192.9766105429627</v>
      </c>
      <c r="S551" s="346">
        <f t="shared" si="227"/>
        <v>-12.976610542962703</v>
      </c>
      <c r="U551" s="319">
        <f t="shared" si="233"/>
        <v>86105</v>
      </c>
      <c r="V551" s="319">
        <f t="shared" si="234"/>
        <v>7414071025</v>
      </c>
      <c r="X551" s="345">
        <f t="shared" si="228"/>
        <v>23.854073509706481</v>
      </c>
      <c r="Y551" s="346">
        <f t="shared" si="229"/>
        <v>-42.537049140789456</v>
      </c>
      <c r="AA551" s="345">
        <f t="shared" si="230"/>
        <v>32.602271112433478</v>
      </c>
      <c r="AB551" s="346">
        <f t="shared" si="231"/>
        <v>-150.43956140217321</v>
      </c>
      <c r="AD551">
        <f t="shared" si="235"/>
        <v>0</v>
      </c>
      <c r="AE551">
        <f t="shared" si="238"/>
        <v>0</v>
      </c>
    </row>
    <row r="552" spans="1:31" x14ac:dyDescent="0.25">
      <c r="A552" s="347">
        <v>86600.5</v>
      </c>
      <c r="B552" s="364">
        <f t="shared" si="232"/>
        <v>86.600499999999997</v>
      </c>
      <c r="C552" s="337">
        <f t="shared" si="213"/>
        <v>19.615358705795174</v>
      </c>
      <c r="D552" s="338">
        <f t="shared" si="214"/>
        <v>1.5197937583342171</v>
      </c>
      <c r="E552" s="338">
        <f t="shared" si="215"/>
        <v>1.0084908887790336</v>
      </c>
      <c r="F552" s="339">
        <f t="shared" si="216"/>
        <v>0.12985562418925198</v>
      </c>
      <c r="G552" s="338">
        <f t="shared" si="217"/>
        <v>1</v>
      </c>
      <c r="H552" s="339">
        <f t="shared" si="218"/>
        <v>0</v>
      </c>
      <c r="I552" s="337">
        <f t="shared" si="219"/>
        <v>52249.658055511027</v>
      </c>
      <c r="J552" s="340">
        <f t="shared" si="220"/>
        <v>1.5707771879136623</v>
      </c>
      <c r="K552" s="348">
        <f t="shared" si="236"/>
        <v>13.504219329464389</v>
      </c>
      <c r="L552" s="349">
        <f t="shared" si="237"/>
        <v>1.4966775523932165</v>
      </c>
      <c r="M552" s="337">
        <f t="shared" si="221"/>
        <v>1.276487493291391</v>
      </c>
      <c r="N552" s="340">
        <f t="shared" si="222"/>
        <v>0.67067911668098779</v>
      </c>
      <c r="O552" s="341">
        <f t="shared" si="223"/>
        <v>1.1799434570558507</v>
      </c>
      <c r="P552" s="342">
        <f t="shared" si="224"/>
        <v>1.2427288611828466</v>
      </c>
      <c r="Q552" s="343">
        <f t="shared" si="225"/>
        <v>-5.8793027551144856</v>
      </c>
      <c r="R552" s="344">
        <f t="shared" si="226"/>
        <v>-193.5133870889544</v>
      </c>
      <c r="S552" s="346">
        <f t="shared" si="227"/>
        <v>-13.513387088954403</v>
      </c>
      <c r="U552" s="319">
        <f t="shared" si="233"/>
        <v>86600.5</v>
      </c>
      <c r="V552" s="319">
        <f t="shared" si="234"/>
        <v>7499646600.25</v>
      </c>
      <c r="X552" s="345">
        <f t="shared" si="228"/>
        <v>23.834613727092524</v>
      </c>
      <c r="Y552" s="346">
        <f t="shared" si="229"/>
        <v>-42.672679220922568</v>
      </c>
      <c r="AA552" s="345">
        <f t="shared" si="230"/>
        <v>32.525824852182971</v>
      </c>
      <c r="AB552" s="346">
        <f t="shared" si="231"/>
        <v>-150.84070786803187</v>
      </c>
      <c r="AD552">
        <f t="shared" si="235"/>
        <v>0</v>
      </c>
      <c r="AE552">
        <f t="shared" si="238"/>
        <v>0</v>
      </c>
    </row>
    <row r="553" spans="1:31" x14ac:dyDescent="0.25">
      <c r="A553" s="347">
        <v>87096</v>
      </c>
      <c r="B553" s="364">
        <f t="shared" si="232"/>
        <v>87.096000000000004</v>
      </c>
      <c r="C553" s="337">
        <f t="shared" si="213"/>
        <v>19.727300566307708</v>
      </c>
      <c r="D553" s="338">
        <f t="shared" si="214"/>
        <v>1.5200834196518651</v>
      </c>
      <c r="E553" s="338">
        <f t="shared" si="215"/>
        <v>1.0085879161087863</v>
      </c>
      <c r="F553" s="339">
        <f t="shared" si="216"/>
        <v>0.13059022104977952</v>
      </c>
      <c r="G553" s="338">
        <f t="shared" si="217"/>
        <v>1</v>
      </c>
      <c r="H553" s="339">
        <f t="shared" si="218"/>
        <v>0</v>
      </c>
      <c r="I553" s="337">
        <f t="shared" si="219"/>
        <v>52548.613668435304</v>
      </c>
      <c r="J553" s="340">
        <f t="shared" si="220"/>
        <v>1.5707772967971432</v>
      </c>
      <c r="K553" s="348">
        <f t="shared" si="236"/>
        <v>13.58106359995006</v>
      </c>
      <c r="L553" s="349">
        <f t="shared" si="237"/>
        <v>1.4970976937917586</v>
      </c>
      <c r="M553" s="337">
        <f t="shared" si="221"/>
        <v>1.279313724022846</v>
      </c>
      <c r="N553" s="340">
        <f t="shared" si="222"/>
        <v>0.67345883363288617</v>
      </c>
      <c r="O553" s="341">
        <f t="shared" si="223"/>
        <v>1.183734549421477</v>
      </c>
      <c r="P553" s="342">
        <f t="shared" si="224"/>
        <v>1.2501570465308862</v>
      </c>
      <c r="Q553" s="343">
        <f t="shared" si="225"/>
        <v>-5.9752379090763608</v>
      </c>
      <c r="R553" s="344">
        <f t="shared" si="226"/>
        <v>-194.04869778990079</v>
      </c>
      <c r="S553" s="346">
        <f t="shared" si="227"/>
        <v>-14.048697789900785</v>
      </c>
      <c r="U553" s="319">
        <f t="shared" si="233"/>
        <v>87096</v>
      </c>
      <c r="V553" s="319">
        <f t="shared" si="234"/>
        <v>7585713216</v>
      </c>
      <c r="X553" s="345">
        <f t="shared" si="228"/>
        <v>23.815133623413413</v>
      </c>
      <c r="Y553" s="346">
        <f t="shared" si="229"/>
        <v>-42.80787918029052</v>
      </c>
      <c r="AA553" s="345">
        <f t="shared" si="230"/>
        <v>32.449369801900204</v>
      </c>
      <c r="AB553" s="346">
        <f t="shared" si="231"/>
        <v>-151.24081860961027</v>
      </c>
      <c r="AD553">
        <f t="shared" si="235"/>
        <v>0</v>
      </c>
      <c r="AE553">
        <f t="shared" si="238"/>
        <v>0</v>
      </c>
    </row>
    <row r="554" spans="1:31" x14ac:dyDescent="0.25">
      <c r="A554" s="347">
        <v>87603.25</v>
      </c>
      <c r="B554" s="364">
        <f t="shared" si="232"/>
        <v>87.603250000000003</v>
      </c>
      <c r="C554" s="337">
        <f t="shared" si="213"/>
        <v>19.841898646220962</v>
      </c>
      <c r="D554" s="338">
        <f t="shared" si="214"/>
        <v>1.5203765642707991</v>
      </c>
      <c r="E554" s="338">
        <f t="shared" si="215"/>
        <v>1.0086878079580446</v>
      </c>
      <c r="F554" s="339">
        <f t="shared" si="216"/>
        <v>0.13134209090694887</v>
      </c>
      <c r="G554" s="338">
        <f t="shared" si="217"/>
        <v>1</v>
      </c>
      <c r="H554" s="339">
        <f t="shared" si="218"/>
        <v>0</v>
      </c>
      <c r="I554" s="337">
        <f t="shared" si="219"/>
        <v>52854.658541606164</v>
      </c>
      <c r="J554" s="340">
        <f t="shared" si="220"/>
        <v>1.5707774069867348</v>
      </c>
      <c r="K554" s="348">
        <f t="shared" si="236"/>
        <v>13.659732565945369</v>
      </c>
      <c r="L554" s="349">
        <f t="shared" si="237"/>
        <v>1.4975229015306721</v>
      </c>
      <c r="M554" s="337">
        <f t="shared" si="221"/>
        <v>1.2822171680575294</v>
      </c>
      <c r="N554" s="340">
        <f t="shared" si="222"/>
        <v>0.67629175141614273</v>
      </c>
      <c r="O554" s="341">
        <f t="shared" si="223"/>
        <v>1.1876698135383938</v>
      </c>
      <c r="P554" s="342">
        <f t="shared" si="224"/>
        <v>1.2577455035394838</v>
      </c>
      <c r="Q554" s="343">
        <f t="shared" si="225"/>
        <v>-6.0734793632051174</v>
      </c>
      <c r="R554" s="344">
        <f t="shared" si="226"/>
        <v>-194.59515926725797</v>
      </c>
      <c r="S554" s="346">
        <f t="shared" si="227"/>
        <v>-14.595159267257969</v>
      </c>
      <c r="U554" s="319">
        <f t="shared" si="233"/>
        <v>87603.25</v>
      </c>
      <c r="V554" s="319">
        <f t="shared" si="234"/>
        <v>7674329410.5625</v>
      </c>
      <c r="X554" s="345">
        <f t="shared" si="228"/>
        <v>23.795171154517632</v>
      </c>
      <c r="Y554" s="346">
        <f t="shared" si="229"/>
        <v>-42.945837117678828</v>
      </c>
      <c r="AA554" s="345">
        <f t="shared" si="230"/>
        <v>32.371090816667227</v>
      </c>
      <c r="AB554" s="346">
        <f t="shared" si="231"/>
        <v>-151.64932214957918</v>
      </c>
      <c r="AD554">
        <f t="shared" si="235"/>
        <v>0</v>
      </c>
      <c r="AE554">
        <f t="shared" si="238"/>
        <v>0</v>
      </c>
    </row>
    <row r="555" spans="1:31" x14ac:dyDescent="0.25">
      <c r="A555" s="347">
        <v>88110.5</v>
      </c>
      <c r="B555" s="364">
        <f t="shared" si="232"/>
        <v>88.110500000000002</v>
      </c>
      <c r="C555" s="337">
        <f t="shared" si="213"/>
        <v>19.956498411640659</v>
      </c>
      <c r="D555" s="338">
        <f t="shared" si="214"/>
        <v>1.5206663421609847</v>
      </c>
      <c r="E555" s="338">
        <f t="shared" si="215"/>
        <v>1.0087882699137589</v>
      </c>
      <c r="F555" s="339">
        <f t="shared" si="216"/>
        <v>0.13209381143643514</v>
      </c>
      <c r="G555" s="338">
        <f t="shared" si="217"/>
        <v>1</v>
      </c>
      <c r="H555" s="339">
        <f t="shared" si="218"/>
        <v>0</v>
      </c>
      <c r="I555" s="337">
        <f t="shared" si="219"/>
        <v>53160.70341477765</v>
      </c>
      <c r="J555" s="340">
        <f t="shared" si="220"/>
        <v>1.5707775159076092</v>
      </c>
      <c r="K555" s="348">
        <f t="shared" si="236"/>
        <v>13.738403973358158</v>
      </c>
      <c r="L555" s="349">
        <f t="shared" si="237"/>
        <v>1.4979432395373729</v>
      </c>
      <c r="M555" s="337">
        <f t="shared" si="221"/>
        <v>1.2851308558824541</v>
      </c>
      <c r="N555" s="340">
        <f t="shared" si="222"/>
        <v>0.67911184599154995</v>
      </c>
      <c r="O555" s="341">
        <f t="shared" si="223"/>
        <v>1.1916602238647358</v>
      </c>
      <c r="P555" s="342">
        <f t="shared" si="224"/>
        <v>1.265317444707148</v>
      </c>
      <c r="Q555" s="343">
        <f t="shared" si="225"/>
        <v>-6.1717536223799749</v>
      </c>
      <c r="R555" s="344">
        <f t="shared" si="226"/>
        <v>-195.14003433985215</v>
      </c>
      <c r="S555" s="346">
        <f t="shared" si="227"/>
        <v>-15.14003433985215</v>
      </c>
      <c r="U555" s="319">
        <f t="shared" si="233"/>
        <v>88110.5</v>
      </c>
      <c r="V555" s="319">
        <f t="shared" si="234"/>
        <v>7763460210.25</v>
      </c>
      <c r="X555" s="345">
        <f t="shared" si="228"/>
        <v>23.775188652634188</v>
      </c>
      <c r="Y555" s="346">
        <f t="shared" si="229"/>
        <v>-43.083339281788014</v>
      </c>
      <c r="AA555" s="345">
        <f t="shared" si="230"/>
        <v>32.29279905937581</v>
      </c>
      <c r="AB555" s="346">
        <f t="shared" si="231"/>
        <v>-152.05669505806409</v>
      </c>
      <c r="AD555">
        <f t="shared" si="235"/>
        <v>0</v>
      </c>
      <c r="AE555">
        <f t="shared" si="238"/>
        <v>0</v>
      </c>
    </row>
    <row r="556" spans="1:31" x14ac:dyDescent="0.25">
      <c r="A556" s="347">
        <v>88617.75</v>
      </c>
      <c r="B556" s="364">
        <f t="shared" si="232"/>
        <v>88.617750000000001</v>
      </c>
      <c r="C556" s="337">
        <f t="shared" si="213"/>
        <v>20.071099833695623</v>
      </c>
      <c r="D556" s="338">
        <f t="shared" si="214"/>
        <v>1.5209528109431039</v>
      </c>
      <c r="E556" s="338">
        <f t="shared" si="215"/>
        <v>1.0088893018056206</v>
      </c>
      <c r="F556" s="339">
        <f t="shared" si="216"/>
        <v>0.13284538183340436</v>
      </c>
      <c r="G556" s="338">
        <f t="shared" si="217"/>
        <v>1</v>
      </c>
      <c r="H556" s="339">
        <f t="shared" si="218"/>
        <v>0</v>
      </c>
      <c r="I556" s="337">
        <f t="shared" si="219"/>
        <v>53466.748287949769</v>
      </c>
      <c r="J556" s="340">
        <f t="shared" si="220"/>
        <v>1.5707776235815523</v>
      </c>
      <c r="K556" s="348">
        <f t="shared" si="236"/>
        <v>13.817077780485743</v>
      </c>
      <c r="L556" s="349">
        <f t="shared" si="237"/>
        <v>1.4983587908461391</v>
      </c>
      <c r="M556" s="337">
        <f t="shared" si="221"/>
        <v>1.2880547179806843</v>
      </c>
      <c r="N556" s="340">
        <f t="shared" si="222"/>
        <v>0.68191915967652772</v>
      </c>
      <c r="O556" s="341">
        <f t="shared" si="223"/>
        <v>1.1957060142947593</v>
      </c>
      <c r="P556" s="342">
        <f t="shared" si="224"/>
        <v>1.2728724174323625</v>
      </c>
      <c r="Q556" s="343">
        <f t="shared" si="225"/>
        <v>-6.2700616542044196</v>
      </c>
      <c r="R556" s="344">
        <f t="shared" si="226"/>
        <v>-195.6832980914061</v>
      </c>
      <c r="S556" s="346">
        <f t="shared" si="227"/>
        <v>-15.683298091406101</v>
      </c>
      <c r="U556" s="319">
        <f t="shared" si="233"/>
        <v>88617.75</v>
      </c>
      <c r="V556" s="319">
        <f t="shared" si="234"/>
        <v>7853105615.0625</v>
      </c>
      <c r="X556" s="345">
        <f t="shared" si="228"/>
        <v>23.755186749330676</v>
      </c>
      <c r="Y556" s="346">
        <f t="shared" si="229"/>
        <v>-43.220383340962215</v>
      </c>
      <c r="AA556" s="345">
        <f t="shared" si="230"/>
        <v>32.214492930854888</v>
      </c>
      <c r="AB556" s="346">
        <f t="shared" si="231"/>
        <v>-152.46291475044387</v>
      </c>
      <c r="AD556">
        <f t="shared" si="235"/>
        <v>0</v>
      </c>
      <c r="AE556">
        <f t="shared" si="238"/>
        <v>0</v>
      </c>
    </row>
    <row r="557" spans="1:31" x14ac:dyDescent="0.25">
      <c r="A557" s="347">
        <v>89125</v>
      </c>
      <c r="B557" s="364">
        <f t="shared" si="232"/>
        <v>89.125</v>
      </c>
      <c r="C557" s="337">
        <f t="shared" si="213"/>
        <v>20.185702884169945</v>
      </c>
      <c r="D557" s="338">
        <f t="shared" si="214"/>
        <v>1.5212360269314886</v>
      </c>
      <c r="E557" s="338">
        <f t="shared" si="215"/>
        <v>1.0089909034624245</v>
      </c>
      <c r="F557" s="339">
        <f t="shared" si="216"/>
        <v>0.13359680129402246</v>
      </c>
      <c r="G557" s="338">
        <f t="shared" si="217"/>
        <v>1</v>
      </c>
      <c r="H557" s="339">
        <f t="shared" si="218"/>
        <v>0</v>
      </c>
      <c r="I557" s="337">
        <f t="shared" si="219"/>
        <v>53772.793161122492</v>
      </c>
      <c r="J557" s="340">
        <f t="shared" si="220"/>
        <v>1.5707777300298549</v>
      </c>
      <c r="K557" s="348">
        <f t="shared" si="236"/>
        <v>13.895753946568615</v>
      </c>
      <c r="L557" s="349">
        <f t="shared" si="237"/>
        <v>1.4987696366174259</v>
      </c>
      <c r="M557" s="337">
        <f t="shared" si="221"/>
        <v>1.2909886852234076</v>
      </c>
      <c r="N557" s="340">
        <f t="shared" si="222"/>
        <v>0.68471373521161449</v>
      </c>
      <c r="O557" s="341">
        <f t="shared" si="223"/>
        <v>1.1998074124434399</v>
      </c>
      <c r="P557" s="342">
        <f t="shared" si="224"/>
        <v>1.2804099740687305</v>
      </c>
      <c r="Q557" s="343">
        <f t="shared" si="225"/>
        <v>-6.3684042992024645</v>
      </c>
      <c r="R557" s="344">
        <f t="shared" si="226"/>
        <v>-196.2249259462213</v>
      </c>
      <c r="S557" s="346">
        <f t="shared" si="227"/>
        <v>-16.224925946221305</v>
      </c>
      <c r="U557" s="319">
        <f t="shared" si="233"/>
        <v>89125</v>
      </c>
      <c r="V557" s="319">
        <f t="shared" si="234"/>
        <v>7943265625</v>
      </c>
      <c r="X557" s="345">
        <f t="shared" si="228"/>
        <v>23.735166071052056</v>
      </c>
      <c r="Y557" s="346">
        <f t="shared" si="229"/>
        <v>-43.356967095122222</v>
      </c>
      <c r="AA557" s="345">
        <f t="shared" si="230"/>
        <v>32.136170964135459</v>
      </c>
      <c r="AB557" s="346">
        <f t="shared" si="231"/>
        <v>-152.8679588510991</v>
      </c>
      <c r="AD557">
        <f t="shared" si="235"/>
        <v>0</v>
      </c>
      <c r="AE557">
        <f t="shared" si="238"/>
        <v>0</v>
      </c>
    </row>
    <row r="558" spans="1:31" x14ac:dyDescent="0.25">
      <c r="A558" s="347">
        <v>89644</v>
      </c>
      <c r="B558" s="364">
        <f t="shared" si="232"/>
        <v>89.644000000000005</v>
      </c>
      <c r="C558" s="337">
        <f t="shared" si="213"/>
        <v>20.302962270163299</v>
      </c>
      <c r="D558" s="338">
        <f t="shared" si="214"/>
        <v>1.5215224940850443</v>
      </c>
      <c r="E558" s="338">
        <f t="shared" si="215"/>
        <v>1.0090954481676739</v>
      </c>
      <c r="F558" s="339">
        <f t="shared" si="216"/>
        <v>0.13436546966673196</v>
      </c>
      <c r="G558" s="338">
        <f t="shared" si="217"/>
        <v>1</v>
      </c>
      <c r="H558" s="339">
        <f t="shared" si="218"/>
        <v>0</v>
      </c>
      <c r="I558" s="337">
        <f t="shared" si="219"/>
        <v>54085.927294541834</v>
      </c>
      <c r="J558" s="340">
        <f t="shared" si="220"/>
        <v>1.5707778376970836</v>
      </c>
      <c r="K558" s="348">
        <f t="shared" si="236"/>
        <v>13.976254976825896</v>
      </c>
      <c r="L558" s="349">
        <f t="shared" si="237"/>
        <v>1.4991852117106135</v>
      </c>
      <c r="M558" s="337">
        <f t="shared" si="221"/>
        <v>1.2940010025133961</v>
      </c>
      <c r="N558" s="340">
        <f t="shared" si="222"/>
        <v>0.68755990546851664</v>
      </c>
      <c r="O558" s="341">
        <f t="shared" si="223"/>
        <v>1.2040616014826511</v>
      </c>
      <c r="P558" s="342">
        <f t="shared" si="224"/>
        <v>1.2881036441887888</v>
      </c>
      <c r="Q558" s="343">
        <f t="shared" si="225"/>
        <v>-6.4690615364665724</v>
      </c>
      <c r="R558" s="344">
        <f t="shared" si="226"/>
        <v>-196.77738169242781</v>
      </c>
      <c r="S558" s="346">
        <f t="shared" si="227"/>
        <v>-16.777381692427809</v>
      </c>
      <c r="U558" s="319">
        <f t="shared" si="233"/>
        <v>89644</v>
      </c>
      <c r="V558" s="319">
        <f t="shared" si="234"/>
        <v>8036046736</v>
      </c>
      <c r="X558" s="345">
        <f t="shared" si="228"/>
        <v>23.714662846944073</v>
      </c>
      <c r="Y558" s="346">
        <f t="shared" si="229"/>
        <v>-43.496236108744903</v>
      </c>
      <c r="AA558" s="345">
        <f t="shared" si="230"/>
        <v>32.056016950979334</v>
      </c>
      <c r="AB558" s="346">
        <f t="shared" si="231"/>
        <v>-153.2811455836829</v>
      </c>
      <c r="AD558">
        <f t="shared" si="235"/>
        <v>0</v>
      </c>
      <c r="AE558">
        <f t="shared" si="238"/>
        <v>0</v>
      </c>
    </row>
    <row r="559" spans="1:31" x14ac:dyDescent="0.25">
      <c r="A559" s="347">
        <v>90163</v>
      </c>
      <c r="B559" s="364">
        <f t="shared" si="232"/>
        <v>90.162999999999997</v>
      </c>
      <c r="C559" s="337">
        <f t="shared" si="213"/>
        <v>20.420223303152394</v>
      </c>
      <c r="D559" s="338">
        <f t="shared" si="214"/>
        <v>1.521805671245259</v>
      </c>
      <c r="E559" s="338">
        <f t="shared" si="215"/>
        <v>1.0092005889743125</v>
      </c>
      <c r="F559" s="339">
        <f t="shared" si="216"/>
        <v>0.13513397833020757</v>
      </c>
      <c r="G559" s="338">
        <f t="shared" si="217"/>
        <v>1</v>
      </c>
      <c r="H559" s="339">
        <f t="shared" si="218"/>
        <v>0</v>
      </c>
      <c r="I559" s="337">
        <f t="shared" si="219"/>
        <v>54399.061427961802</v>
      </c>
      <c r="J559" s="340">
        <f t="shared" si="220"/>
        <v>1.5707779441247953</v>
      </c>
      <c r="K559" s="348">
        <f t="shared" si="236"/>
        <v>14.056758393173082</v>
      </c>
      <c r="L559" s="349">
        <f t="shared" si="237"/>
        <v>1.4995960268556099</v>
      </c>
      <c r="M559" s="337">
        <f t="shared" si="221"/>
        <v>1.2970237533587359</v>
      </c>
      <c r="N559" s="340">
        <f t="shared" si="222"/>
        <v>0.69039283242325189</v>
      </c>
      <c r="O559" s="341">
        <f t="shared" si="223"/>
        <v>1.208374466248006</v>
      </c>
      <c r="P559" s="342">
        <f t="shared" si="224"/>
        <v>1.2957781506845125</v>
      </c>
      <c r="Q559" s="343">
        <f t="shared" si="225"/>
        <v>-6.56975639381601</v>
      </c>
      <c r="R559" s="344">
        <f t="shared" si="226"/>
        <v>-197.32807396037174</v>
      </c>
      <c r="S559" s="346">
        <f t="shared" si="227"/>
        <v>-17.328073960371739</v>
      </c>
      <c r="U559" s="319">
        <f t="shared" si="233"/>
        <v>90163</v>
      </c>
      <c r="V559" s="319">
        <f t="shared" si="234"/>
        <v>8129366569</v>
      </c>
      <c r="X559" s="345">
        <f t="shared" si="228"/>
        <v>23.694141278066002</v>
      </c>
      <c r="Y559" s="346">
        <f t="shared" si="229"/>
        <v>-43.635018990969016</v>
      </c>
      <c r="AA559" s="345">
        <f t="shared" si="230"/>
        <v>31.97584366250797</v>
      </c>
      <c r="AB559" s="346">
        <f t="shared" si="231"/>
        <v>-153.69305496940265</v>
      </c>
      <c r="AD559">
        <f t="shared" si="235"/>
        <v>0</v>
      </c>
      <c r="AE559">
        <f t="shared" si="238"/>
        <v>0</v>
      </c>
    </row>
    <row r="560" spans="1:31" x14ac:dyDescent="0.25">
      <c r="A560" s="347">
        <v>90682</v>
      </c>
      <c r="B560" s="364">
        <f t="shared" si="232"/>
        <v>90.682000000000002</v>
      </c>
      <c r="C560" s="337">
        <f t="shared" si="213"/>
        <v>20.537485954926129</v>
      </c>
      <c r="D560" s="338">
        <f t="shared" si="214"/>
        <v>1.5220856147208377</v>
      </c>
      <c r="E560" s="338">
        <f t="shared" si="215"/>
        <v>1.0093063256960502</v>
      </c>
      <c r="F560" s="339">
        <f t="shared" si="216"/>
        <v>0.13590232642673214</v>
      </c>
      <c r="G560" s="338">
        <f t="shared" si="217"/>
        <v>1</v>
      </c>
      <c r="H560" s="339">
        <f t="shared" si="218"/>
        <v>0</v>
      </c>
      <c r="I560" s="337">
        <f t="shared" si="219"/>
        <v>54712.195561382359</v>
      </c>
      <c r="J560" s="340">
        <f t="shared" si="220"/>
        <v>1.570778049334272</v>
      </c>
      <c r="K560" s="348">
        <f t="shared" si="236"/>
        <v>14.137264154848024</v>
      </c>
      <c r="L560" s="349">
        <f t="shared" si="237"/>
        <v>1.5000021632302483</v>
      </c>
      <c r="M560" s="337">
        <f t="shared" si="221"/>
        <v>1.3000568649825242</v>
      </c>
      <c r="N560" s="340">
        <f t="shared" si="222"/>
        <v>0.69321256313860746</v>
      </c>
      <c r="O560" s="341">
        <f t="shared" si="223"/>
        <v>1.2127462301513179</v>
      </c>
      <c r="P560" s="342">
        <f t="shared" si="224"/>
        <v>1.3034330315181</v>
      </c>
      <c r="Q560" s="343">
        <f t="shared" si="225"/>
        <v>-6.6704893766703668</v>
      </c>
      <c r="R560" s="344">
        <f t="shared" si="226"/>
        <v>-197.87697759920297</v>
      </c>
      <c r="S560" s="346">
        <f t="shared" si="227"/>
        <v>-17.876977599202974</v>
      </c>
      <c r="U560" s="319">
        <f t="shared" si="233"/>
        <v>90682</v>
      </c>
      <c r="V560" s="319">
        <f t="shared" si="234"/>
        <v>8223225124</v>
      </c>
      <c r="X560" s="345">
        <f t="shared" si="228"/>
        <v>23.673602018339604</v>
      </c>
      <c r="Y560" s="346">
        <f t="shared" si="229"/>
        <v>-43.773313788365769</v>
      </c>
      <c r="AA560" s="345">
        <f t="shared" si="230"/>
        <v>31.895649939380011</v>
      </c>
      <c r="AB560" s="346">
        <f t="shared" si="231"/>
        <v>-154.10366381083713</v>
      </c>
      <c r="AD560">
        <f t="shared" si="235"/>
        <v>0</v>
      </c>
      <c r="AE560">
        <f t="shared" si="238"/>
        <v>0</v>
      </c>
    </row>
    <row r="561" spans="1:31" x14ac:dyDescent="0.25">
      <c r="A561" s="347">
        <v>91201</v>
      </c>
      <c r="B561" s="364">
        <f t="shared" si="232"/>
        <v>91.200999999999993</v>
      </c>
      <c r="C561" s="337">
        <f t="shared" si="213"/>
        <v>20.654750197913653</v>
      </c>
      <c r="D561" s="338">
        <f t="shared" si="214"/>
        <v>1.5223623795438017</v>
      </c>
      <c r="E561" s="338">
        <f t="shared" si="215"/>
        <v>1.0094126581456191</v>
      </c>
      <c r="F561" s="339">
        <f t="shared" si="216"/>
        <v>0.13667051309970524</v>
      </c>
      <c r="G561" s="338">
        <f t="shared" si="217"/>
        <v>1</v>
      </c>
      <c r="H561" s="339">
        <f t="shared" si="218"/>
        <v>0</v>
      </c>
      <c r="I561" s="337">
        <f t="shared" si="219"/>
        <v>55025.329694803535</v>
      </c>
      <c r="J561" s="340">
        <f t="shared" si="220"/>
        <v>1.5707781533463121</v>
      </c>
      <c r="K561" s="348">
        <f t="shared" si="236"/>
        <v>14.217772222010648</v>
      </c>
      <c r="L561" s="349">
        <f t="shared" si="237"/>
        <v>1.5004037001799397</v>
      </c>
      <c r="M561" s="337">
        <f t="shared" si="221"/>
        <v>1.3031002650371508</v>
      </c>
      <c r="N561" s="340">
        <f t="shared" si="222"/>
        <v>0.69601914507932539</v>
      </c>
      <c r="O561" s="341">
        <f t="shared" si="223"/>
        <v>1.2171771097515593</v>
      </c>
      <c r="P561" s="342">
        <f t="shared" si="224"/>
        <v>1.3110678309600066</v>
      </c>
      <c r="Q561" s="343">
        <f t="shared" si="225"/>
        <v>-6.771260863507309</v>
      </c>
      <c r="R561" s="344">
        <f t="shared" si="226"/>
        <v>-198.42406787428791</v>
      </c>
      <c r="S561" s="346">
        <f t="shared" si="227"/>
        <v>-18.424067874287914</v>
      </c>
      <c r="U561" s="319">
        <f t="shared" si="233"/>
        <v>91201</v>
      </c>
      <c r="V561" s="319">
        <f t="shared" si="234"/>
        <v>8317622401</v>
      </c>
      <c r="X561" s="345">
        <f t="shared" si="228"/>
        <v>23.653045715807011</v>
      </c>
      <c r="Y561" s="346">
        <f t="shared" si="229"/>
        <v>-43.911118675499061</v>
      </c>
      <c r="AA561" s="345">
        <f t="shared" si="230"/>
        <v>31.815434755075657</v>
      </c>
      <c r="AB561" s="346">
        <f t="shared" si="231"/>
        <v>-154.51294919878885</v>
      </c>
      <c r="AD561">
        <f t="shared" si="235"/>
        <v>0</v>
      </c>
      <c r="AE561">
        <f t="shared" si="238"/>
        <v>0</v>
      </c>
    </row>
    <row r="562" spans="1:31" x14ac:dyDescent="0.25">
      <c r="A562" s="347">
        <v>91732</v>
      </c>
      <c r="B562" s="364">
        <f t="shared" si="232"/>
        <v>91.731999999999999</v>
      </c>
      <c r="C562" s="337">
        <f t="shared" si="213"/>
        <v>20.774727371601731</v>
      </c>
      <c r="D562" s="338">
        <f t="shared" si="214"/>
        <v>1.5226423099018873</v>
      </c>
      <c r="E562" s="338">
        <f t="shared" si="215"/>
        <v>1.0095220655007555</v>
      </c>
      <c r="F562" s="339">
        <f t="shared" si="216"/>
        <v>0.13745629335685164</v>
      </c>
      <c r="G562" s="338">
        <f t="shared" si="217"/>
        <v>1</v>
      </c>
      <c r="H562" s="339">
        <f t="shared" si="218"/>
        <v>0</v>
      </c>
      <c r="I562" s="337">
        <f t="shared" si="219"/>
        <v>55345.703923795743</v>
      </c>
      <c r="J562" s="340">
        <f t="shared" si="220"/>
        <v>1.5707782585451653</v>
      </c>
      <c r="K562" s="348">
        <f t="shared" si="236"/>
        <v>14.300144092826276</v>
      </c>
      <c r="L562" s="349">
        <f t="shared" si="237"/>
        <v>1.5008098419322942</v>
      </c>
      <c r="M562" s="337">
        <f t="shared" si="221"/>
        <v>1.3062246057261049</v>
      </c>
      <c r="N562" s="340">
        <f t="shared" si="222"/>
        <v>0.69887706067990163</v>
      </c>
      <c r="O562" s="341">
        <f t="shared" si="223"/>
        <v>1.2217718378745892</v>
      </c>
      <c r="P562" s="342">
        <f t="shared" si="224"/>
        <v>1.318857905871397</v>
      </c>
      <c r="Q562" s="343">
        <f t="shared" si="225"/>
        <v>-6.8744024414654428</v>
      </c>
      <c r="R562" s="344">
        <f t="shared" si="226"/>
        <v>-198.98190554642943</v>
      </c>
      <c r="S562" s="346">
        <f t="shared" si="227"/>
        <v>-18.981905546429431</v>
      </c>
      <c r="U562" s="319">
        <f t="shared" si="233"/>
        <v>91732</v>
      </c>
      <c r="V562" s="319">
        <f t="shared" si="234"/>
        <v>8414759824</v>
      </c>
      <c r="X562" s="345">
        <f t="shared" si="228"/>
        <v>23.631997154236892</v>
      </c>
      <c r="Y562" s="346">
        <f t="shared" si="229"/>
        <v>-44.051600996933544</v>
      </c>
      <c r="AA562" s="345">
        <f t="shared" si="230"/>
        <v>31.733341738687642</v>
      </c>
      <c r="AB562" s="346">
        <f t="shared" si="231"/>
        <v>-154.9303045494959</v>
      </c>
      <c r="AD562">
        <f t="shared" si="235"/>
        <v>0</v>
      </c>
      <c r="AE562">
        <f t="shared" si="238"/>
        <v>0</v>
      </c>
    </row>
    <row r="563" spans="1:31" x14ac:dyDescent="0.25">
      <c r="A563" s="347">
        <v>92263</v>
      </c>
      <c r="B563" s="364">
        <f t="shared" si="232"/>
        <v>92.263000000000005</v>
      </c>
      <c r="C563" s="337">
        <f t="shared" si="213"/>
        <v>20.894706154523163</v>
      </c>
      <c r="D563" s="338">
        <f t="shared" si="214"/>
        <v>1.5229190255242362</v>
      </c>
      <c r="E563" s="338">
        <f t="shared" si="215"/>
        <v>1.0096320960505925</v>
      </c>
      <c r="F563" s="339">
        <f t="shared" si="216"/>
        <v>0.13824190282900659</v>
      </c>
      <c r="G563" s="338">
        <f t="shared" si="217"/>
        <v>1</v>
      </c>
      <c r="H563" s="339">
        <f t="shared" si="218"/>
        <v>0</v>
      </c>
      <c r="I563" s="337">
        <f t="shared" si="219"/>
        <v>55666.078152788563</v>
      </c>
      <c r="J563" s="340">
        <f t="shared" si="220"/>
        <v>1.5707783625331193</v>
      </c>
      <c r="K563" s="348">
        <f t="shared" si="236"/>
        <v>14.382518295447479</v>
      </c>
      <c r="L563" s="349">
        <f t="shared" si="237"/>
        <v>1.5012113314908395</v>
      </c>
      <c r="M563" s="337">
        <f t="shared" si="221"/>
        <v>1.3093595642759766</v>
      </c>
      <c r="N563" s="340">
        <f t="shared" si="222"/>
        <v>0.70172131418353723</v>
      </c>
      <c r="O563" s="341">
        <f t="shared" si="223"/>
        <v>1.2264288837085038</v>
      </c>
      <c r="P563" s="342">
        <f t="shared" si="224"/>
        <v>1.3266260159950019</v>
      </c>
      <c r="Q563" s="343">
        <f t="shared" si="225"/>
        <v>-6.9775847326835674</v>
      </c>
      <c r="R563" s="344">
        <f t="shared" si="226"/>
        <v>-199.53779402459728</v>
      </c>
      <c r="S563" s="346">
        <f t="shared" si="227"/>
        <v>-19.537794024597275</v>
      </c>
      <c r="U563" s="319">
        <f t="shared" si="233"/>
        <v>92263</v>
      </c>
      <c r="V563" s="319">
        <f t="shared" si="234"/>
        <v>8512461169</v>
      </c>
      <c r="X563" s="345">
        <f t="shared" si="228"/>
        <v>23.610932105969198</v>
      </c>
      <c r="Y563" s="346">
        <f t="shared" si="229"/>
        <v>-44.191567019564772</v>
      </c>
      <c r="AA563" s="345">
        <f t="shared" si="230"/>
        <v>31.65122449573721</v>
      </c>
      <c r="AB563" s="346">
        <f t="shared" si="231"/>
        <v>-155.34622700503249</v>
      </c>
      <c r="AD563">
        <f t="shared" si="235"/>
        <v>0</v>
      </c>
      <c r="AE563">
        <f t="shared" si="238"/>
        <v>0</v>
      </c>
    </row>
    <row r="564" spans="1:31" x14ac:dyDescent="0.25">
      <c r="A564" s="347">
        <v>92794</v>
      </c>
      <c r="B564" s="364">
        <f t="shared" si="232"/>
        <v>92.793999999999997</v>
      </c>
      <c r="C564" s="337">
        <f t="shared" si="213"/>
        <v>21.014686519115244</v>
      </c>
      <c r="D564" s="338">
        <f t="shared" si="214"/>
        <v>1.523192581430334</v>
      </c>
      <c r="E564" s="338">
        <f t="shared" si="215"/>
        <v>1.0097427495914035</v>
      </c>
      <c r="F564" s="339">
        <f t="shared" si="216"/>
        <v>0.13902734060243166</v>
      </c>
      <c r="G564" s="338">
        <f t="shared" si="217"/>
        <v>1</v>
      </c>
      <c r="H564" s="339">
        <f t="shared" si="218"/>
        <v>0</v>
      </c>
      <c r="I564" s="337">
        <f t="shared" si="219"/>
        <v>55986.452381781965</v>
      </c>
      <c r="J564" s="340">
        <f t="shared" si="220"/>
        <v>1.5707784653309618</v>
      </c>
      <c r="K564" s="348">
        <f t="shared" si="236"/>
        <v>14.464894790036992</v>
      </c>
      <c r="L564" s="349">
        <f t="shared" si="237"/>
        <v>1.5016082482067097</v>
      </c>
      <c r="M564" s="337">
        <f t="shared" si="221"/>
        <v>1.3125050646035095</v>
      </c>
      <c r="N564" s="340">
        <f t="shared" si="222"/>
        <v>0.70455195763303047</v>
      </c>
      <c r="O564" s="341">
        <f t="shared" si="223"/>
        <v>1.2311484570482472</v>
      </c>
      <c r="P564" s="342">
        <f t="shared" si="224"/>
        <v>1.3343716950506177</v>
      </c>
      <c r="Q564" s="343">
        <f t="shared" si="225"/>
        <v>-7.0808077505426628</v>
      </c>
      <c r="R564" s="344">
        <f t="shared" si="226"/>
        <v>-200.09170823418</v>
      </c>
      <c r="S564" s="346">
        <f t="shared" si="227"/>
        <v>-20.091708234180004</v>
      </c>
      <c r="U564" s="319">
        <f t="shared" si="233"/>
        <v>92794</v>
      </c>
      <c r="V564" s="319">
        <f t="shared" si="234"/>
        <v>8610726436</v>
      </c>
      <c r="X564" s="345">
        <f t="shared" si="228"/>
        <v>23.589851245606596</v>
      </c>
      <c r="Y564" s="346">
        <f t="shared" si="229"/>
        <v>-44.33101517993137</v>
      </c>
      <c r="AA564" s="345">
        <f t="shared" si="230"/>
        <v>31.569082338240719</v>
      </c>
      <c r="AB564" s="346">
        <f t="shared" si="231"/>
        <v>-155.76069305424863</v>
      </c>
      <c r="AD564">
        <f t="shared" si="235"/>
        <v>0</v>
      </c>
      <c r="AE564">
        <f t="shared" si="238"/>
        <v>0</v>
      </c>
    </row>
    <row r="565" spans="1:31" x14ac:dyDescent="0.25">
      <c r="A565" s="347">
        <v>93325</v>
      </c>
      <c r="B565" s="364">
        <f t="shared" si="232"/>
        <v>93.325000000000003</v>
      </c>
      <c r="C565" s="337">
        <f t="shared" si="213"/>
        <v>21.134668438440801</v>
      </c>
      <c r="D565" s="338">
        <f t="shared" si="214"/>
        <v>1.5234630313921955</v>
      </c>
      <c r="E565" s="338">
        <f t="shared" si="215"/>
        <v>1.0098540259183983</v>
      </c>
      <c r="F565" s="339">
        <f t="shared" si="216"/>
        <v>0.13981260576463511</v>
      </c>
      <c r="G565" s="338">
        <f t="shared" si="217"/>
        <v>1</v>
      </c>
      <c r="H565" s="339">
        <f t="shared" si="218"/>
        <v>0</v>
      </c>
      <c r="I565" s="337">
        <f t="shared" si="219"/>
        <v>56306.826610775963</v>
      </c>
      <c r="J565" s="340">
        <f t="shared" si="220"/>
        <v>1.5707785669590073</v>
      </c>
      <c r="K565" s="348">
        <f t="shared" si="236"/>
        <v>14.547273537658793</v>
      </c>
      <c r="L565" s="349">
        <f t="shared" si="237"/>
        <v>1.5020006696394694</v>
      </c>
      <c r="M565" s="337">
        <f t="shared" si="221"/>
        <v>1.3156610310984287</v>
      </c>
      <c r="N565" s="340">
        <f t="shared" si="222"/>
        <v>0.70736904344673424</v>
      </c>
      <c r="O565" s="341">
        <f t="shared" si="223"/>
        <v>1.2359307602875944</v>
      </c>
      <c r="P565" s="342">
        <f t="shared" si="224"/>
        <v>1.3420944845142686</v>
      </c>
      <c r="Q565" s="343">
        <f t="shared" si="225"/>
        <v>-7.1840713832650982</v>
      </c>
      <c r="R565" s="344">
        <f t="shared" si="226"/>
        <v>-200.64362359755907</v>
      </c>
      <c r="S565" s="346">
        <f t="shared" si="227"/>
        <v>-20.643623597559071</v>
      </c>
      <c r="U565" s="319">
        <f t="shared" si="233"/>
        <v>93325</v>
      </c>
      <c r="V565" s="319">
        <f t="shared" si="234"/>
        <v>8709555625</v>
      </c>
      <c r="X565" s="345">
        <f t="shared" si="228"/>
        <v>23.568755241105428</v>
      </c>
      <c r="Y565" s="346">
        <f t="shared" si="229"/>
        <v>-44.469944038712015</v>
      </c>
      <c r="AA565" s="345">
        <f t="shared" si="230"/>
        <v>31.486914710019455</v>
      </c>
      <c r="AB565" s="346">
        <f t="shared" si="231"/>
        <v>-156.17367955884706</v>
      </c>
      <c r="AD565">
        <f t="shared" si="235"/>
        <v>0</v>
      </c>
      <c r="AE565">
        <f t="shared" si="238"/>
        <v>0</v>
      </c>
    </row>
    <row r="566" spans="1:31" x14ac:dyDescent="0.25">
      <c r="A566" s="347">
        <v>93868.5</v>
      </c>
      <c r="B566" s="364">
        <f t="shared" si="232"/>
        <v>93.868499999999997</v>
      </c>
      <c r="C566" s="337">
        <f t="shared" si="213"/>
        <v>21.257476373481946</v>
      </c>
      <c r="D566" s="338">
        <f t="shared" si="214"/>
        <v>1.5237366862505732</v>
      </c>
      <c r="E566" s="338">
        <f t="shared" si="215"/>
        <v>1.0099685664795397</v>
      </c>
      <c r="F566" s="339">
        <f t="shared" si="216"/>
        <v>0.14061617674811325</v>
      </c>
      <c r="G566" s="338">
        <f t="shared" si="217"/>
        <v>1</v>
      </c>
      <c r="H566" s="339">
        <f t="shared" si="218"/>
        <v>0</v>
      </c>
      <c r="I566" s="337">
        <f t="shared" si="219"/>
        <v>56634.742605989806</v>
      </c>
      <c r="J566" s="340">
        <f t="shared" si="220"/>
        <v>1.5707786697887192</v>
      </c>
      <c r="K566" s="348">
        <f t="shared" si="236"/>
        <v>14.631593814829914</v>
      </c>
      <c r="L566" s="349">
        <f t="shared" si="237"/>
        <v>1.50239775272655</v>
      </c>
      <c r="M566" s="337">
        <f t="shared" si="221"/>
        <v>1.3189020508067837</v>
      </c>
      <c r="N566" s="340">
        <f t="shared" si="222"/>
        <v>0.7102384598049386</v>
      </c>
      <c r="O566" s="341">
        <f t="shared" si="223"/>
        <v>1.2408908071180487</v>
      </c>
      <c r="P566" s="342">
        <f t="shared" si="224"/>
        <v>1.3499748978160517</v>
      </c>
      <c r="Q566" s="343">
        <f t="shared" si="225"/>
        <v>-7.2898077083813035</v>
      </c>
      <c r="R566" s="344">
        <f t="shared" si="226"/>
        <v>-201.20643621744256</v>
      </c>
      <c r="S566" s="346">
        <f t="shared" si="227"/>
        <v>-21.206436217442558</v>
      </c>
      <c r="U566" s="319">
        <f t="shared" si="233"/>
        <v>93868.5</v>
      </c>
      <c r="V566" s="319">
        <f t="shared" si="234"/>
        <v>8811295292.25</v>
      </c>
      <c r="X566" s="345">
        <f t="shared" si="228"/>
        <v>23.54714763338071</v>
      </c>
      <c r="Y566" s="346">
        <f t="shared" si="229"/>
        <v>-44.611604192567555</v>
      </c>
      <c r="AA566" s="345">
        <f t="shared" si="230"/>
        <v>31.402785992627965</v>
      </c>
      <c r="AB566" s="346">
        <f t="shared" si="231"/>
        <v>-156.59483202487505</v>
      </c>
      <c r="AD566">
        <f t="shared" si="235"/>
        <v>0</v>
      </c>
      <c r="AE566">
        <f t="shared" si="238"/>
        <v>0</v>
      </c>
    </row>
    <row r="567" spans="1:31" x14ac:dyDescent="0.25">
      <c r="A567" s="347">
        <v>94412</v>
      </c>
      <c r="B567" s="364">
        <f t="shared" si="232"/>
        <v>94.412000000000006</v>
      </c>
      <c r="C567" s="337">
        <f t="shared" si="213"/>
        <v>21.380285882143475</v>
      </c>
      <c r="D567" s="338">
        <f t="shared" si="214"/>
        <v>1.5240071973526514</v>
      </c>
      <c r="E567" s="338">
        <f t="shared" si="215"/>
        <v>1.01008375905582</v>
      </c>
      <c r="F567" s="339">
        <f t="shared" si="216"/>
        <v>0.14141956496761637</v>
      </c>
      <c r="G567" s="338">
        <f t="shared" si="217"/>
        <v>1</v>
      </c>
      <c r="H567" s="339">
        <f t="shared" si="218"/>
        <v>0</v>
      </c>
      <c r="I567" s="337">
        <f t="shared" si="219"/>
        <v>56962.658601204246</v>
      </c>
      <c r="J567" s="340">
        <f t="shared" si="220"/>
        <v>1.5707787714345147</v>
      </c>
      <c r="K567" s="348">
        <f t="shared" si="236"/>
        <v>14.715916372599029</v>
      </c>
      <c r="L567" s="349">
        <f t="shared" si="237"/>
        <v>1.5027902852834918</v>
      </c>
      <c r="M567" s="337">
        <f t="shared" si="221"/>
        <v>1.3221538764704894</v>
      </c>
      <c r="N567" s="340">
        <f t="shared" si="222"/>
        <v>0.7130937849686082</v>
      </c>
      <c r="O567" s="341">
        <f t="shared" si="223"/>
        <v>1.2459169774771972</v>
      </c>
      <c r="P567" s="342">
        <f t="shared" si="224"/>
        <v>1.3578303848343878</v>
      </c>
      <c r="Q567" s="343">
        <f t="shared" si="225"/>
        <v>-7.3955859596690363</v>
      </c>
      <c r="R567" s="344">
        <f t="shared" si="226"/>
        <v>-201.76710430648279</v>
      </c>
      <c r="S567" s="346">
        <f t="shared" si="227"/>
        <v>-21.767104306482793</v>
      </c>
      <c r="U567" s="319">
        <f t="shared" si="233"/>
        <v>94412</v>
      </c>
      <c r="V567" s="319">
        <f t="shared" si="234"/>
        <v>8913625744</v>
      </c>
      <c r="X567" s="345">
        <f t="shared" si="228"/>
        <v>23.525525554658444</v>
      </c>
      <c r="Y567" s="346">
        <f t="shared" si="229"/>
        <v>-44.752717638785398</v>
      </c>
      <c r="AA567" s="345">
        <f t="shared" si="230"/>
        <v>31.318629820062501</v>
      </c>
      <c r="AB567" s="346">
        <f t="shared" si="231"/>
        <v>-157.01438666769738</v>
      </c>
      <c r="AD567">
        <f t="shared" si="235"/>
        <v>0</v>
      </c>
      <c r="AE567">
        <f t="shared" si="238"/>
        <v>0</v>
      </c>
    </row>
    <row r="568" spans="1:31" x14ac:dyDescent="0.25">
      <c r="A568" s="347">
        <v>94955.5</v>
      </c>
      <c r="B568" s="364">
        <f t="shared" si="232"/>
        <v>94.955500000000001</v>
      </c>
      <c r="C568" s="337">
        <f t="shared" si="213"/>
        <v>21.503096937463393</v>
      </c>
      <c r="D568" s="338">
        <f t="shared" si="214"/>
        <v>1.5242746185234868</v>
      </c>
      <c r="E568" s="338">
        <f t="shared" si="215"/>
        <v>1.010199603424192</v>
      </c>
      <c r="F568" s="339">
        <f t="shared" si="216"/>
        <v>0.14222276944877821</v>
      </c>
      <c r="G568" s="338">
        <f t="shared" si="217"/>
        <v>1</v>
      </c>
      <c r="H568" s="339">
        <f t="shared" si="218"/>
        <v>0</v>
      </c>
      <c r="I568" s="337">
        <f t="shared" si="219"/>
        <v>57290.574596419268</v>
      </c>
      <c r="J568" s="340">
        <f t="shared" si="220"/>
        <v>1.5707788719167235</v>
      </c>
      <c r="K568" s="348">
        <f t="shared" si="236"/>
        <v>14.800241171985851</v>
      </c>
      <c r="L568" s="349">
        <f t="shared" si="237"/>
        <v>1.5031783449686136</v>
      </c>
      <c r="M568" s="337">
        <f t="shared" si="221"/>
        <v>1.3254164285543573</v>
      </c>
      <c r="N568" s="340">
        <f t="shared" si="222"/>
        <v>0.71593507626602615</v>
      </c>
      <c r="O568" s="341">
        <f t="shared" si="223"/>
        <v>1.2510094645754315</v>
      </c>
      <c r="P568" s="342">
        <f t="shared" si="224"/>
        <v>1.3656604803435808</v>
      </c>
      <c r="Q568" s="343">
        <f t="shared" si="225"/>
        <v>-7.5014056330925243</v>
      </c>
      <c r="R568" s="344">
        <f t="shared" si="226"/>
        <v>-202.32560318532595</v>
      </c>
      <c r="S568" s="346">
        <f t="shared" si="227"/>
        <v>-22.325603185325946</v>
      </c>
      <c r="U568" s="319">
        <f t="shared" si="233"/>
        <v>94955.5</v>
      </c>
      <c r="V568" s="319">
        <f t="shared" si="234"/>
        <v>9016546980.25</v>
      </c>
      <c r="X568" s="345">
        <f t="shared" si="228"/>
        <v>23.503889699323381</v>
      </c>
      <c r="Y568" s="346">
        <f t="shared" si="229"/>
        <v>-44.893283213705161</v>
      </c>
      <c r="AA568" s="345">
        <f t="shared" si="230"/>
        <v>31.234446001974074</v>
      </c>
      <c r="AB568" s="346">
        <f t="shared" si="231"/>
        <v>-157.43231997162079</v>
      </c>
      <c r="AD568">
        <f t="shared" si="235"/>
        <v>0</v>
      </c>
      <c r="AE568">
        <f t="shared" si="238"/>
        <v>0</v>
      </c>
    </row>
    <row r="569" spans="1:31" x14ac:dyDescent="0.25">
      <c r="A569" s="347">
        <v>95499</v>
      </c>
      <c r="B569" s="364">
        <f t="shared" si="232"/>
        <v>95.498999999999995</v>
      </c>
      <c r="C569" s="337">
        <f t="shared" si="213"/>
        <v>21.625909513091813</v>
      </c>
      <c r="D569" s="338">
        <f t="shared" si="214"/>
        <v>1.524539002367246</v>
      </c>
      <c r="E569" s="338">
        <f t="shared" si="215"/>
        <v>1.0103160993604496</v>
      </c>
      <c r="F569" s="339">
        <f t="shared" si="216"/>
        <v>0.1430257892186263</v>
      </c>
      <c r="G569" s="338">
        <f t="shared" si="217"/>
        <v>1</v>
      </c>
      <c r="H569" s="339">
        <f t="shared" si="218"/>
        <v>0</v>
      </c>
      <c r="I569" s="337">
        <f t="shared" si="219"/>
        <v>57618.490591634865</v>
      </c>
      <c r="J569" s="340">
        <f t="shared" si="220"/>
        <v>1.5707789712552116</v>
      </c>
      <c r="K569" s="348">
        <f t="shared" si="236"/>
        <v>14.884568174892408</v>
      </c>
      <c r="L569" s="349">
        <f t="shared" si="237"/>
        <v>1.5035620076858318</v>
      </c>
      <c r="M569" s="337">
        <f t="shared" si="221"/>
        <v>1.3286896280433123</v>
      </c>
      <c r="N569" s="340">
        <f t="shared" si="222"/>
        <v>0.71876239136969833</v>
      </c>
      <c r="O569" s="341">
        <f t="shared" si="223"/>
        <v>1.2561684537005293</v>
      </c>
      <c r="P569" s="342">
        <f t="shared" si="224"/>
        <v>1.3734647284069861</v>
      </c>
      <c r="Q569" s="343">
        <f t="shared" si="225"/>
        <v>-7.6072661028980377</v>
      </c>
      <c r="R569" s="344">
        <f t="shared" si="226"/>
        <v>-202.88190875702583</v>
      </c>
      <c r="S569" s="346">
        <f t="shared" si="227"/>
        <v>-22.881908757025826</v>
      </c>
      <c r="U569" s="319">
        <f t="shared" si="233"/>
        <v>95499</v>
      </c>
      <c r="V569" s="319">
        <f t="shared" si="234"/>
        <v>9120059001</v>
      </c>
      <c r="X569" s="345">
        <f t="shared" si="228"/>
        <v>23.482240754327162</v>
      </c>
      <c r="Y569" s="346">
        <f t="shared" si="229"/>
        <v>-45.033299873882136</v>
      </c>
      <c r="AA569" s="345">
        <f t="shared" si="230"/>
        <v>31.15023447716478</v>
      </c>
      <c r="AB569" s="346">
        <f t="shared" si="231"/>
        <v>-157.84860888314373</v>
      </c>
      <c r="AD569">
        <f t="shared" si="235"/>
        <v>0</v>
      </c>
      <c r="AE569">
        <f t="shared" si="238"/>
        <v>0</v>
      </c>
    </row>
    <row r="570" spans="1:31" x14ac:dyDescent="0.25">
      <c r="A570" s="347">
        <v>96611.5</v>
      </c>
      <c r="B570" s="364">
        <f t="shared" si="232"/>
        <v>96.611500000000007</v>
      </c>
      <c r="C570" s="337">
        <f t="shared" si="213"/>
        <v>21.8773014331301</v>
      </c>
      <c r="D570" s="338">
        <f t="shared" si="214"/>
        <v>1.5250709178858308</v>
      </c>
      <c r="E570" s="338">
        <f t="shared" si="215"/>
        <v>1.0105565879010332</v>
      </c>
      <c r="F570" s="339">
        <f t="shared" si="216"/>
        <v>0.14466892485036534</v>
      </c>
      <c r="G570" s="338">
        <f t="shared" si="217"/>
        <v>1</v>
      </c>
      <c r="H570" s="339">
        <f t="shared" si="218"/>
        <v>0</v>
      </c>
      <c r="I570" s="337">
        <f t="shared" si="219"/>
        <v>58289.70778515518</v>
      </c>
      <c r="J570" s="340">
        <f t="shared" si="220"/>
        <v>1.5707791711075885</v>
      </c>
      <c r="K570" s="348">
        <f t="shared" si="236"/>
        <v>15.057185361130971</v>
      </c>
      <c r="L570" s="349">
        <f t="shared" si="237"/>
        <v>1.5043339326699323</v>
      </c>
      <c r="M570" s="337">
        <f t="shared" si="221"/>
        <v>1.3354224725963857</v>
      </c>
      <c r="N570" s="340">
        <f t="shared" si="222"/>
        <v>0.72450633491839644</v>
      </c>
      <c r="O570" s="341">
        <f t="shared" si="223"/>
        <v>1.2669365994829835</v>
      </c>
      <c r="P570" s="342">
        <f t="shared" si="224"/>
        <v>1.3893569150476544</v>
      </c>
      <c r="Q570" s="343">
        <f t="shared" si="225"/>
        <v>-7.8240777832671995</v>
      </c>
      <c r="R570" s="344">
        <f t="shared" si="226"/>
        <v>-204.01368288757968</v>
      </c>
      <c r="S570" s="346">
        <f t="shared" si="227"/>
        <v>-24.013682887579677</v>
      </c>
      <c r="U570" s="319">
        <f t="shared" si="233"/>
        <v>96611.5</v>
      </c>
      <c r="V570" s="319">
        <f t="shared" si="234"/>
        <v>9333781932.25</v>
      </c>
      <c r="X570" s="345">
        <f t="shared" si="228"/>
        <v>23.437889167878822</v>
      </c>
      <c r="Y570" s="346">
        <f t="shared" si="229"/>
        <v>-45.318187004317522</v>
      </c>
      <c r="AA570" s="345">
        <f t="shared" si="230"/>
        <v>30.977774383243958</v>
      </c>
      <c r="AB570" s="346">
        <f t="shared" si="231"/>
        <v>-158.69549588326211</v>
      </c>
      <c r="AD570">
        <f t="shared" si="235"/>
        <v>0</v>
      </c>
      <c r="AE570">
        <f t="shared" si="238"/>
        <v>0</v>
      </c>
    </row>
    <row r="571" spans="1:31" x14ac:dyDescent="0.25">
      <c r="A571" s="347">
        <v>97724</v>
      </c>
      <c r="B571" s="364">
        <f t="shared" si="232"/>
        <v>97.724000000000004</v>
      </c>
      <c r="C571" s="337">
        <f t="shared" si="213"/>
        <v>22.1286994023638</v>
      </c>
      <c r="D571" s="338">
        <f t="shared" si="214"/>
        <v>1.5255907476616344</v>
      </c>
      <c r="E571" s="338">
        <f t="shared" si="215"/>
        <v>1.0107998035354258</v>
      </c>
      <c r="F571" s="339">
        <f t="shared" si="216"/>
        <v>0.14631127418171419</v>
      </c>
      <c r="G571" s="338">
        <f t="shared" si="217"/>
        <v>1</v>
      </c>
      <c r="H571" s="339">
        <f t="shared" si="218"/>
        <v>0</v>
      </c>
      <c r="I571" s="337">
        <f t="shared" si="219"/>
        <v>58960.924978677773</v>
      </c>
      <c r="J571" s="340">
        <f t="shared" si="220"/>
        <v>1.5707793664096854</v>
      </c>
      <c r="K571" s="348">
        <f t="shared" si="236"/>
        <v>15.229811316081651</v>
      </c>
      <c r="L571" s="349">
        <f t="shared" si="237"/>
        <v>1.5050883589567809</v>
      </c>
      <c r="M571" s="337">
        <f t="shared" si="221"/>
        <v>1.3421989337209141</v>
      </c>
      <c r="N571" s="340">
        <f t="shared" si="222"/>
        <v>0.73019246473487165</v>
      </c>
      <c r="O571" s="341">
        <f t="shared" si="223"/>
        <v>1.2779855354261176</v>
      </c>
      <c r="P571" s="342">
        <f t="shared" si="224"/>
        <v>1.4051352416005831</v>
      </c>
      <c r="Q571" s="343">
        <f t="shared" si="225"/>
        <v>-8.0410493155184479</v>
      </c>
      <c r="R571" s="344">
        <f t="shared" si="226"/>
        <v>-205.13597576321365</v>
      </c>
      <c r="S571" s="346">
        <f t="shared" si="227"/>
        <v>-25.135975763213651</v>
      </c>
      <c r="U571" s="319">
        <f t="shared" si="233"/>
        <v>97724</v>
      </c>
      <c r="V571" s="319">
        <f t="shared" si="234"/>
        <v>9549980176</v>
      </c>
      <c r="X571" s="345">
        <f t="shared" si="228"/>
        <v>23.393491305930262</v>
      </c>
      <c r="Y571" s="346">
        <f t="shared" si="229"/>
        <v>-45.600763992683689</v>
      </c>
      <c r="AA571" s="345">
        <f t="shared" si="230"/>
        <v>30.805200712941264</v>
      </c>
      <c r="AB571" s="346">
        <f t="shared" si="231"/>
        <v>-159.53521177053003</v>
      </c>
      <c r="AD571">
        <f t="shared" si="235"/>
        <v>0</v>
      </c>
      <c r="AE571">
        <f t="shared" si="238"/>
        <v>0</v>
      </c>
    </row>
    <row r="572" spans="1:31" x14ac:dyDescent="0.25">
      <c r="A572" s="347">
        <v>98862</v>
      </c>
      <c r="B572" s="364">
        <f t="shared" si="232"/>
        <v>98.861999999999995</v>
      </c>
      <c r="C572" s="337">
        <f t="shared" si="213"/>
        <v>22.38586579831102</v>
      </c>
      <c r="D572" s="338">
        <f t="shared" si="214"/>
        <v>1.526110412400608</v>
      </c>
      <c r="E572" s="338">
        <f t="shared" si="215"/>
        <v>1.0110514135213529</v>
      </c>
      <c r="F572" s="339">
        <f t="shared" si="216"/>
        <v>0.14799044619086754</v>
      </c>
      <c r="G572" s="338">
        <f t="shared" si="217"/>
        <v>1</v>
      </c>
      <c r="H572" s="339">
        <f t="shared" si="218"/>
        <v>0</v>
      </c>
      <c r="I572" s="337">
        <f t="shared" si="219"/>
        <v>59647.527375290127</v>
      </c>
      <c r="J572" s="340">
        <f t="shared" si="220"/>
        <v>1.5707795616405968</v>
      </c>
      <c r="K572" s="348">
        <f t="shared" si="236"/>
        <v>15.40640285587817</v>
      </c>
      <c r="L572" s="349">
        <f t="shared" si="237"/>
        <v>1.5058425851341695</v>
      </c>
      <c r="M572" s="337">
        <f t="shared" si="221"/>
        <v>1.3491751629220383</v>
      </c>
      <c r="N572" s="340">
        <f t="shared" si="222"/>
        <v>0.73594963951824199</v>
      </c>
      <c r="O572" s="341">
        <f t="shared" si="223"/>
        <v>1.2895795860684689</v>
      </c>
      <c r="P572" s="342">
        <f t="shared" si="224"/>
        <v>1.4211537459329755</v>
      </c>
      <c r="Q572" s="343">
        <f t="shared" si="225"/>
        <v>-8.2631493981498494</v>
      </c>
      <c r="R572" s="344">
        <f t="shared" si="226"/>
        <v>-206.27399261012698</v>
      </c>
      <c r="S572" s="346">
        <f t="shared" si="227"/>
        <v>-26.273992610126982</v>
      </c>
      <c r="U572" s="319">
        <f t="shared" si="233"/>
        <v>98862</v>
      </c>
      <c r="V572" s="319">
        <f t="shared" si="234"/>
        <v>9773695044</v>
      </c>
      <c r="X572" s="345">
        <f t="shared" si="228"/>
        <v>23.348033742127651</v>
      </c>
      <c r="Y572" s="346">
        <f t="shared" si="229"/>
        <v>-45.887423019162092</v>
      </c>
      <c r="AA572" s="345">
        <f t="shared" si="230"/>
        <v>30.628558194112475</v>
      </c>
      <c r="AB572" s="346">
        <f t="shared" si="231"/>
        <v>-160.38656959096488</v>
      </c>
      <c r="AD572">
        <f t="shared" si="235"/>
        <v>0</v>
      </c>
      <c r="AE572">
        <f t="shared" si="238"/>
        <v>0</v>
      </c>
    </row>
    <row r="573" spans="1:31" x14ac:dyDescent="0.25">
      <c r="A573" s="347">
        <v>100000</v>
      </c>
      <c r="B573" s="364">
        <f t="shared" si="232"/>
        <v>100</v>
      </c>
      <c r="C573" s="337">
        <f t="shared" si="213"/>
        <v>22.643038102273845</v>
      </c>
      <c r="D573" s="338">
        <f t="shared" si="214"/>
        <v>1.5266182729060562</v>
      </c>
      <c r="E573" s="338">
        <f t="shared" si="215"/>
        <v>1.0113058728634687</v>
      </c>
      <c r="F573" s="339">
        <f t="shared" si="216"/>
        <v>0.14966877792185065</v>
      </c>
      <c r="G573" s="338">
        <f t="shared" si="217"/>
        <v>1</v>
      </c>
      <c r="H573" s="339">
        <f t="shared" si="218"/>
        <v>0</v>
      </c>
      <c r="I573" s="337">
        <f t="shared" si="219"/>
        <v>60334.1297719047</v>
      </c>
      <c r="J573" s="340">
        <f t="shared" si="220"/>
        <v>1.5707797524280527</v>
      </c>
      <c r="K573" s="348">
        <f t="shared" si="236"/>
        <v>15.583002961080064</v>
      </c>
      <c r="L573" s="349">
        <f t="shared" si="237"/>
        <v>1.5065797166325821</v>
      </c>
      <c r="M573" s="337">
        <f t="shared" si="221"/>
        <v>1.356195649696323</v>
      </c>
      <c r="N573" s="340">
        <f t="shared" si="222"/>
        <v>0.74164739631361676</v>
      </c>
      <c r="O573" s="341">
        <f t="shared" si="223"/>
        <v>1.3014700265197539</v>
      </c>
      <c r="P573" s="342">
        <f t="shared" si="224"/>
        <v>1.4370458342730175</v>
      </c>
      <c r="Q573" s="343">
        <f t="shared" si="225"/>
        <v>-8.4853943518964119</v>
      </c>
      <c r="R573" s="344">
        <f t="shared" si="226"/>
        <v>-207.4017129642622</v>
      </c>
      <c r="S573" s="346">
        <f t="shared" si="227"/>
        <v>-27.401712964262202</v>
      </c>
      <c r="U573" s="319">
        <f t="shared" si="233"/>
        <v>100000</v>
      </c>
      <c r="V573" s="319">
        <f t="shared" si="234"/>
        <v>10000000000</v>
      </c>
      <c r="X573" s="345">
        <f t="shared" si="228"/>
        <v>23.302539464038876</v>
      </c>
      <c r="Y573" s="346">
        <f t="shared" si="229"/>
        <v>-46.171656844064643</v>
      </c>
      <c r="AA573" s="345">
        <f t="shared" si="230"/>
        <v>30.451807518454693</v>
      </c>
      <c r="AB573" s="346">
        <f t="shared" si="231"/>
        <v>-161.23005612019753</v>
      </c>
      <c r="AD573">
        <f t="shared" si="235"/>
        <v>0</v>
      </c>
      <c r="AE573">
        <f t="shared" si="238"/>
        <v>0</v>
      </c>
    </row>
    <row r="574" spans="1:31" x14ac:dyDescent="0.25">
      <c r="A574" s="347">
        <v>101165</v>
      </c>
      <c r="B574" s="364">
        <f t="shared" si="232"/>
        <v>101.16500000000001</v>
      </c>
      <c r="C574" s="337">
        <f t="shared" si="213"/>
        <v>22.906317946014155</v>
      </c>
      <c r="D574" s="338">
        <f t="shared" si="214"/>
        <v>1.5271263700049444</v>
      </c>
      <c r="E574" s="338">
        <f t="shared" si="215"/>
        <v>1.0115693187839379</v>
      </c>
      <c r="F574" s="339">
        <f t="shared" si="216"/>
        <v>0.15138604984943016</v>
      </c>
      <c r="G574" s="338">
        <f t="shared" si="217"/>
        <v>1</v>
      </c>
      <c r="H574" s="339">
        <f t="shared" si="218"/>
        <v>0</v>
      </c>
      <c r="I574" s="337">
        <f t="shared" si="219"/>
        <v>61037.022383555406</v>
      </c>
      <c r="J574" s="340">
        <f t="shared" si="220"/>
        <v>1.5707799432958169</v>
      </c>
      <c r="K574" s="348">
        <f t="shared" si="236"/>
        <v>15.763801623295256</v>
      </c>
      <c r="L574" s="349">
        <f t="shared" si="237"/>
        <v>1.5073172283450191</v>
      </c>
      <c r="M574" s="337">
        <f t="shared" si="221"/>
        <v>1.3634278346651725</v>
      </c>
      <c r="N574" s="340">
        <f t="shared" si="222"/>
        <v>0.74741936297983913</v>
      </c>
      <c r="O574" s="341">
        <f t="shared" si="223"/>
        <v>1.3139507408725091</v>
      </c>
      <c r="P574" s="342">
        <f t="shared" si="224"/>
        <v>1.4531804909417141</v>
      </c>
      <c r="Q574" s="343">
        <f t="shared" si="225"/>
        <v>-8.7130477241085593</v>
      </c>
      <c r="R574" s="344">
        <f t="shared" si="226"/>
        <v>-208.54534403911836</v>
      </c>
      <c r="S574" s="346">
        <f t="shared" si="227"/>
        <v>-28.545344039118362</v>
      </c>
      <c r="U574" s="319">
        <f t="shared" si="233"/>
        <v>101165</v>
      </c>
      <c r="V574" s="319">
        <f t="shared" si="234"/>
        <v>10234357225</v>
      </c>
      <c r="X574" s="345">
        <f t="shared" si="228"/>
        <v>23.255933721093069</v>
      </c>
      <c r="Y574" s="346">
        <f t="shared" si="229"/>
        <v>-46.46012080131225</v>
      </c>
      <c r="AA574" s="345">
        <f t="shared" si="230"/>
        <v>30.270759889188348</v>
      </c>
      <c r="AB574" s="346">
        <f t="shared" si="231"/>
        <v>-162.08522323780619</v>
      </c>
      <c r="AD574">
        <f t="shared" si="235"/>
        <v>0</v>
      </c>
      <c r="AE574">
        <f t="shared" si="238"/>
        <v>0</v>
      </c>
    </row>
    <row r="575" spans="1:31" x14ac:dyDescent="0.25">
      <c r="A575" s="347">
        <v>102330</v>
      </c>
      <c r="B575" s="364">
        <f t="shared" si="232"/>
        <v>102.33</v>
      </c>
      <c r="C575" s="337">
        <f t="shared" si="213"/>
        <v>23.169603568916273</v>
      </c>
      <c r="D575" s="338">
        <f t="shared" si="214"/>
        <v>1.5276229198018934</v>
      </c>
      <c r="E575" s="338">
        <f t="shared" si="215"/>
        <v>1.011835746286929</v>
      </c>
      <c r="F575" s="339">
        <f t="shared" si="216"/>
        <v>0.15310242248317435</v>
      </c>
      <c r="G575" s="338">
        <f t="shared" si="217"/>
        <v>1</v>
      </c>
      <c r="H575" s="339">
        <f t="shared" si="218"/>
        <v>0</v>
      </c>
      <c r="I575" s="337">
        <f t="shared" si="219"/>
        <v>61739.914995208295</v>
      </c>
      <c r="J575" s="340">
        <f t="shared" si="220"/>
        <v>1.5707801298176232</v>
      </c>
      <c r="K575" s="348">
        <f t="shared" si="236"/>
        <v>15.944608665359342</v>
      </c>
      <c r="L575" s="349">
        <f t="shared" si="237"/>
        <v>1.5080380141224079</v>
      </c>
      <c r="M575" s="337">
        <f t="shared" si="221"/>
        <v>1.3707049628411847</v>
      </c>
      <c r="N575" s="340">
        <f t="shared" si="222"/>
        <v>0.75313023102205445</v>
      </c>
      <c r="O575" s="341">
        <f t="shared" si="223"/>
        <v>1.3267442489597947</v>
      </c>
      <c r="P575" s="342">
        <f t="shared" si="224"/>
        <v>1.4691756992959422</v>
      </c>
      <c r="Q575" s="343">
        <f t="shared" si="225"/>
        <v>-8.9408215717170023</v>
      </c>
      <c r="R575" s="344">
        <f t="shared" si="226"/>
        <v>-209.67783261135</v>
      </c>
      <c r="S575" s="346">
        <f t="shared" si="227"/>
        <v>-29.677832611349999</v>
      </c>
      <c r="U575" s="319">
        <f t="shared" si="233"/>
        <v>102330</v>
      </c>
      <c r="V575" s="319">
        <f t="shared" si="234"/>
        <v>10471428900</v>
      </c>
      <c r="X575" s="345">
        <f t="shared" si="228"/>
        <v>23.209301445571043</v>
      </c>
      <c r="Y575" s="346">
        <f t="shared" si="229"/>
        <v>-46.746042141748887</v>
      </c>
      <c r="AA575" s="345">
        <f t="shared" si="230"/>
        <v>30.089618317101934</v>
      </c>
      <c r="AB575" s="346">
        <f t="shared" si="231"/>
        <v>-162.93179046960111</v>
      </c>
      <c r="AD575">
        <f t="shared" si="235"/>
        <v>0</v>
      </c>
      <c r="AE575">
        <f t="shared" si="238"/>
        <v>0</v>
      </c>
    </row>
    <row r="576" spans="1:31" x14ac:dyDescent="0.25">
      <c r="A576" s="347">
        <v>103520</v>
      </c>
      <c r="B576" s="364">
        <f t="shared" si="232"/>
        <v>103.52</v>
      </c>
      <c r="C576" s="337">
        <f t="shared" si="213"/>
        <v>23.438544861901963</v>
      </c>
      <c r="D576" s="338">
        <f t="shared" si="214"/>
        <v>1.5281186078909599</v>
      </c>
      <c r="E576" s="338">
        <f t="shared" si="215"/>
        <v>1.0121109669125452</v>
      </c>
      <c r="F576" s="339">
        <f t="shared" si="216"/>
        <v>0.15485468892721763</v>
      </c>
      <c r="G576" s="338">
        <f t="shared" si="217"/>
        <v>1</v>
      </c>
      <c r="H576" s="339">
        <f t="shared" si="218"/>
        <v>0</v>
      </c>
      <c r="I576" s="337">
        <f t="shared" si="219"/>
        <v>62457.891139302243</v>
      </c>
      <c r="J576" s="340">
        <f t="shared" si="220"/>
        <v>1.5707803160077598</v>
      </c>
      <c r="K576" s="348">
        <f t="shared" si="236"/>
        <v>16.12930404535507</v>
      </c>
      <c r="L576" s="349">
        <f t="shared" si="237"/>
        <v>1.5087575833404636</v>
      </c>
      <c r="M576" s="337">
        <f t="shared" si="221"/>
        <v>1.3781839124975817</v>
      </c>
      <c r="N576" s="340">
        <f t="shared" si="222"/>
        <v>0.75890119270978207</v>
      </c>
      <c r="O576" s="341">
        <f t="shared" si="223"/>
        <v>1.3401361456382781</v>
      </c>
      <c r="P576" s="342">
        <f t="shared" si="224"/>
        <v>1.4853668660978159</v>
      </c>
      <c r="Q576" s="343">
        <f t="shared" si="225"/>
        <v>-9.1735886403949856</v>
      </c>
      <c r="R576" s="344">
        <f t="shared" si="226"/>
        <v>-210.8229556365159</v>
      </c>
      <c r="S576" s="346">
        <f t="shared" si="227"/>
        <v>-30.8229556365159</v>
      </c>
      <c r="U576" s="319">
        <f t="shared" si="233"/>
        <v>103520</v>
      </c>
      <c r="V576" s="319">
        <f t="shared" si="234"/>
        <v>10716390400</v>
      </c>
      <c r="X576" s="345">
        <f t="shared" si="228"/>
        <v>23.16164712376554</v>
      </c>
      <c r="Y576" s="346">
        <f t="shared" si="229"/>
        <v>-47.035476279164982</v>
      </c>
      <c r="AA576" s="345">
        <f t="shared" si="230"/>
        <v>29.904505570229457</v>
      </c>
      <c r="AB576" s="346">
        <f t="shared" si="231"/>
        <v>-163.78747935735092</v>
      </c>
      <c r="AD576">
        <f t="shared" si="235"/>
        <v>0</v>
      </c>
      <c r="AE576">
        <f t="shared" si="238"/>
        <v>0</v>
      </c>
    </row>
    <row r="577" spans="1:31" x14ac:dyDescent="0.25">
      <c r="A577" s="347">
        <v>104710</v>
      </c>
      <c r="B577" s="364">
        <f t="shared" si="232"/>
        <v>104.71</v>
      </c>
      <c r="C577" s="337">
        <f t="shared" si="213"/>
        <v>23.707491783231863</v>
      </c>
      <c r="D577" s="338">
        <f t="shared" si="214"/>
        <v>1.5286030495434726</v>
      </c>
      <c r="E577" s="338">
        <f t="shared" si="215"/>
        <v>1.0123892934666265</v>
      </c>
      <c r="F577" s="339">
        <f t="shared" si="216"/>
        <v>0.15660599727821675</v>
      </c>
      <c r="G577" s="338">
        <f t="shared" si="217"/>
        <v>1</v>
      </c>
      <c r="H577" s="339">
        <f t="shared" si="218"/>
        <v>0</v>
      </c>
      <c r="I577" s="337">
        <f t="shared" si="219"/>
        <v>63175.867283398315</v>
      </c>
      <c r="J577" s="340">
        <f t="shared" si="220"/>
        <v>1.5707804979658984</v>
      </c>
      <c r="K577" s="348">
        <f t="shared" si="236"/>
        <v>16.314007587679441</v>
      </c>
      <c r="L577" s="349">
        <f t="shared" si="237"/>
        <v>1.509460859312572</v>
      </c>
      <c r="M577" s="337">
        <f t="shared" si="221"/>
        <v>1.3857082648503916</v>
      </c>
      <c r="N577" s="340">
        <f t="shared" si="222"/>
        <v>0.76460967051909823</v>
      </c>
      <c r="O577" s="341">
        <f t="shared" si="223"/>
        <v>1.3538561118693153</v>
      </c>
      <c r="P577" s="342">
        <f t="shared" si="224"/>
        <v>1.5014060464909407</v>
      </c>
      <c r="Q577" s="343">
        <f t="shared" si="225"/>
        <v>-9.4064413413802903</v>
      </c>
      <c r="R577" s="344">
        <f t="shared" si="226"/>
        <v>-211.95613423247332</v>
      </c>
      <c r="S577" s="346">
        <f t="shared" si="227"/>
        <v>-31.956134232473318</v>
      </c>
      <c r="U577" s="319">
        <f t="shared" si="233"/>
        <v>104710</v>
      </c>
      <c r="V577" s="319">
        <f t="shared" si="234"/>
        <v>10964184100</v>
      </c>
      <c r="X577" s="345">
        <f t="shared" si="228"/>
        <v>23.1139772014564</v>
      </c>
      <c r="Y577" s="346">
        <f t="shared" si="229"/>
        <v>-47.322263645809201</v>
      </c>
      <c r="AA577" s="345">
        <f t="shared" si="230"/>
        <v>29.719322791553289</v>
      </c>
      <c r="AB577" s="346">
        <f t="shared" si="231"/>
        <v>-164.63387058666413</v>
      </c>
      <c r="AD577">
        <f t="shared" si="235"/>
        <v>0</v>
      </c>
      <c r="AE577">
        <f t="shared" si="238"/>
        <v>0</v>
      </c>
    </row>
    <row r="578" spans="1:31" x14ac:dyDescent="0.25">
      <c r="A578" s="347">
        <v>105930</v>
      </c>
      <c r="B578" s="364">
        <f t="shared" si="232"/>
        <v>105.93</v>
      </c>
      <c r="C578" s="337">
        <f t="shared" si="213"/>
        <v>23.983224523798036</v>
      </c>
      <c r="D578" s="338">
        <f t="shared" si="214"/>
        <v>1.5290884245606</v>
      </c>
      <c r="E578" s="338">
        <f t="shared" si="215"/>
        <v>1.0126778583419453</v>
      </c>
      <c r="F578" s="339">
        <f t="shared" si="216"/>
        <v>0.15840045121772112</v>
      </c>
      <c r="G578" s="338">
        <f t="shared" si="217"/>
        <v>1</v>
      </c>
      <c r="H578" s="339">
        <f t="shared" si="218"/>
        <v>0</v>
      </c>
      <c r="I578" s="337">
        <f t="shared" si="219"/>
        <v>63911.9436664233</v>
      </c>
      <c r="J578" s="340">
        <f t="shared" si="220"/>
        <v>1.570780680267148</v>
      </c>
      <c r="K578" s="348">
        <f t="shared" si="236"/>
        <v>16.503375708512593</v>
      </c>
      <c r="L578" s="349">
        <f t="shared" si="237"/>
        <v>1.5101655223492623</v>
      </c>
      <c r="M578" s="337">
        <f t="shared" si="221"/>
        <v>1.39346867081298</v>
      </c>
      <c r="N578" s="340">
        <f t="shared" si="222"/>
        <v>0.77039786640075214</v>
      </c>
      <c r="O578" s="341">
        <f t="shared" si="223"/>
        <v>1.3682632095358065</v>
      </c>
      <c r="P578" s="342">
        <f t="shared" si="224"/>
        <v>1.5176887431588495</v>
      </c>
      <c r="Q578" s="343">
        <f t="shared" si="225"/>
        <v>-9.6452297615639875</v>
      </c>
      <c r="R578" s="344">
        <f t="shared" si="226"/>
        <v>-213.10533475677246</v>
      </c>
      <c r="S578" s="346">
        <f t="shared" si="227"/>
        <v>-33.105334756772464</v>
      </c>
      <c r="U578" s="319">
        <f t="shared" si="233"/>
        <v>105930</v>
      </c>
      <c r="V578" s="319">
        <f t="shared" si="234"/>
        <v>11221164900</v>
      </c>
      <c r="X578" s="345">
        <f t="shared" si="228"/>
        <v>23.065095448936468</v>
      </c>
      <c r="Y578" s="346">
        <f t="shared" si="229"/>
        <v>-47.613539068266782</v>
      </c>
      <c r="AA578" s="345">
        <f t="shared" si="230"/>
        <v>29.529416123889526</v>
      </c>
      <c r="AB578" s="346">
        <f t="shared" si="231"/>
        <v>-165.49179568850565</v>
      </c>
      <c r="AD578">
        <f t="shared" si="235"/>
        <v>0</v>
      </c>
      <c r="AE578">
        <f t="shared" si="238"/>
        <v>0</v>
      </c>
    </row>
    <row r="579" spans="1:31" x14ac:dyDescent="0.25">
      <c r="A579" s="347">
        <v>107150</v>
      </c>
      <c r="B579" s="364">
        <f t="shared" si="232"/>
        <v>107.15</v>
      </c>
      <c r="C579" s="337">
        <f t="shared" si="213"/>
        <v>24.258962786102675</v>
      </c>
      <c r="D579" s="338">
        <f t="shared" si="214"/>
        <v>1.5295627657066535</v>
      </c>
      <c r="E579" s="338">
        <f t="shared" si="215"/>
        <v>1.0129696822417491</v>
      </c>
      <c r="F579" s="339">
        <f t="shared" si="216"/>
        <v>0.1601938770099284</v>
      </c>
      <c r="G579" s="338">
        <f t="shared" si="217"/>
        <v>1</v>
      </c>
      <c r="H579" s="339">
        <f t="shared" si="218"/>
        <v>0</v>
      </c>
      <c r="I579" s="337">
        <f t="shared" si="219"/>
        <v>64648.020049450359</v>
      </c>
      <c r="J579" s="340">
        <f t="shared" si="220"/>
        <v>1.5707808584170673</v>
      </c>
      <c r="K579" s="348">
        <f t="shared" si="236"/>
        <v>16.692751838166579</v>
      </c>
      <c r="L579" s="349">
        <f t="shared" si="237"/>
        <v>1.5108541971822731</v>
      </c>
      <c r="M579" s="337">
        <f t="shared" si="221"/>
        <v>1.4012752444446361</v>
      </c>
      <c r="N579" s="340">
        <f t="shared" si="222"/>
        <v>0.77612175962872876</v>
      </c>
      <c r="O579" s="341">
        <f t="shared" si="223"/>
        <v>1.3830163363172796</v>
      </c>
      <c r="P579" s="342">
        <f t="shared" si="224"/>
        <v>1.5338057537862577</v>
      </c>
      <c r="Q579" s="343">
        <f t="shared" si="225"/>
        <v>-9.8840592848337057</v>
      </c>
      <c r="R579" s="344">
        <f t="shared" si="226"/>
        <v>-214.24170043254045</v>
      </c>
      <c r="S579" s="346">
        <f t="shared" si="227"/>
        <v>-34.241700432540455</v>
      </c>
      <c r="U579" s="319">
        <f t="shared" si="233"/>
        <v>107150</v>
      </c>
      <c r="V579" s="319">
        <f t="shared" si="234"/>
        <v>11481122500</v>
      </c>
      <c r="X579" s="345">
        <f t="shared" si="228"/>
        <v>23.01620957932149</v>
      </c>
      <c r="Y579" s="346">
        <f t="shared" si="229"/>
        <v>-47.902046038793124</v>
      </c>
      <c r="AA579" s="345">
        <f t="shared" si="230"/>
        <v>29.339472470234785</v>
      </c>
      <c r="AB579" s="346">
        <f t="shared" si="231"/>
        <v>-166.33965439374737</v>
      </c>
      <c r="AD579">
        <f t="shared" si="235"/>
        <v>0</v>
      </c>
      <c r="AE579">
        <f t="shared" si="238"/>
        <v>0</v>
      </c>
    </row>
    <row r="580" spans="1:31" x14ac:dyDescent="0.25">
      <c r="A580" s="347">
        <v>108400</v>
      </c>
      <c r="B580" s="364">
        <f t="shared" si="232"/>
        <v>108.4</v>
      </c>
      <c r="C580" s="337">
        <f t="shared" si="213"/>
        <v>24.541487029935173</v>
      </c>
      <c r="D580" s="338">
        <f t="shared" si="214"/>
        <v>1.5300377154747469</v>
      </c>
      <c r="E580" s="338">
        <f t="shared" si="215"/>
        <v>1.0132720594141549</v>
      </c>
      <c r="F580" s="339">
        <f t="shared" si="216"/>
        <v>0.16203032592542044</v>
      </c>
      <c r="G580" s="338">
        <f t="shared" si="217"/>
        <v>1</v>
      </c>
      <c r="H580" s="339">
        <f t="shared" si="218"/>
        <v>0</v>
      </c>
      <c r="I580" s="337">
        <f t="shared" si="219"/>
        <v>65402.196671406389</v>
      </c>
      <c r="J580" s="340">
        <f t="shared" si="220"/>
        <v>1.5707810367885828</v>
      </c>
      <c r="K580" s="348">
        <f t="shared" si="236"/>
        <v>16.886792782789225</v>
      </c>
      <c r="L580" s="349">
        <f t="shared" si="237"/>
        <v>1.5115437856775518</v>
      </c>
      <c r="M580" s="337">
        <f t="shared" si="221"/>
        <v>1.409320865250973</v>
      </c>
      <c r="N580" s="340">
        <f t="shared" si="222"/>
        <v>0.78192043900062524</v>
      </c>
      <c r="O580" s="341">
        <f t="shared" si="223"/>
        <v>1.3984915459316998</v>
      </c>
      <c r="P580" s="342">
        <f t="shared" si="224"/>
        <v>1.5501445095872499</v>
      </c>
      <c r="Q580" s="343">
        <f t="shared" si="225"/>
        <v>-10.128776544007836</v>
      </c>
      <c r="R580" s="344">
        <f t="shared" si="226"/>
        <v>-215.39257359310471</v>
      </c>
      <c r="S580" s="346">
        <f t="shared" si="227"/>
        <v>-35.392573593104714</v>
      </c>
      <c r="U580" s="319">
        <f t="shared" si="233"/>
        <v>108400</v>
      </c>
      <c r="V580" s="319">
        <f t="shared" si="234"/>
        <v>11750560000</v>
      </c>
      <c r="X580" s="345">
        <f t="shared" si="228"/>
        <v>22.966123543556897</v>
      </c>
      <c r="Y580" s="346">
        <f t="shared" si="229"/>
        <v>-48.194785603441659</v>
      </c>
      <c r="AA580" s="345">
        <f t="shared" si="230"/>
        <v>29.144841246825241</v>
      </c>
      <c r="AB580" s="346">
        <f t="shared" si="231"/>
        <v>-167.19778798966303</v>
      </c>
      <c r="AD580">
        <f t="shared" si="235"/>
        <v>0</v>
      </c>
      <c r="AE580">
        <f t="shared" si="238"/>
        <v>0</v>
      </c>
    </row>
    <row r="581" spans="1:31" x14ac:dyDescent="0.25">
      <c r="A581" s="347">
        <v>109650</v>
      </c>
      <c r="B581" s="364">
        <f t="shared" si="232"/>
        <v>109.65</v>
      </c>
      <c r="C581" s="337">
        <f t="shared" si="213"/>
        <v>24.824016683757485</v>
      </c>
      <c r="D581" s="338">
        <f t="shared" si="214"/>
        <v>1.5305018542511877</v>
      </c>
      <c r="E581" s="338">
        <f t="shared" si="215"/>
        <v>1.013577851846126</v>
      </c>
      <c r="F581" s="339">
        <f t="shared" si="216"/>
        <v>0.16386567292884646</v>
      </c>
      <c r="G581" s="338">
        <f t="shared" si="217"/>
        <v>1</v>
      </c>
      <c r="H581" s="339">
        <f t="shared" si="218"/>
        <v>0</v>
      </c>
      <c r="I581" s="337">
        <f t="shared" si="219"/>
        <v>66156.373293364464</v>
      </c>
      <c r="J581" s="340">
        <f t="shared" si="220"/>
        <v>1.5707812110932604</v>
      </c>
      <c r="K581" s="348">
        <f t="shared" si="236"/>
        <v>17.080841575176038</v>
      </c>
      <c r="L581" s="349">
        <f t="shared" si="237"/>
        <v>1.5122177061943185</v>
      </c>
      <c r="M581" s="337">
        <f t="shared" si="221"/>
        <v>1.4174133351267755</v>
      </c>
      <c r="N581" s="340">
        <f t="shared" si="222"/>
        <v>0.78765309624457114</v>
      </c>
      <c r="O581" s="341">
        <f t="shared" si="223"/>
        <v>1.4143306788078178</v>
      </c>
      <c r="P581" s="342">
        <f t="shared" si="224"/>
        <v>1.5663040720051935</v>
      </c>
      <c r="Q581" s="343">
        <f t="shared" si="225"/>
        <v>-10.373479505807573</v>
      </c>
      <c r="R581" s="344">
        <f t="shared" si="226"/>
        <v>-216.52973812654818</v>
      </c>
      <c r="S581" s="346">
        <f t="shared" si="227"/>
        <v>-36.529738126548182</v>
      </c>
      <c r="U581" s="319">
        <f t="shared" si="233"/>
        <v>109650</v>
      </c>
      <c r="V581" s="319">
        <f t="shared" si="234"/>
        <v>12023122500</v>
      </c>
      <c r="X581" s="345">
        <f t="shared" si="228"/>
        <v>22.916045625119526</v>
      </c>
      <c r="Y581" s="346">
        <f t="shared" si="229"/>
        <v>-48.484639854830426</v>
      </c>
      <c r="AA581" s="345">
        <f t="shared" si="230"/>
        <v>28.95021620346288</v>
      </c>
      <c r="AB581" s="346">
        <f t="shared" si="231"/>
        <v>-168.04509827171776</v>
      </c>
      <c r="AD581">
        <f t="shared" si="235"/>
        <v>0</v>
      </c>
      <c r="AE581">
        <f t="shared" si="238"/>
        <v>0</v>
      </c>
    </row>
    <row r="582" spans="1:31" x14ac:dyDescent="0.25">
      <c r="A582" s="347">
        <v>110925</v>
      </c>
      <c r="B582" s="364">
        <f t="shared" si="232"/>
        <v>110.925</v>
      </c>
      <c r="C582" s="337">
        <f t="shared" si="213"/>
        <v>25.112202314660781</v>
      </c>
      <c r="D582" s="338">
        <f t="shared" si="214"/>
        <v>1.5309645165350101</v>
      </c>
      <c r="E582" s="338">
        <f t="shared" si="215"/>
        <v>1.0138932753222671</v>
      </c>
      <c r="F582" s="339">
        <f t="shared" si="216"/>
        <v>0.16573657989952631</v>
      </c>
      <c r="G582" s="338">
        <f t="shared" si="217"/>
        <v>1</v>
      </c>
      <c r="H582" s="339">
        <f t="shared" si="218"/>
        <v>0</v>
      </c>
      <c r="I582" s="337">
        <f t="shared" si="219"/>
        <v>66925.633447763714</v>
      </c>
      <c r="J582" s="340">
        <f t="shared" si="220"/>
        <v>1.5707813848369574</v>
      </c>
      <c r="K582" s="348">
        <f t="shared" si="236"/>
        <v>17.278779153974114</v>
      </c>
      <c r="L582" s="349">
        <f t="shared" si="237"/>
        <v>1.5128895107895468</v>
      </c>
      <c r="M582" s="337">
        <f t="shared" si="221"/>
        <v>1.4257150909595966</v>
      </c>
      <c r="N582" s="340">
        <f t="shared" si="222"/>
        <v>0.79343316923290808</v>
      </c>
      <c r="O582" s="341">
        <f t="shared" si="223"/>
        <v>1.4308616234632863</v>
      </c>
      <c r="P582" s="342">
        <f t="shared" si="224"/>
        <v>1.582599904814038</v>
      </c>
      <c r="Q582" s="343">
        <f t="shared" si="225"/>
        <v>-10.623030202716119</v>
      </c>
      <c r="R582" s="344">
        <f t="shared" si="226"/>
        <v>-217.67542626870201</v>
      </c>
      <c r="S582" s="346">
        <f t="shared" si="227"/>
        <v>-37.675426268702012</v>
      </c>
      <c r="U582" s="319">
        <f t="shared" si="233"/>
        <v>110925</v>
      </c>
      <c r="V582" s="319">
        <f t="shared" si="234"/>
        <v>12304355625</v>
      </c>
      <c r="X582" s="345">
        <f t="shared" si="228"/>
        <v>22.864980736314557</v>
      </c>
      <c r="Y582" s="346">
        <f t="shared" si="229"/>
        <v>-48.777332029490637</v>
      </c>
      <c r="AA582" s="345">
        <f t="shared" si="230"/>
        <v>28.751730395359303</v>
      </c>
      <c r="AB582" s="346">
        <f t="shared" si="231"/>
        <v>-168.89809423921139</v>
      </c>
      <c r="AD582">
        <f t="shared" si="235"/>
        <v>0</v>
      </c>
      <c r="AE582">
        <f t="shared" si="238"/>
        <v>0</v>
      </c>
    </row>
    <row r="583" spans="1:31" x14ac:dyDescent="0.25">
      <c r="A583" s="347">
        <v>112200</v>
      </c>
      <c r="B583" s="364">
        <f t="shared" si="232"/>
        <v>112.2</v>
      </c>
      <c r="C583" s="337">
        <f t="shared" si="213"/>
        <v>25.400393199014623</v>
      </c>
      <c r="D583" s="338">
        <f t="shared" si="214"/>
        <v>1.5314166802532714</v>
      </c>
      <c r="E583" s="338">
        <f t="shared" si="215"/>
        <v>1.0142122455071358</v>
      </c>
      <c r="F583" s="339">
        <f t="shared" si="216"/>
        <v>0.16760631660933492</v>
      </c>
      <c r="G583" s="338">
        <f t="shared" si="217"/>
        <v>1</v>
      </c>
      <c r="H583" s="339">
        <f t="shared" si="218"/>
        <v>0</v>
      </c>
      <c r="I583" s="337">
        <f t="shared" si="219"/>
        <v>67694.893602164942</v>
      </c>
      <c r="J583" s="340">
        <f t="shared" si="220"/>
        <v>1.5707815546319339</v>
      </c>
      <c r="K583" s="348">
        <f t="shared" si="236"/>
        <v>17.476724354409885</v>
      </c>
      <c r="L583" s="349">
        <f t="shared" si="237"/>
        <v>1.5135460976641353</v>
      </c>
      <c r="M583" s="337">
        <f t="shared" si="221"/>
        <v>1.4340639264520487</v>
      </c>
      <c r="N583" s="340">
        <f t="shared" si="222"/>
        <v>0.79914613036898374</v>
      </c>
      <c r="O583" s="341">
        <f t="shared" si="223"/>
        <v>1.4477712772142399</v>
      </c>
      <c r="P583" s="342">
        <f t="shared" si="224"/>
        <v>1.5987049098921482</v>
      </c>
      <c r="Q583" s="343">
        <f t="shared" si="225"/>
        <v>-10.872501258445395</v>
      </c>
      <c r="R583" s="344">
        <f t="shared" si="226"/>
        <v>-218.80667277379703</v>
      </c>
      <c r="S583" s="346">
        <f t="shared" si="227"/>
        <v>-38.806672773797033</v>
      </c>
      <c r="U583" s="319">
        <f t="shared" si="233"/>
        <v>112200</v>
      </c>
      <c r="V583" s="319">
        <f t="shared" si="234"/>
        <v>12588840000</v>
      </c>
      <c r="X583" s="345">
        <f t="shared" si="228"/>
        <v>22.813936704254886</v>
      </c>
      <c r="Y583" s="346">
        <f t="shared" si="229"/>
        <v>-49.067050663179025</v>
      </c>
      <c r="AA583" s="345">
        <f t="shared" si="230"/>
        <v>28.553303371689701</v>
      </c>
      <c r="AB583" s="346">
        <f t="shared" si="231"/>
        <v>-169.73962211061806</v>
      </c>
      <c r="AD583">
        <f t="shared" si="235"/>
        <v>0</v>
      </c>
      <c r="AE583">
        <f t="shared" si="238"/>
        <v>0</v>
      </c>
    </row>
    <row r="584" spans="1:31" x14ac:dyDescent="0.25">
      <c r="A584" s="347">
        <v>113510</v>
      </c>
      <c r="B584" s="364">
        <f t="shared" si="232"/>
        <v>113.51</v>
      </c>
      <c r="C584" s="337">
        <f t="shared" si="213"/>
        <v>25.696500491648006</v>
      </c>
      <c r="D584" s="338">
        <f t="shared" si="214"/>
        <v>1.5318706925771075</v>
      </c>
      <c r="E584" s="338">
        <f t="shared" si="215"/>
        <v>1.0145436623059059</v>
      </c>
      <c r="F584" s="339">
        <f t="shared" si="216"/>
        <v>0.16952614796225582</v>
      </c>
      <c r="G584" s="338">
        <f t="shared" si="217"/>
        <v>1</v>
      </c>
      <c r="H584" s="339">
        <f t="shared" si="218"/>
        <v>0</v>
      </c>
      <c r="I584" s="337">
        <f t="shared" si="219"/>
        <v>68485.270701983085</v>
      </c>
      <c r="J584" s="340">
        <f t="shared" si="220"/>
        <v>1.5707817251150056</v>
      </c>
      <c r="K584" s="348">
        <f t="shared" si="236"/>
        <v>17.680111013931992</v>
      </c>
      <c r="L584" s="349">
        <f t="shared" si="237"/>
        <v>1.5142053950808645</v>
      </c>
      <c r="M584" s="337">
        <f t="shared" si="221"/>
        <v>1.4426901225012945</v>
      </c>
      <c r="N584" s="340">
        <f t="shared" si="222"/>
        <v>0.80494685356458162</v>
      </c>
      <c r="O584" s="341">
        <f t="shared" si="223"/>
        <v>1.4655393761819879</v>
      </c>
      <c r="P584" s="342">
        <f t="shared" si="224"/>
        <v>1.6150513919133411</v>
      </c>
      <c r="Q584" s="343">
        <f t="shared" si="225"/>
        <v>-11.128702227942311</v>
      </c>
      <c r="R584" s="344">
        <f t="shared" si="226"/>
        <v>-219.95386372668165</v>
      </c>
      <c r="S584" s="346">
        <f t="shared" si="227"/>
        <v>-39.953863726681647</v>
      </c>
      <c r="U584" s="319">
        <f t="shared" si="233"/>
        <v>113510</v>
      </c>
      <c r="V584" s="319">
        <f t="shared" si="234"/>
        <v>12884520100</v>
      </c>
      <c r="X584" s="345">
        <f t="shared" si="228"/>
        <v>22.761519451139186</v>
      </c>
      <c r="Y584" s="346">
        <f t="shared" si="229"/>
        <v>-49.36164242928507</v>
      </c>
      <c r="AA584" s="345">
        <f t="shared" si="230"/>
        <v>28.34951965530848</v>
      </c>
      <c r="AB584" s="346">
        <f t="shared" si="231"/>
        <v>-170.59222129739661</v>
      </c>
      <c r="AD584">
        <f t="shared" si="235"/>
        <v>0</v>
      </c>
      <c r="AE584">
        <f t="shared" si="238"/>
        <v>0</v>
      </c>
    </row>
    <row r="585" spans="1:31" x14ac:dyDescent="0.25">
      <c r="A585" s="347">
        <v>114820</v>
      </c>
      <c r="B585" s="364">
        <f t="shared" si="232"/>
        <v>114.82</v>
      </c>
      <c r="C585" s="337">
        <f t="shared" si="213"/>
        <v>25.992612960347344</v>
      </c>
      <c r="D585" s="338">
        <f t="shared" si="214"/>
        <v>1.5323143606124212</v>
      </c>
      <c r="E585" s="338">
        <f t="shared" si="215"/>
        <v>1.0148788160111675</v>
      </c>
      <c r="F585" s="339">
        <f t="shared" si="216"/>
        <v>0.17144471837199504</v>
      </c>
      <c r="G585" s="338">
        <f t="shared" si="217"/>
        <v>1</v>
      </c>
      <c r="H585" s="339">
        <f t="shared" si="218"/>
        <v>0</v>
      </c>
      <c r="I585" s="337">
        <f t="shared" si="219"/>
        <v>69275.647801803178</v>
      </c>
      <c r="J585" s="340">
        <f t="shared" si="220"/>
        <v>1.5707818917079395</v>
      </c>
      <c r="K585" s="348">
        <f t="shared" si="236"/>
        <v>17.883505183718082</v>
      </c>
      <c r="L585" s="349">
        <f t="shared" si="237"/>
        <v>1.5148496960198494</v>
      </c>
      <c r="M585" s="337">
        <f t="shared" si="221"/>
        <v>1.4513642847578969</v>
      </c>
      <c r="N585" s="340">
        <f t="shared" si="222"/>
        <v>0.81067843099413739</v>
      </c>
      <c r="O585" s="341">
        <f t="shared" si="223"/>
        <v>1.4837067329356992</v>
      </c>
      <c r="P585" s="342">
        <f t="shared" si="224"/>
        <v>1.6311929432296266</v>
      </c>
      <c r="Q585" s="343">
        <f t="shared" si="225"/>
        <v>-11.3847466933302</v>
      </c>
      <c r="R585" s="344">
        <f t="shared" si="226"/>
        <v>-221.08568982914139</v>
      </c>
      <c r="S585" s="346">
        <f t="shared" si="227"/>
        <v>-41.085689829141387</v>
      </c>
      <c r="U585" s="319">
        <f t="shared" si="233"/>
        <v>114820</v>
      </c>
      <c r="V585" s="319">
        <f t="shared" si="234"/>
        <v>13183632400</v>
      </c>
      <c r="X585" s="345">
        <f t="shared" si="228"/>
        <v>22.709136752547124</v>
      </c>
      <c r="Y585" s="346">
        <f t="shared" si="229"/>
        <v>-49.653131446815962</v>
      </c>
      <c r="AA585" s="345">
        <f t="shared" si="230"/>
        <v>28.145857888512651</v>
      </c>
      <c r="AB585" s="346">
        <f t="shared" si="231"/>
        <v>-171.43255838232542</v>
      </c>
      <c r="AD585">
        <f t="shared" si="235"/>
        <v>0</v>
      </c>
      <c r="AE585">
        <f t="shared" si="238"/>
        <v>0</v>
      </c>
    </row>
    <row r="586" spans="1:31" x14ac:dyDescent="0.25">
      <c r="A586" s="347">
        <v>116155</v>
      </c>
      <c r="B586" s="364">
        <f t="shared" si="232"/>
        <v>116.155</v>
      </c>
      <c r="C586" s="337">
        <f t="shared" si="213"/>
        <v>26.294381574484152</v>
      </c>
      <c r="D586" s="338">
        <f t="shared" si="214"/>
        <v>1.5327562149593443</v>
      </c>
      <c r="E586" s="338">
        <f t="shared" si="215"/>
        <v>1.0152242065069867</v>
      </c>
      <c r="F586" s="339">
        <f t="shared" si="216"/>
        <v>0.17339859212939268</v>
      </c>
      <c r="G586" s="338">
        <f t="shared" si="217"/>
        <v>1</v>
      </c>
      <c r="H586" s="339">
        <f t="shared" si="218"/>
        <v>0</v>
      </c>
      <c r="I586" s="337">
        <f t="shared" si="219"/>
        <v>70081.108434064517</v>
      </c>
      <c r="J586" s="340">
        <f t="shared" si="220"/>
        <v>1.5707820576141946</v>
      </c>
      <c r="K586" s="348">
        <f t="shared" si="236"/>
        <v>18.090788385981618</v>
      </c>
      <c r="L586" s="349">
        <f t="shared" si="237"/>
        <v>1.5154913874335276</v>
      </c>
      <c r="M586" s="337">
        <f t="shared" si="221"/>
        <v>1.4602524474569119</v>
      </c>
      <c r="N586" s="340">
        <f t="shared" si="222"/>
        <v>0.81644914142015967</v>
      </c>
      <c r="O586" s="341">
        <f t="shared" si="223"/>
        <v>1.5026310545105501</v>
      </c>
      <c r="P586" s="342">
        <f t="shared" si="224"/>
        <v>1.6474303612084145</v>
      </c>
      <c r="Q586" s="343">
        <f t="shared" si="225"/>
        <v>-11.645478005903735</v>
      </c>
      <c r="R586" s="344">
        <f t="shared" si="226"/>
        <v>-222.22327366823151</v>
      </c>
      <c r="S586" s="346">
        <f t="shared" si="227"/>
        <v>-42.223273668231514</v>
      </c>
      <c r="U586" s="319">
        <f t="shared" si="233"/>
        <v>116155</v>
      </c>
      <c r="V586" s="319">
        <f t="shared" si="234"/>
        <v>13491984025</v>
      </c>
      <c r="X586" s="345">
        <f t="shared" si="228"/>
        <v>22.655796171639278</v>
      </c>
      <c r="Y586" s="346">
        <f t="shared" si="229"/>
        <v>-49.947012095329661</v>
      </c>
      <c r="AA586" s="345">
        <f t="shared" si="230"/>
        <v>27.938467156846961</v>
      </c>
      <c r="AB586" s="346">
        <f t="shared" si="231"/>
        <v>-172.27626157290183</v>
      </c>
      <c r="AD586">
        <f t="shared" si="235"/>
        <v>0</v>
      </c>
      <c r="AE586">
        <f t="shared" si="238"/>
        <v>0</v>
      </c>
    </row>
    <row r="587" spans="1:31" x14ac:dyDescent="0.25">
      <c r="A587" s="347">
        <v>117490</v>
      </c>
      <c r="B587" s="364">
        <f t="shared" si="232"/>
        <v>117.49</v>
      </c>
      <c r="C587" s="337">
        <f t="shared" si="213"/>
        <v>26.596155205716137</v>
      </c>
      <c r="D587" s="338">
        <f t="shared" si="214"/>
        <v>1.5331880423764586</v>
      </c>
      <c r="E587" s="338">
        <f t="shared" si="215"/>
        <v>1.0155734701008798</v>
      </c>
      <c r="F587" s="339">
        <f t="shared" si="216"/>
        <v>0.1753511294319087</v>
      </c>
      <c r="G587" s="338">
        <f t="shared" si="217"/>
        <v>1</v>
      </c>
      <c r="H587" s="339">
        <f t="shared" si="218"/>
        <v>0</v>
      </c>
      <c r="I587" s="337">
        <f t="shared" si="219"/>
        <v>70886.569066327735</v>
      </c>
      <c r="J587" s="340">
        <f t="shared" si="220"/>
        <v>1.5707822197501742</v>
      </c>
      <c r="K587" s="348">
        <f t="shared" si="236"/>
        <v>18.298078868677507</v>
      </c>
      <c r="L587" s="349">
        <f t="shared" si="237"/>
        <v>1.516118540249402</v>
      </c>
      <c r="M587" s="337">
        <f t="shared" si="221"/>
        <v>1.4691886488584731</v>
      </c>
      <c r="N587" s="340">
        <f t="shared" si="222"/>
        <v>0.82214984016665549</v>
      </c>
      <c r="O587" s="341">
        <f t="shared" si="223"/>
        <v>1.5219688656580019</v>
      </c>
      <c r="P587" s="342">
        <f t="shared" si="224"/>
        <v>1.6634525477836324</v>
      </c>
      <c r="Q587" s="343">
        <f t="shared" si="225"/>
        <v>-11.905968757293902</v>
      </c>
      <c r="R587" s="344">
        <f t="shared" si="226"/>
        <v>-223.34484913924462</v>
      </c>
      <c r="S587" s="346">
        <f t="shared" si="227"/>
        <v>-43.344849139244616</v>
      </c>
      <c r="U587" s="319">
        <f t="shared" si="233"/>
        <v>117490</v>
      </c>
      <c r="V587" s="319">
        <f t="shared" si="234"/>
        <v>13803900100</v>
      </c>
      <c r="X587" s="345">
        <f t="shared" si="228"/>
        <v>22.602503881284001</v>
      </c>
      <c r="Y587" s="346">
        <f t="shared" si="229"/>
        <v>-50.237714154359573</v>
      </c>
      <c r="AA587" s="345">
        <f t="shared" si="230"/>
        <v>27.73126869581208</v>
      </c>
      <c r="AB587" s="346">
        <f t="shared" si="231"/>
        <v>-173.10713498488505</v>
      </c>
      <c r="AD587">
        <f t="shared" si="235"/>
        <v>0</v>
      </c>
      <c r="AE587">
        <f t="shared" si="238"/>
        <v>0</v>
      </c>
    </row>
    <row r="588" spans="1:31" x14ac:dyDescent="0.25">
      <c r="A588" s="347">
        <v>118860</v>
      </c>
      <c r="B588" s="364">
        <f t="shared" si="232"/>
        <v>118.86</v>
      </c>
      <c r="C588" s="337">
        <f t="shared" si="213"/>
        <v>26.905845544259076</v>
      </c>
      <c r="D588" s="338">
        <f t="shared" si="214"/>
        <v>1.5336211200851533</v>
      </c>
      <c r="E588" s="338">
        <f t="shared" si="215"/>
        <v>1.0159359129706018</v>
      </c>
      <c r="F588" s="339">
        <f t="shared" si="216"/>
        <v>0.17735345322011012</v>
      </c>
      <c r="G588" s="338">
        <f t="shared" si="217"/>
        <v>1</v>
      </c>
      <c r="H588" s="339">
        <f t="shared" si="218"/>
        <v>0</v>
      </c>
      <c r="I588" s="337">
        <f t="shared" si="219"/>
        <v>71713.146644007997</v>
      </c>
      <c r="J588" s="340">
        <f t="shared" si="220"/>
        <v>1.5707823823503027</v>
      </c>
      <c r="K588" s="348">
        <f t="shared" si="236"/>
        <v>18.510811246048959</v>
      </c>
      <c r="L588" s="349">
        <f t="shared" si="237"/>
        <v>1.516747531666621</v>
      </c>
      <c r="M588" s="337">
        <f t="shared" si="221"/>
        <v>1.4784081634591706</v>
      </c>
      <c r="N588" s="340">
        <f t="shared" si="222"/>
        <v>0.82792815296798761</v>
      </c>
      <c r="O588" s="341">
        <f t="shared" si="223"/>
        <v>1.5422427315322063</v>
      </c>
      <c r="P588" s="342">
        <f t="shared" si="224"/>
        <v>1.6796702416359002</v>
      </c>
      <c r="Q588" s="343">
        <f t="shared" si="225"/>
        <v>-12.172997497211268</v>
      </c>
      <c r="R588" s="344">
        <f t="shared" si="226"/>
        <v>-224.47918707330504</v>
      </c>
      <c r="S588" s="346">
        <f t="shared" si="227"/>
        <v>-44.479187073305042</v>
      </c>
      <c r="U588" s="319">
        <f t="shared" si="233"/>
        <v>118860</v>
      </c>
      <c r="V588" s="319">
        <f t="shared" si="234"/>
        <v>14127699600</v>
      </c>
      <c r="X588" s="345">
        <f t="shared" si="228"/>
        <v>22.547870828781328</v>
      </c>
      <c r="Y588" s="346">
        <f t="shared" si="229"/>
        <v>-50.532757853663966</v>
      </c>
      <c r="AA588" s="345">
        <f t="shared" si="230"/>
        <v>27.518873008397385</v>
      </c>
      <c r="AB588" s="346">
        <f t="shared" si="231"/>
        <v>-173.94642921964112</v>
      </c>
      <c r="AD588">
        <f t="shared" si="235"/>
        <v>0</v>
      </c>
      <c r="AE588">
        <f t="shared" si="238"/>
        <v>0</v>
      </c>
    </row>
    <row r="589" spans="1:31" x14ac:dyDescent="0.25">
      <c r="A589" s="347">
        <v>120230</v>
      </c>
      <c r="B589" s="364">
        <f t="shared" si="232"/>
        <v>120.23</v>
      </c>
      <c r="C589" s="337">
        <f t="shared" ref="C589:C613" si="239">SQRT(1+(A589/pole1)^2)</f>
        <v>27.215540814315535</v>
      </c>
      <c r="D589" s="338">
        <f t="shared" ref="D589:D613" si="240">ATAN(A589/pole1)</f>
        <v>1.5340443415827145</v>
      </c>
      <c r="E589" s="338">
        <f t="shared" ref="E589:E613" si="241">SQRT(1+(A589/Zero1)^2)</f>
        <v>1.0163024261179823</v>
      </c>
      <c r="F589" s="339">
        <f t="shared" ref="F589:F613" si="242">ATAN(A589/Zero1)</f>
        <v>0.17935434081384358</v>
      </c>
      <c r="G589" s="338">
        <f t="shared" ref="G589:G613" si="243">IF(VIN_nom&gt;Vout, 1, SQRT(1+(A589/z_RHP)^2))</f>
        <v>1</v>
      </c>
      <c r="H589" s="339">
        <f t="shared" ref="H589:H613" si="244">IF(VIN_nom&gt;Vout, 0, -ATAN(A589/z_RHP))</f>
        <v>0</v>
      </c>
      <c r="I589" s="337">
        <f t="shared" ref="I589:I613" si="245">SQRT(1+(A589/Pole2)^2)</f>
        <v>72539.724221690121</v>
      </c>
      <c r="J589" s="340">
        <f t="shared" ref="J589:J613" si="246">ATAN(A589/Pole2)</f>
        <v>1.5707825412448306</v>
      </c>
      <c r="K589" s="348">
        <f t="shared" si="236"/>
        <v>18.723550780440593</v>
      </c>
      <c r="L589" s="349">
        <f t="shared" si="237"/>
        <v>1.5173622299501284</v>
      </c>
      <c r="M589" s="337">
        <f t="shared" ref="M589:M613" si="247">SQRT(1+(A589/pole4)^2)</f>
        <v>1.4876764277027008</v>
      </c>
      <c r="N589" s="340">
        <f t="shared" ref="N589:N613" si="248">ATAN(A589/pole4)</f>
        <v>0.83363465624536903</v>
      </c>
      <c r="O589" s="341">
        <f t="shared" ref="O589:O613" si="249">SQRT((1-(V589/pterm2))^2+(A589/pterm1)^2)</f>
        <v>1.5629502491244318</v>
      </c>
      <c r="P589" s="342">
        <f t="shared" ref="P589:P613" si="250">IF((ATAN((A589/pterm1)/(1-A589^2/pterm2))&gt;0),ATAN((A589/pterm1)/(1-A589^2/pterm2)),PI()+ATAN((A589/pterm1)/(1-A589^2/pterm2)))</f>
        <v>1.6956600037049268</v>
      </c>
      <c r="Q589" s="343">
        <f t="shared" ref="Q589:Q613" si="251">20*LOG10(((E589*K589*G589)/(C589*I589*O589*M589))*Adc)</f>
        <v>-12.439689232231672</v>
      </c>
      <c r="R589" s="344">
        <f t="shared" ref="R589:R613" si="252">((F589+L589+H589)-(D589+J589+P589+N589))*radconv</f>
        <v>-225.59668738800249</v>
      </c>
      <c r="S589" s="346">
        <f t="shared" ref="S589:S613" si="253">IF(R589&gt;0,R589,R589+180)</f>
        <v>-45.596687388002493</v>
      </c>
      <c r="U589" s="319">
        <f t="shared" si="233"/>
        <v>120230</v>
      </c>
      <c r="V589" s="319">
        <f t="shared" si="234"/>
        <v>14455252900</v>
      </c>
      <c r="X589" s="345">
        <f t="shared" ref="X589:X613" si="254">20*LOG10((K589/(I589*M589))*AEA)</f>
        <v>22.493301022128808</v>
      </c>
      <c r="Y589" s="346">
        <f t="shared" ref="Y589:Y613" si="255">(L589-(J589+N589))*radconv</f>
        <v>-50.824505894235791</v>
      </c>
      <c r="AA589" s="345">
        <f t="shared" ref="AA589:AA613" si="256">20*LOG10((E589*G589/(C589*O589))*Acs*Am)</f>
        <v>27.306751080029493</v>
      </c>
      <c r="AB589" s="346">
        <f t="shared" ref="AB589:AB613" si="257">(F589+H589-(D589+P589))*radconv</f>
        <v>-174.77218149376671</v>
      </c>
      <c r="AD589">
        <f t="shared" si="235"/>
        <v>0</v>
      </c>
      <c r="AE589">
        <f t="shared" si="238"/>
        <v>0</v>
      </c>
    </row>
    <row r="590" spans="1:31" x14ac:dyDescent="0.25">
      <c r="A590" s="347">
        <v>126030</v>
      </c>
      <c r="B590" s="364">
        <f t="shared" ref="B590:B613" si="258">A590/1000</f>
        <v>126.03</v>
      </c>
      <c r="C590" s="337">
        <f t="shared" si="239"/>
        <v>28.526710411742112</v>
      </c>
      <c r="D590" s="338">
        <f t="shared" si="240"/>
        <v>1.5357342777129002</v>
      </c>
      <c r="E590" s="338">
        <f t="shared" si="241"/>
        <v>1.0178990775573544</v>
      </c>
      <c r="F590" s="339">
        <f t="shared" si="242"/>
        <v>0.18780900950953211</v>
      </c>
      <c r="G590" s="338">
        <f t="shared" si="243"/>
        <v>1</v>
      </c>
      <c r="H590" s="339">
        <f t="shared" si="244"/>
        <v>0</v>
      </c>
      <c r="I590" s="337">
        <f t="shared" si="245"/>
        <v>76039.10374766271</v>
      </c>
      <c r="J590" s="340">
        <f t="shared" si="246"/>
        <v>1.5707831756667172</v>
      </c>
      <c r="K590" s="348">
        <f t="shared" si="236"/>
        <v>19.624273834174435</v>
      </c>
      <c r="L590" s="349">
        <f t="shared" si="237"/>
        <v>1.5198169484328916</v>
      </c>
      <c r="M590" s="337">
        <f t="shared" si="247"/>
        <v>1.527433887008939</v>
      </c>
      <c r="N590" s="340">
        <f t="shared" si="248"/>
        <v>0.85702015604677961</v>
      </c>
      <c r="O590" s="341">
        <f t="shared" si="249"/>
        <v>1.6553939040914136</v>
      </c>
      <c r="P590" s="342">
        <f t="shared" si="250"/>
        <v>1.7608302343020228</v>
      </c>
      <c r="Q590" s="343">
        <f t="shared" si="251"/>
        <v>-13.56406543576645</v>
      </c>
      <c r="R590" s="344">
        <f t="shared" si="252"/>
        <v>-230.14235771193285</v>
      </c>
      <c r="S590" s="346">
        <f t="shared" si="253"/>
        <v>-50.142357711932846</v>
      </c>
      <c r="U590" s="319">
        <f t="shared" ref="U590:U613" si="259">IF(Q590&lt;0,A590,1000000000)</f>
        <v>126030</v>
      </c>
      <c r="V590" s="319">
        <f t="shared" ref="V590:V613" si="260">A590^2</f>
        <v>15883560900</v>
      </c>
      <c r="X590" s="345">
        <f t="shared" si="254"/>
        <v>22.263108091821621</v>
      </c>
      <c r="Y590" s="346">
        <f t="shared" si="255"/>
        <v>-52.023787676772443</v>
      </c>
      <c r="AA590" s="345">
        <f t="shared" si="256"/>
        <v>26.41256780680191</v>
      </c>
      <c r="AB590" s="346">
        <f t="shared" si="257"/>
        <v>-178.11857003516045</v>
      </c>
      <c r="AD590">
        <f t="shared" ref="AD590:AD613" si="261">SUM((Q591&lt;0)*(Q590&gt;0))*A590</f>
        <v>0</v>
      </c>
      <c r="AE590">
        <f t="shared" si="238"/>
        <v>0</v>
      </c>
    </row>
    <row r="591" spans="1:31" x14ac:dyDescent="0.25">
      <c r="A591" s="347">
        <v>131830</v>
      </c>
      <c r="B591" s="364">
        <f t="shared" si="258"/>
        <v>131.83000000000001</v>
      </c>
      <c r="C591" s="337">
        <f t="shared" si="239"/>
        <v>29.837954318035269</v>
      </c>
      <c r="D591" s="338">
        <f t="shared" si="240"/>
        <v>1.5372756877424045</v>
      </c>
      <c r="E591" s="338">
        <f t="shared" si="241"/>
        <v>1.0195682589546016</v>
      </c>
      <c r="F591" s="339">
        <f t="shared" si="242"/>
        <v>0.19623659596803697</v>
      </c>
      <c r="G591" s="338">
        <f t="shared" si="243"/>
        <v>1</v>
      </c>
      <c r="H591" s="339">
        <f t="shared" si="244"/>
        <v>0</v>
      </c>
      <c r="I591" s="337">
        <f t="shared" si="245"/>
        <v>79538.483273663238</v>
      </c>
      <c r="J591" s="340">
        <f t="shared" si="246"/>
        <v>1.5707837542644829</v>
      </c>
      <c r="K591" s="348">
        <f t="shared" si="236"/>
        <v>20.525104757922065</v>
      </c>
      <c r="L591" s="349">
        <f t="shared" si="237"/>
        <v>1.5220562080595093</v>
      </c>
      <c r="M591" s="337">
        <f t="shared" si="247"/>
        <v>1.5679840531012554</v>
      </c>
      <c r="N591" s="340">
        <f t="shared" si="248"/>
        <v>0.87920771603682102</v>
      </c>
      <c r="O591" s="341">
        <f t="shared" si="249"/>
        <v>1.7554847315173183</v>
      </c>
      <c r="P591" s="342">
        <f t="shared" si="250"/>
        <v>1.821960243781809</v>
      </c>
      <c r="Q591" s="343">
        <f t="shared" si="251"/>
        <v>-14.678649818652307</v>
      </c>
      <c r="R591" s="344">
        <f t="shared" si="252"/>
        <v>-234.39328698570608</v>
      </c>
      <c r="S591" s="346">
        <f t="shared" si="253"/>
        <v>-54.393286985706084</v>
      </c>
      <c r="U591" s="319">
        <f t="shared" si="259"/>
        <v>131830</v>
      </c>
      <c r="V591" s="319">
        <f t="shared" si="260"/>
        <v>17379148900</v>
      </c>
      <c r="X591" s="345">
        <f t="shared" si="254"/>
        <v>22.034553116687619</v>
      </c>
      <c r="Y591" s="346">
        <f t="shared" si="255"/>
        <v>-53.166774248571983</v>
      </c>
      <c r="AA591" s="345">
        <f t="shared" si="256"/>
        <v>25.52653839905005</v>
      </c>
      <c r="AB591" s="346">
        <f t="shared" si="257"/>
        <v>-181.22651273713404</v>
      </c>
      <c r="AD591">
        <f t="shared" si="261"/>
        <v>0</v>
      </c>
      <c r="AE591">
        <f t="shared" si="238"/>
        <v>0</v>
      </c>
    </row>
    <row r="592" spans="1:31" x14ac:dyDescent="0.25">
      <c r="A592" s="347">
        <v>144540</v>
      </c>
      <c r="B592" s="364">
        <f t="shared" si="258"/>
        <v>144.54</v>
      </c>
      <c r="C592" s="337">
        <f t="shared" si="239"/>
        <v>32.711603268631968</v>
      </c>
      <c r="D592" s="338">
        <f t="shared" si="240"/>
        <v>1.5402213710694386</v>
      </c>
      <c r="E592" s="338">
        <f t="shared" si="241"/>
        <v>1.0234779323815228</v>
      </c>
      <c r="F592" s="339">
        <f t="shared" si="242"/>
        <v>0.21460478295400329</v>
      </c>
      <c r="G592" s="338">
        <f t="shared" si="243"/>
        <v>1</v>
      </c>
      <c r="H592" s="339">
        <f t="shared" si="244"/>
        <v>0</v>
      </c>
      <c r="I592" s="337">
        <f t="shared" si="245"/>
        <v>87206.951166066239</v>
      </c>
      <c r="J592" s="340">
        <f t="shared" si="246"/>
        <v>1.5707848598190806</v>
      </c>
      <c r="K592" s="348">
        <f t="shared" si="236"/>
        <v>22.499480901208305</v>
      </c>
      <c r="L592" s="349">
        <f t="shared" si="237"/>
        <v>1.5263362109948679</v>
      </c>
      <c r="M592" s="337">
        <f t="shared" si="247"/>
        <v>1.659331206552124</v>
      </c>
      <c r="N592" s="340">
        <f t="shared" si="248"/>
        <v>0.92397552958276885</v>
      </c>
      <c r="O592" s="341">
        <f t="shared" si="249"/>
        <v>2.0009296373837473</v>
      </c>
      <c r="P592" s="342">
        <f t="shared" si="250"/>
        <v>1.9424204949798138</v>
      </c>
      <c r="Q592" s="343">
        <f t="shared" si="251"/>
        <v>-17.074319647166831</v>
      </c>
      <c r="R592" s="344">
        <f t="shared" si="252"/>
        <v>-242.73135063210739</v>
      </c>
      <c r="S592" s="346">
        <f t="shared" si="253"/>
        <v>-62.731350632107393</v>
      </c>
      <c r="U592" s="319">
        <f t="shared" si="259"/>
        <v>144540</v>
      </c>
      <c r="V592" s="319">
        <f t="shared" si="260"/>
        <v>20891811600</v>
      </c>
      <c r="X592" s="345">
        <f t="shared" si="254"/>
        <v>21.540990681065004</v>
      </c>
      <c r="Y592" s="346">
        <f t="shared" si="255"/>
        <v>-55.486618264547005</v>
      </c>
      <c r="AA592" s="345">
        <f t="shared" si="256"/>
        <v>23.624431006158137</v>
      </c>
      <c r="AB592" s="346">
        <f t="shared" si="257"/>
        <v>-187.24473236756037</v>
      </c>
      <c r="AD592">
        <f t="shared" si="261"/>
        <v>0</v>
      </c>
      <c r="AE592">
        <f t="shared" si="238"/>
        <v>0</v>
      </c>
    </row>
    <row r="593" spans="1:31" x14ac:dyDescent="0.25">
      <c r="A593" s="347">
        <v>158490</v>
      </c>
      <c r="B593" s="364">
        <f t="shared" si="258"/>
        <v>158.49</v>
      </c>
      <c r="C593" s="337">
        <f t="shared" si="239"/>
        <v>35.865880031076784</v>
      </c>
      <c r="D593" s="338">
        <f t="shared" si="240"/>
        <v>1.5429110606616649</v>
      </c>
      <c r="E593" s="338">
        <f t="shared" si="241"/>
        <v>1.0281632673020897</v>
      </c>
      <c r="F593" s="339">
        <f t="shared" si="242"/>
        <v>0.23459666496358689</v>
      </c>
      <c r="G593" s="338">
        <f t="shared" si="243"/>
        <v>1</v>
      </c>
      <c r="H593" s="339">
        <f t="shared" si="244"/>
        <v>0</v>
      </c>
      <c r="I593" s="337">
        <f t="shared" si="245"/>
        <v>95623.56226758624</v>
      </c>
      <c r="J593" s="340">
        <f t="shared" si="246"/>
        <v>1.5707858691213243</v>
      </c>
      <c r="K593" s="348">
        <f t="shared" si="236"/>
        <v>24.66687388073359</v>
      </c>
      <c r="L593" s="349">
        <f t="shared" si="237"/>
        <v>1.5302450139050783</v>
      </c>
      <c r="M593" s="337">
        <f t="shared" si="247"/>
        <v>1.7629976166129395</v>
      </c>
      <c r="N593" s="340">
        <f t="shared" si="248"/>
        <v>0.96767514513391661</v>
      </c>
      <c r="O593" s="341">
        <f t="shared" si="249"/>
        <v>2.3101413970414493</v>
      </c>
      <c r="P593" s="342">
        <f t="shared" si="250"/>
        <v>2.0552825316220305</v>
      </c>
      <c r="Q593" s="343">
        <f t="shared" si="251"/>
        <v>-19.61019265089228</v>
      </c>
      <c r="R593" s="344">
        <f t="shared" si="252"/>
        <v>-250.48642986246119</v>
      </c>
      <c r="S593" s="346">
        <f t="shared" si="253"/>
        <v>-70.486429862461193</v>
      </c>
      <c r="U593" s="319">
        <f t="shared" si="259"/>
        <v>158490</v>
      </c>
      <c r="V593" s="319">
        <f t="shared" si="260"/>
        <v>25119080100</v>
      </c>
      <c r="X593" s="345">
        <f t="shared" si="254"/>
        <v>21.013173794446061</v>
      </c>
      <c r="Y593" s="346">
        <f t="shared" si="255"/>
        <v>-57.766521723632515</v>
      </c>
      <c r="AA593" s="345">
        <f t="shared" si="256"/>
        <v>21.616374889051635</v>
      </c>
      <c r="AB593" s="346">
        <f t="shared" si="257"/>
        <v>-192.71990813882869</v>
      </c>
      <c r="AD593">
        <f t="shared" si="261"/>
        <v>0</v>
      </c>
      <c r="AE593">
        <f t="shared" si="238"/>
        <v>0</v>
      </c>
    </row>
    <row r="594" spans="1:31" x14ac:dyDescent="0.25">
      <c r="A594" s="347">
        <v>173780</v>
      </c>
      <c r="B594" s="364">
        <f t="shared" si="258"/>
        <v>173.78</v>
      </c>
      <c r="C594" s="337">
        <f t="shared" si="239"/>
        <v>39.323396191759024</v>
      </c>
      <c r="D594" s="338">
        <f t="shared" si="240"/>
        <v>1.5453634316141622</v>
      </c>
      <c r="E594" s="338">
        <f t="shared" si="241"/>
        <v>1.0337660922461456</v>
      </c>
      <c r="F594" s="339">
        <f t="shared" si="242"/>
        <v>0.25629109751863338</v>
      </c>
      <c r="G594" s="338">
        <f t="shared" si="243"/>
        <v>1</v>
      </c>
      <c r="H594" s="339">
        <f t="shared" si="244"/>
        <v>0</v>
      </c>
      <c r="I594" s="337">
        <f t="shared" si="245"/>
        <v>104848.6507079833</v>
      </c>
      <c r="J594" s="340">
        <f t="shared" si="246"/>
        <v>1.5707867892377296</v>
      </c>
      <c r="K594" s="348">
        <f t="shared" si="236"/>
        <v>27.042821070645498</v>
      </c>
      <c r="L594" s="349">
        <f t="shared" si="237"/>
        <v>1.5338095036389978</v>
      </c>
      <c r="M594" s="337">
        <f t="shared" si="247"/>
        <v>1.8800378498023609</v>
      </c>
      <c r="N594" s="340">
        <f t="shared" si="248"/>
        <v>1.0099486743634076</v>
      </c>
      <c r="O594" s="341">
        <f t="shared" si="249"/>
        <v>2.6947713911712641</v>
      </c>
      <c r="P594" s="342">
        <f t="shared" si="250"/>
        <v>2.1592607242657875</v>
      </c>
      <c r="Q594" s="343">
        <f t="shared" si="251"/>
        <v>-22.25954480087146</v>
      </c>
      <c r="R594" s="344">
        <f t="shared" si="252"/>
        <v>-257.55936986236009</v>
      </c>
      <c r="S594" s="346">
        <f t="shared" si="253"/>
        <v>-77.559369862360086</v>
      </c>
      <c r="U594" s="319">
        <f t="shared" si="259"/>
        <v>173780</v>
      </c>
      <c r="V594" s="319">
        <f t="shared" si="260"/>
        <v>30199488400</v>
      </c>
      <c r="X594" s="345">
        <f t="shared" si="254"/>
        <v>20.453675519686506</v>
      </c>
      <c r="Y594" s="346">
        <f t="shared" si="255"/>
        <v>-59.984439037055004</v>
      </c>
      <c r="AA594" s="345">
        <f t="shared" si="256"/>
        <v>19.526521013832017</v>
      </c>
      <c r="AB594" s="346">
        <f t="shared" si="257"/>
        <v>-197.5749308253051</v>
      </c>
      <c r="AD594">
        <f t="shared" si="261"/>
        <v>0</v>
      </c>
      <c r="AE594">
        <f t="shared" si="238"/>
        <v>0</v>
      </c>
    </row>
    <row r="595" spans="1:31" x14ac:dyDescent="0.25">
      <c r="A595" s="347">
        <v>190550</v>
      </c>
      <c r="B595" s="364">
        <f t="shared" si="258"/>
        <v>190.55</v>
      </c>
      <c r="C595" s="337">
        <f t="shared" si="239"/>
        <v>43.115809850190686</v>
      </c>
      <c r="D595" s="338">
        <f t="shared" si="240"/>
        <v>1.5476008984724388</v>
      </c>
      <c r="E595" s="338">
        <f t="shared" si="241"/>
        <v>1.0404642171144296</v>
      </c>
      <c r="F595" s="339">
        <f t="shared" si="242"/>
        <v>0.27980446111660484</v>
      </c>
      <c r="G595" s="338">
        <f t="shared" si="243"/>
        <v>1</v>
      </c>
      <c r="H595" s="339">
        <f t="shared" si="244"/>
        <v>0</v>
      </c>
      <c r="I595" s="337">
        <f t="shared" si="245"/>
        <v>114966.68426892227</v>
      </c>
      <c r="J595" s="340">
        <f t="shared" si="246"/>
        <v>1.5707876286228446</v>
      </c>
      <c r="K595" s="348">
        <f t="shared" si="236"/>
        <v>29.649077462962474</v>
      </c>
      <c r="L595" s="349">
        <f t="shared" si="237"/>
        <v>1.5370620666597645</v>
      </c>
      <c r="M595" s="337">
        <f t="shared" si="247"/>
        <v>2.0117948781917576</v>
      </c>
      <c r="N595" s="340">
        <f t="shared" si="248"/>
        <v>1.0505791821776935</v>
      </c>
      <c r="O595" s="341">
        <f t="shared" si="249"/>
        <v>3.1692059840541495</v>
      </c>
      <c r="P595" s="342">
        <f t="shared" si="250"/>
        <v>2.254044613581891</v>
      </c>
      <c r="Q595" s="343">
        <f t="shared" si="251"/>
        <v>-25.001070360465647</v>
      </c>
      <c r="R595" s="344">
        <f t="shared" si="252"/>
        <v>-263.91271418149313</v>
      </c>
      <c r="S595" s="346">
        <f t="shared" si="253"/>
        <v>-83.912714181493129</v>
      </c>
      <c r="U595" s="319">
        <f t="shared" si="259"/>
        <v>190550</v>
      </c>
      <c r="V595" s="319">
        <f t="shared" si="260"/>
        <v>36309302500</v>
      </c>
      <c r="X595" s="345">
        <f t="shared" si="254"/>
        <v>19.864334009841002</v>
      </c>
      <c r="Y595" s="346">
        <f t="shared" si="255"/>
        <v>-62.126085616268291</v>
      </c>
      <c r="AA595" s="345">
        <f t="shared" si="256"/>
        <v>17.37433696408333</v>
      </c>
      <c r="AB595" s="346">
        <f t="shared" si="257"/>
        <v>-201.78662856522485</v>
      </c>
      <c r="AD595">
        <f t="shared" si="261"/>
        <v>0</v>
      </c>
      <c r="AE595">
        <f t="shared" si="238"/>
        <v>0</v>
      </c>
    </row>
    <row r="596" spans="1:31" x14ac:dyDescent="0.25">
      <c r="A596" s="347">
        <v>208930</v>
      </c>
      <c r="B596" s="364">
        <f t="shared" si="258"/>
        <v>208.93</v>
      </c>
      <c r="C596" s="337">
        <f t="shared" si="239"/>
        <v>47.272519548696074</v>
      </c>
      <c r="D596" s="338">
        <f t="shared" si="240"/>
        <v>1.5496408096764236</v>
      </c>
      <c r="E596" s="338">
        <f t="shared" si="241"/>
        <v>1.0484570493244094</v>
      </c>
      <c r="F596" s="339">
        <f t="shared" si="242"/>
        <v>0.30521451347556222</v>
      </c>
      <c r="G596" s="338">
        <f t="shared" si="243"/>
        <v>1</v>
      </c>
      <c r="H596" s="339">
        <f t="shared" si="244"/>
        <v>0</v>
      </c>
      <c r="I596" s="337">
        <f t="shared" si="245"/>
        <v>126056.09731909256</v>
      </c>
      <c r="J596" s="340">
        <f t="shared" si="246"/>
        <v>1.5707883938188545</v>
      </c>
      <c r="K596" s="348">
        <f t="shared" si="236"/>
        <v>32.505846631376798</v>
      </c>
      <c r="L596" s="349">
        <f t="shared" si="237"/>
        <v>1.5400277757484844</v>
      </c>
      <c r="M596" s="337">
        <f t="shared" si="247"/>
        <v>2.1595243291869033</v>
      </c>
      <c r="N596" s="340">
        <f t="shared" si="248"/>
        <v>1.0893462073131075</v>
      </c>
      <c r="O596" s="341">
        <f t="shared" si="249"/>
        <v>3.7499120541773192</v>
      </c>
      <c r="P596" s="342">
        <f t="shared" si="250"/>
        <v>2.3397331334978109</v>
      </c>
      <c r="Q596" s="343">
        <f t="shared" si="251"/>
        <v>-27.811775943598551</v>
      </c>
      <c r="R596" s="344">
        <f t="shared" si="252"/>
        <v>-269.53460243000848</v>
      </c>
      <c r="S596" s="346">
        <f t="shared" si="253"/>
        <v>-89.534602430008476</v>
      </c>
      <c r="U596" s="319">
        <f t="shared" si="259"/>
        <v>208930</v>
      </c>
      <c r="V596" s="319">
        <f t="shared" si="260"/>
        <v>43651744900</v>
      </c>
      <c r="X596" s="345">
        <f t="shared" si="254"/>
        <v>19.248014870216256</v>
      </c>
      <c r="Y596" s="346">
        <f t="shared" si="255"/>
        <v>-64.177393771603704</v>
      </c>
      <c r="AA596" s="345">
        <f t="shared" si="256"/>
        <v>15.179950520575172</v>
      </c>
      <c r="AB596" s="346">
        <f t="shared" si="257"/>
        <v>-205.35720865840483</v>
      </c>
      <c r="AD596">
        <f t="shared" si="261"/>
        <v>0</v>
      </c>
      <c r="AE596">
        <f t="shared" si="238"/>
        <v>0</v>
      </c>
    </row>
    <row r="597" spans="1:31" x14ac:dyDescent="0.25">
      <c r="A597" s="347">
        <v>229090</v>
      </c>
      <c r="B597" s="364">
        <f t="shared" si="258"/>
        <v>229.09</v>
      </c>
      <c r="C597" s="337">
        <f t="shared" si="239"/>
        <v>51.831971458328006</v>
      </c>
      <c r="D597" s="338">
        <f t="shared" si="240"/>
        <v>1.5515020182896599</v>
      </c>
      <c r="E597" s="338">
        <f t="shared" si="241"/>
        <v>1.0579897551626036</v>
      </c>
      <c r="F597" s="339">
        <f t="shared" si="242"/>
        <v>0.33262419014745948</v>
      </c>
      <c r="G597" s="338">
        <f t="shared" si="243"/>
        <v>1</v>
      </c>
      <c r="H597" s="339">
        <f t="shared" si="244"/>
        <v>0</v>
      </c>
      <c r="I597" s="337">
        <f t="shared" si="245"/>
        <v>138219.45787908879</v>
      </c>
      <c r="J597" s="340">
        <f t="shared" si="246"/>
        <v>1.5707890919235163</v>
      </c>
      <c r="K597" s="348">
        <f t="shared" si="236"/>
        <v>35.639551399000069</v>
      </c>
      <c r="L597" s="349">
        <f t="shared" si="237"/>
        <v>1.542733929191856</v>
      </c>
      <c r="M597" s="337">
        <f t="shared" si="247"/>
        <v>2.3247921036212187</v>
      </c>
      <c r="N597" s="340">
        <f t="shared" si="248"/>
        <v>1.126141841241326</v>
      </c>
      <c r="O597" s="341">
        <f t="shared" si="249"/>
        <v>4.4575276224859817</v>
      </c>
      <c r="P597" s="342">
        <f t="shared" si="250"/>
        <v>2.4169030569292218</v>
      </c>
      <c r="Q597" s="343">
        <f t="shared" si="251"/>
        <v>-30.675610378867901</v>
      </c>
      <c r="R597" s="344">
        <f t="shared" si="252"/>
        <v>-274.44551731682765</v>
      </c>
      <c r="S597" s="346">
        <f t="shared" si="253"/>
        <v>-94.445517316827647</v>
      </c>
      <c r="U597" s="319">
        <f t="shared" si="259"/>
        <v>229090</v>
      </c>
      <c r="V597" s="319">
        <f t="shared" si="260"/>
        <v>52482228100</v>
      </c>
      <c r="X597" s="345">
        <f t="shared" si="254"/>
        <v>18.606802836048079</v>
      </c>
      <c r="Y597" s="346">
        <f t="shared" si="255"/>
        <v>-66.130617129861662</v>
      </c>
      <c r="AA597" s="345">
        <f t="shared" si="256"/>
        <v>12.957328119474001</v>
      </c>
      <c r="AB597" s="346">
        <f t="shared" si="257"/>
        <v>-208.31490018696596</v>
      </c>
      <c r="AD597">
        <f t="shared" si="261"/>
        <v>0</v>
      </c>
      <c r="AE597">
        <f t="shared" si="238"/>
        <v>0</v>
      </c>
    </row>
    <row r="598" spans="1:31" x14ac:dyDescent="0.25">
      <c r="A598" s="347">
        <v>251190</v>
      </c>
      <c r="B598" s="364">
        <f t="shared" si="258"/>
        <v>251.19</v>
      </c>
      <c r="C598" s="337">
        <f t="shared" si="239"/>
        <v>56.830351752977897</v>
      </c>
      <c r="D598" s="338">
        <f t="shared" si="240"/>
        <v>1.5531991875743576</v>
      </c>
      <c r="E598" s="338">
        <f t="shared" si="241"/>
        <v>1.0693355542233822</v>
      </c>
      <c r="F598" s="339">
        <f t="shared" si="242"/>
        <v>0.36208541109788761</v>
      </c>
      <c r="G598" s="338">
        <f t="shared" si="243"/>
        <v>1</v>
      </c>
      <c r="H598" s="339">
        <f t="shared" si="244"/>
        <v>0</v>
      </c>
      <c r="I598" s="337">
        <f t="shared" si="245"/>
        <v>151553.30055652998</v>
      </c>
      <c r="J598" s="340">
        <f t="shared" si="246"/>
        <v>1.5707897284562504</v>
      </c>
      <c r="K598" s="348">
        <f t="shared" si="236"/>
        <v>39.075062539445113</v>
      </c>
      <c r="L598" s="349">
        <f t="shared" si="237"/>
        <v>1.5452017628036159</v>
      </c>
      <c r="M598" s="337">
        <f t="shared" si="247"/>
        <v>2.5090778615338567</v>
      </c>
      <c r="N598" s="340">
        <f t="shared" si="248"/>
        <v>1.1608579654235707</v>
      </c>
      <c r="O598" s="341">
        <f t="shared" si="249"/>
        <v>5.3160187219187165</v>
      </c>
      <c r="P598" s="342">
        <f t="shared" si="250"/>
        <v>2.4861981683888645</v>
      </c>
      <c r="Q598" s="343">
        <f t="shared" si="251"/>
        <v>-33.57563653720679</v>
      </c>
      <c r="R598" s="344">
        <f t="shared" si="252"/>
        <v>-278.67279918339415</v>
      </c>
      <c r="S598" s="346">
        <f t="shared" si="253"/>
        <v>-98.672799183394147</v>
      </c>
      <c r="U598" s="319">
        <f t="shared" si="259"/>
        <v>251190</v>
      </c>
      <c r="V598" s="319">
        <f t="shared" si="260"/>
        <v>63096416100</v>
      </c>
      <c r="X598" s="345">
        <f t="shared" si="254"/>
        <v>17.943627286692443</v>
      </c>
      <c r="Y598" s="346">
        <f t="shared" si="255"/>
        <v>-67.978344548812487</v>
      </c>
      <c r="AA598" s="345">
        <f t="shared" si="256"/>
        <v>10.72047751049074</v>
      </c>
      <c r="AB598" s="346">
        <f t="shared" si="257"/>
        <v>-210.69445463458166</v>
      </c>
      <c r="AD598">
        <f t="shared" si="261"/>
        <v>0</v>
      </c>
      <c r="AE598">
        <f t="shared" si="238"/>
        <v>0</v>
      </c>
    </row>
    <row r="599" spans="1:31" x14ac:dyDescent="0.25">
      <c r="A599" s="347">
        <v>275420</v>
      </c>
      <c r="B599" s="364">
        <f t="shared" si="258"/>
        <v>275.42</v>
      </c>
      <c r="C599" s="337">
        <f t="shared" si="239"/>
        <v>62.310632876015092</v>
      </c>
      <c r="D599" s="338">
        <f t="shared" si="240"/>
        <v>1.5547470124930889</v>
      </c>
      <c r="E599" s="338">
        <f t="shared" si="241"/>
        <v>1.0828174693131067</v>
      </c>
      <c r="F599" s="339">
        <f t="shared" si="242"/>
        <v>0.39364616467134628</v>
      </c>
      <c r="G599" s="338">
        <f t="shared" si="243"/>
        <v>1</v>
      </c>
      <c r="H599" s="339">
        <f t="shared" si="244"/>
        <v>0</v>
      </c>
      <c r="I599" s="337">
        <f t="shared" si="245"/>
        <v>166172.26019796429</v>
      </c>
      <c r="J599" s="340">
        <f t="shared" si="246"/>
        <v>1.570790308943308</v>
      </c>
      <c r="K599" s="348">
        <f t="shared" ref="K599:K613" si="262">SQRT(1+(A599/Zero2)^2)</f>
        <v>42.841916062620186</v>
      </c>
      <c r="L599" s="349">
        <f t="shared" ref="L599:L613" si="263">ATAN(A599/Zero2)</f>
        <v>1.5474525803092691</v>
      </c>
      <c r="M599" s="337">
        <f t="shared" si="247"/>
        <v>2.7141031356570848</v>
      </c>
      <c r="N599" s="340">
        <f t="shared" si="248"/>
        <v>1.1934596352647133</v>
      </c>
      <c r="O599" s="341">
        <f t="shared" si="249"/>
        <v>6.3548162850655716</v>
      </c>
      <c r="P599" s="342">
        <f t="shared" si="250"/>
        <v>2.5483844833715024</v>
      </c>
      <c r="Q599" s="343">
        <f t="shared" si="251"/>
        <v>-36.499500566472037</v>
      </c>
      <c r="R599" s="344">
        <f t="shared" si="252"/>
        <v>-282.25520743962761</v>
      </c>
      <c r="S599" s="346">
        <f t="shared" si="253"/>
        <v>-102.25520743962761</v>
      </c>
      <c r="U599" s="319">
        <f t="shared" si="259"/>
        <v>275420</v>
      </c>
      <c r="V599" s="319">
        <f t="shared" si="260"/>
        <v>75856176400</v>
      </c>
      <c r="X599" s="345">
        <f t="shared" si="254"/>
        <v>17.26090464511384</v>
      </c>
      <c r="Y599" s="346">
        <f t="shared" si="255"/>
        <v>-69.717353553706403</v>
      </c>
      <c r="AA599" s="345">
        <f t="shared" si="256"/>
        <v>8.4793361228041029</v>
      </c>
      <c r="AB599" s="346">
        <f t="shared" si="257"/>
        <v>-212.53785388592124</v>
      </c>
      <c r="AD599">
        <f t="shared" si="261"/>
        <v>0</v>
      </c>
      <c r="AE599">
        <f t="shared" si="238"/>
        <v>0</v>
      </c>
    </row>
    <row r="600" spans="1:31" x14ac:dyDescent="0.25">
      <c r="A600" s="347">
        <v>302000</v>
      </c>
      <c r="B600" s="364">
        <f t="shared" si="258"/>
        <v>302</v>
      </c>
      <c r="C600" s="337">
        <f t="shared" si="239"/>
        <v>68.322573973168986</v>
      </c>
      <c r="D600" s="338">
        <f t="shared" si="240"/>
        <v>1.5561593532505795</v>
      </c>
      <c r="E600" s="338">
        <f t="shared" si="241"/>
        <v>1.0988147980616452</v>
      </c>
      <c r="F600" s="339">
        <f t="shared" si="242"/>
        <v>0.42733984950344089</v>
      </c>
      <c r="G600" s="338">
        <f t="shared" si="243"/>
        <v>1</v>
      </c>
      <c r="H600" s="339">
        <f t="shared" si="244"/>
        <v>0</v>
      </c>
      <c r="I600" s="337">
        <f t="shared" si="245"/>
        <v>182209.07188886899</v>
      </c>
      <c r="J600" s="340">
        <f t="shared" si="246"/>
        <v>1.5707908385939544</v>
      </c>
      <c r="K600" s="348">
        <f t="shared" si="262"/>
        <v>46.974313846100905</v>
      </c>
      <c r="L600" s="349">
        <f t="shared" si="263"/>
        <v>1.5495064884772864</v>
      </c>
      <c r="M600" s="337">
        <f t="shared" si="247"/>
        <v>2.9418442286742197</v>
      </c>
      <c r="N600" s="340">
        <f t="shared" si="248"/>
        <v>1.2239614923057538</v>
      </c>
      <c r="O600" s="341">
        <f t="shared" si="249"/>
        <v>7.6100470633042008</v>
      </c>
      <c r="P600" s="342">
        <f t="shared" si="250"/>
        <v>2.6042354070690914</v>
      </c>
      <c r="Q600" s="343">
        <f t="shared" si="251"/>
        <v>-39.438108372603658</v>
      </c>
      <c r="R600" s="344">
        <f t="shared" si="252"/>
        <v>-285.23562263330263</v>
      </c>
      <c r="S600" s="346">
        <f t="shared" si="253"/>
        <v>-105.23562263330263</v>
      </c>
      <c r="U600" s="319">
        <f t="shared" si="259"/>
        <v>302000</v>
      </c>
      <c r="V600" s="319">
        <f t="shared" si="260"/>
        <v>91204000000</v>
      </c>
      <c r="X600" s="345">
        <f t="shared" si="254"/>
        <v>16.560639922429445</v>
      </c>
      <c r="Y600" s="346">
        <f t="shared" si="255"/>
        <v>-71.347331308543744</v>
      </c>
      <c r="AA600" s="345">
        <f t="shared" si="256"/>
        <v>6.2409930393568738</v>
      </c>
      <c r="AB600" s="346">
        <f t="shared" si="257"/>
        <v>-213.88829132475888</v>
      </c>
      <c r="AD600">
        <f t="shared" si="261"/>
        <v>0</v>
      </c>
      <c r="AE600">
        <f t="shared" si="238"/>
        <v>0</v>
      </c>
    </row>
    <row r="601" spans="1:31" x14ac:dyDescent="0.25">
      <c r="A601" s="347">
        <v>331130</v>
      </c>
      <c r="B601" s="364">
        <f t="shared" si="258"/>
        <v>331.13</v>
      </c>
      <c r="C601" s="337">
        <f t="shared" si="239"/>
        <v>74.911411622526245</v>
      </c>
      <c r="D601" s="338">
        <f t="shared" si="240"/>
        <v>1.5574468292954964</v>
      </c>
      <c r="E601" s="338">
        <f t="shared" si="241"/>
        <v>1.1177355328829879</v>
      </c>
      <c r="F601" s="339">
        <f t="shared" si="242"/>
        <v>0.46311328683035285</v>
      </c>
      <c r="G601" s="338">
        <f t="shared" si="243"/>
        <v>1</v>
      </c>
      <c r="H601" s="339">
        <f t="shared" si="244"/>
        <v>0</v>
      </c>
      <c r="I601" s="337">
        <f t="shared" si="245"/>
        <v>199784.40388876939</v>
      </c>
      <c r="J601" s="340">
        <f t="shared" si="246"/>
        <v>1.5707913213991773</v>
      </c>
      <c r="K601" s="348">
        <f t="shared" si="262"/>
        <v>51.503349944139792</v>
      </c>
      <c r="L601" s="349">
        <f t="shared" si="263"/>
        <v>1.5513788938842399</v>
      </c>
      <c r="M601" s="337">
        <f t="shared" si="247"/>
        <v>3.1941060383723965</v>
      </c>
      <c r="N601" s="340">
        <f t="shared" si="248"/>
        <v>1.2523655156621301</v>
      </c>
      <c r="O601" s="341">
        <f t="shared" si="249"/>
        <v>9.123250687688703</v>
      </c>
      <c r="P601" s="342">
        <f t="shared" si="250"/>
        <v>2.6543943903608036</v>
      </c>
      <c r="Q601" s="343">
        <f t="shared" si="251"/>
        <v>-42.379661965712614</v>
      </c>
      <c r="R601" s="344">
        <f t="shared" si="252"/>
        <v>-287.65379804429529</v>
      </c>
      <c r="S601" s="346">
        <f t="shared" si="253"/>
        <v>-107.65379804429529</v>
      </c>
      <c r="U601" s="319">
        <f t="shared" si="259"/>
        <v>331130</v>
      </c>
      <c r="V601" s="319">
        <f t="shared" si="260"/>
        <v>109647076900</v>
      </c>
      <c r="X601" s="345">
        <f t="shared" si="254"/>
        <v>15.845715719110022</v>
      </c>
      <c r="Y601" s="346">
        <f t="shared" si="255"/>
        <v>-72.867508705137865</v>
      </c>
      <c r="AA601" s="345">
        <f t="shared" si="256"/>
        <v>4.0143636495673434</v>
      </c>
      <c r="AB601" s="346">
        <f t="shared" si="257"/>
        <v>-214.78628933915746</v>
      </c>
      <c r="AD601">
        <f t="shared" si="261"/>
        <v>0</v>
      </c>
      <c r="AE601">
        <f t="shared" si="238"/>
        <v>0</v>
      </c>
    </row>
    <row r="602" spans="1:31" x14ac:dyDescent="0.25">
      <c r="A602" s="347">
        <v>363080</v>
      </c>
      <c r="B602" s="364">
        <f t="shared" si="258"/>
        <v>363.08</v>
      </c>
      <c r="C602" s="337">
        <f t="shared" si="239"/>
        <v>82.138216382172857</v>
      </c>
      <c r="D602" s="338">
        <f t="shared" si="240"/>
        <v>1.558621425157402</v>
      </c>
      <c r="E602" s="338">
        <f t="shared" si="241"/>
        <v>1.1400741668762198</v>
      </c>
      <c r="F602" s="339">
        <f t="shared" si="242"/>
        <v>0.50093083192957866</v>
      </c>
      <c r="G602" s="338">
        <f t="shared" si="243"/>
        <v>1</v>
      </c>
      <c r="H602" s="339">
        <f t="shared" si="244"/>
        <v>0</v>
      </c>
      <c r="I602" s="337">
        <f t="shared" si="245"/>
        <v>219061.15834802494</v>
      </c>
      <c r="J602" s="340">
        <f t="shared" si="246"/>
        <v>1.5707917618596632</v>
      </c>
      <c r="K602" s="348">
        <f t="shared" si="262"/>
        <v>56.471003034275945</v>
      </c>
      <c r="L602" s="349">
        <f t="shared" si="263"/>
        <v>1.5530871979136587</v>
      </c>
      <c r="M602" s="337">
        <f t="shared" si="247"/>
        <v>3.4732992370016746</v>
      </c>
      <c r="N602" s="340">
        <f t="shared" si="248"/>
        <v>1.278751889364059</v>
      </c>
      <c r="O602" s="341">
        <f t="shared" si="249"/>
        <v>10.947108926850564</v>
      </c>
      <c r="P602" s="342">
        <f t="shared" si="250"/>
        <v>2.6995351963197347</v>
      </c>
      <c r="Q602" s="343">
        <f t="shared" si="251"/>
        <v>-45.318856271102412</v>
      </c>
      <c r="R602" s="344">
        <f t="shared" si="252"/>
        <v>-289.55466384681404</v>
      </c>
      <c r="S602" s="346">
        <f t="shared" si="253"/>
        <v>-109.55466384681404</v>
      </c>
      <c r="U602" s="319">
        <f t="shared" si="259"/>
        <v>363080</v>
      </c>
      <c r="V602" s="319">
        <f t="shared" si="260"/>
        <v>131827086400</v>
      </c>
      <c r="X602" s="345">
        <f t="shared" si="254"/>
        <v>15.117582820514135</v>
      </c>
      <c r="Y602" s="346">
        <f t="shared" si="255"/>
        <v>-74.281483182045065</v>
      </c>
      <c r="AA602" s="345">
        <f t="shared" si="256"/>
        <v>1.8033022427734369</v>
      </c>
      <c r="AB602" s="346">
        <f t="shared" si="257"/>
        <v>-215.273180664769</v>
      </c>
      <c r="AD602">
        <f t="shared" si="261"/>
        <v>0</v>
      </c>
      <c r="AE602">
        <f t="shared" ref="AE602:AE613" si="264">IF(AD602&gt;0,S602,0)</f>
        <v>0</v>
      </c>
    </row>
    <row r="603" spans="1:31" x14ac:dyDescent="0.25">
      <c r="A603" s="347">
        <v>398110</v>
      </c>
      <c r="B603" s="364">
        <f t="shared" si="258"/>
        <v>398.11</v>
      </c>
      <c r="C603" s="337">
        <f t="shared" si="239"/>
        <v>90.061797973123149</v>
      </c>
      <c r="D603" s="338">
        <f t="shared" si="240"/>
        <v>1.5596926116620686</v>
      </c>
      <c r="E603" s="338">
        <f t="shared" si="241"/>
        <v>1.1663631492190289</v>
      </c>
      <c r="F603" s="339">
        <f t="shared" si="242"/>
        <v>0.54066632837327666</v>
      </c>
      <c r="G603" s="338">
        <f t="shared" si="243"/>
        <v>1</v>
      </c>
      <c r="H603" s="339">
        <f t="shared" si="244"/>
        <v>0</v>
      </c>
      <c r="I603" s="337">
        <f t="shared" si="245"/>
        <v>240196.20400401932</v>
      </c>
      <c r="J603" s="340">
        <f t="shared" si="246"/>
        <v>1.570792163531767</v>
      </c>
      <c r="K603" s="348">
        <f t="shared" si="262"/>
        <v>61.917698531823667</v>
      </c>
      <c r="L603" s="349">
        <f t="shared" si="263"/>
        <v>1.5546451535153818</v>
      </c>
      <c r="M603" s="337">
        <f t="shared" si="247"/>
        <v>3.7817547411900843</v>
      </c>
      <c r="N603" s="340">
        <f t="shared" si="248"/>
        <v>1.3031860695410244</v>
      </c>
      <c r="O603" s="341">
        <f t="shared" si="249"/>
        <v>13.143113871954956</v>
      </c>
      <c r="P603" s="342">
        <f t="shared" si="250"/>
        <v>2.7402013788009891</v>
      </c>
      <c r="Q603" s="343">
        <f t="shared" si="251"/>
        <v>-48.247978403538227</v>
      </c>
      <c r="R603" s="344">
        <f t="shared" si="252"/>
        <v>-290.9800968297065</v>
      </c>
      <c r="S603" s="346">
        <f t="shared" si="253"/>
        <v>-110.9800968297065</v>
      </c>
      <c r="U603" s="319">
        <f t="shared" si="259"/>
        <v>398110</v>
      </c>
      <c r="V603" s="319">
        <f t="shared" si="260"/>
        <v>158491572100</v>
      </c>
      <c r="X603" s="345">
        <f t="shared" si="254"/>
        <v>14.378330513513859</v>
      </c>
      <c r="Y603" s="346">
        <f t="shared" si="255"/>
        <v>-75.592217317013933</v>
      </c>
      <c r="AA603" s="345">
        <f t="shared" si="256"/>
        <v>-0.38656758266211033</v>
      </c>
      <c r="AB603" s="346">
        <f t="shared" si="257"/>
        <v>-215.38787951269256</v>
      </c>
      <c r="AD603">
        <f t="shared" si="261"/>
        <v>0</v>
      </c>
      <c r="AE603">
        <f t="shared" si="264"/>
        <v>0</v>
      </c>
    </row>
    <row r="604" spans="1:31" x14ac:dyDescent="0.25">
      <c r="A604" s="347">
        <v>436520</v>
      </c>
      <c r="B604" s="364">
        <f t="shared" si="258"/>
        <v>436.52</v>
      </c>
      <c r="C604" s="337">
        <f t="shared" si="239"/>
        <v>98.750014638364775</v>
      </c>
      <c r="D604" s="338">
        <f t="shared" si="240"/>
        <v>1.5606695729334013</v>
      </c>
      <c r="E604" s="338">
        <f t="shared" si="241"/>
        <v>1.1972058381931028</v>
      </c>
      <c r="F604" s="339">
        <f t="shared" si="242"/>
        <v>0.58215766413371084</v>
      </c>
      <c r="G604" s="338">
        <f t="shared" si="243"/>
        <v>1</v>
      </c>
      <c r="H604" s="339">
        <f t="shared" si="244"/>
        <v>0</v>
      </c>
      <c r="I604" s="337">
        <f t="shared" si="245"/>
        <v>263370.54324604169</v>
      </c>
      <c r="J604" s="340">
        <f t="shared" si="246"/>
        <v>1.5707925298630618</v>
      </c>
      <c r="K604" s="348">
        <f t="shared" si="262"/>
        <v>67.890082412602709</v>
      </c>
      <c r="L604" s="349">
        <f t="shared" si="263"/>
        <v>1.5560661021636952</v>
      </c>
      <c r="M604" s="337">
        <f t="shared" si="247"/>
        <v>4.1221598131200032</v>
      </c>
      <c r="N604" s="340">
        <f t="shared" si="248"/>
        <v>1.3257603017920498</v>
      </c>
      <c r="O604" s="341">
        <f t="shared" si="249"/>
        <v>15.786154275268114</v>
      </c>
      <c r="P604" s="342">
        <f t="shared" si="250"/>
        <v>2.7768923607331857</v>
      </c>
      <c r="Q604" s="343">
        <f t="shared" si="251"/>
        <v>-51.161590126014545</v>
      </c>
      <c r="R604" s="344">
        <f t="shared" si="252"/>
        <v>-291.97304743642451</v>
      </c>
      <c r="S604" s="346">
        <f t="shared" si="253"/>
        <v>-111.97304743642451</v>
      </c>
      <c r="U604" s="319">
        <f t="shared" si="259"/>
        <v>436520</v>
      </c>
      <c r="V604" s="319">
        <f t="shared" si="260"/>
        <v>190549710400</v>
      </c>
      <c r="X604" s="345">
        <f t="shared" si="254"/>
        <v>13.629510626033669</v>
      </c>
      <c r="Y604" s="346">
        <f t="shared" si="255"/>
        <v>-76.804232180914653</v>
      </c>
      <c r="AA604" s="345">
        <f t="shared" si="256"/>
        <v>-2.5513594176582437</v>
      </c>
      <c r="AB604" s="346">
        <f t="shared" si="257"/>
        <v>-215.16881525550986</v>
      </c>
      <c r="AD604">
        <f t="shared" si="261"/>
        <v>0</v>
      </c>
      <c r="AE604">
        <f t="shared" si="264"/>
        <v>0</v>
      </c>
    </row>
    <row r="605" spans="1:31" x14ac:dyDescent="0.25">
      <c r="A605" s="347">
        <v>478630</v>
      </c>
      <c r="B605" s="364">
        <f t="shared" si="258"/>
        <v>478.63</v>
      </c>
      <c r="C605" s="337">
        <f t="shared" si="239"/>
        <v>108.2752493196521</v>
      </c>
      <c r="D605" s="338">
        <f t="shared" si="240"/>
        <v>1.561560474434794</v>
      </c>
      <c r="E605" s="338">
        <f t="shared" si="241"/>
        <v>1.233261212358862</v>
      </c>
      <c r="F605" s="339">
        <f t="shared" si="242"/>
        <v>0.62517925146448261</v>
      </c>
      <c r="G605" s="338">
        <f t="shared" si="243"/>
        <v>1</v>
      </c>
      <c r="H605" s="339">
        <f t="shared" si="244"/>
        <v>0</v>
      </c>
      <c r="I605" s="337">
        <f t="shared" si="245"/>
        <v>288777.24528933398</v>
      </c>
      <c r="J605" s="340">
        <f t="shared" si="246"/>
        <v>1.5707928639181765</v>
      </c>
      <c r="K605" s="348">
        <f t="shared" si="262"/>
        <v>74.437911568888552</v>
      </c>
      <c r="L605" s="349">
        <f t="shared" si="263"/>
        <v>1.5573619079596839</v>
      </c>
      <c r="M605" s="337">
        <f t="shared" si="247"/>
        <v>4.4973859701953405</v>
      </c>
      <c r="N605" s="340">
        <f t="shared" si="248"/>
        <v>1.3465707571639243</v>
      </c>
      <c r="O605" s="341">
        <f t="shared" si="249"/>
        <v>18.965704329221619</v>
      </c>
      <c r="P605" s="342">
        <f t="shared" si="250"/>
        <v>2.8100379943002638</v>
      </c>
      <c r="Q605" s="343">
        <f t="shared" si="251"/>
        <v>-54.054423552960614</v>
      </c>
      <c r="R605" s="344">
        <f t="shared" si="252"/>
        <v>-292.57636806310285</v>
      </c>
      <c r="S605" s="346">
        <f t="shared" si="253"/>
        <v>-112.57636806310285</v>
      </c>
      <c r="U605" s="319">
        <f t="shared" si="259"/>
        <v>478630</v>
      </c>
      <c r="V605" s="319">
        <f t="shared" si="260"/>
        <v>229086676900</v>
      </c>
      <c r="X605" s="345">
        <f t="shared" si="254"/>
        <v>12.872645401658339</v>
      </c>
      <c r="Y605" s="346">
        <f t="shared" si="255"/>
        <v>-77.922358381515508</v>
      </c>
      <c r="AA605" s="345">
        <f t="shared" si="256"/>
        <v>-4.6873276202289746</v>
      </c>
      <c r="AB605" s="346">
        <f t="shared" si="257"/>
        <v>-214.65400968158727</v>
      </c>
      <c r="AD605">
        <f t="shared" si="261"/>
        <v>0</v>
      </c>
      <c r="AE605">
        <f t="shared" si="264"/>
        <v>0</v>
      </c>
    </row>
    <row r="606" spans="1:31" x14ac:dyDescent="0.25">
      <c r="A606" s="347">
        <v>524810</v>
      </c>
      <c r="B606" s="364">
        <f t="shared" si="258"/>
        <v>524.80999999999995</v>
      </c>
      <c r="C606" s="337">
        <f t="shared" si="239"/>
        <v>118.72119560683386</v>
      </c>
      <c r="D606" s="338">
        <f t="shared" si="240"/>
        <v>1.5623731314250799</v>
      </c>
      <c r="E606" s="338">
        <f t="shared" si="241"/>
        <v>1.2752669462324069</v>
      </c>
      <c r="F606" s="339">
        <f t="shared" si="242"/>
        <v>0.66947182079553103</v>
      </c>
      <c r="G606" s="338">
        <f t="shared" si="243"/>
        <v>1</v>
      </c>
      <c r="H606" s="339">
        <f t="shared" si="244"/>
        <v>0</v>
      </c>
      <c r="I606" s="337">
        <f t="shared" si="245"/>
        <v>316639.54641402012</v>
      </c>
      <c r="J606" s="340">
        <f t="shared" si="246"/>
        <v>1.5707931686296854</v>
      </c>
      <c r="K606" s="348">
        <f t="shared" si="262"/>
        <v>81.61871858861933</v>
      </c>
      <c r="L606" s="349">
        <f t="shared" si="263"/>
        <v>1.5585439288408454</v>
      </c>
      <c r="M606" s="337">
        <f t="shared" si="247"/>
        <v>4.9107582339506708</v>
      </c>
      <c r="N606" s="340">
        <f t="shared" si="248"/>
        <v>1.3657275039168284</v>
      </c>
      <c r="O606" s="341">
        <f t="shared" si="249"/>
        <v>22.790929700573486</v>
      </c>
      <c r="P606" s="342">
        <f t="shared" si="250"/>
        <v>2.8400278681237796</v>
      </c>
      <c r="Q606" s="343">
        <f t="shared" si="251"/>
        <v>-56.923245362602167</v>
      </c>
      <c r="R606" s="344">
        <f t="shared" si="252"/>
        <v>-292.83333917992809</v>
      </c>
      <c r="S606" s="346">
        <f t="shared" si="253"/>
        <v>-112.83333917992809</v>
      </c>
      <c r="U606" s="319">
        <f t="shared" si="259"/>
        <v>524810</v>
      </c>
      <c r="V606" s="319">
        <f t="shared" si="260"/>
        <v>275425536100</v>
      </c>
      <c r="X606" s="345">
        <f t="shared" si="254"/>
        <v>12.108745677374518</v>
      </c>
      <c r="Y606" s="346">
        <f t="shared" si="255"/>
        <v>-78.952251771731227</v>
      </c>
      <c r="AA606" s="345">
        <f t="shared" si="256"/>
        <v>-6.7922497055867037</v>
      </c>
      <c r="AB606" s="346">
        <f t="shared" si="257"/>
        <v>-213.88108740819698</v>
      </c>
      <c r="AD606">
        <f t="shared" si="261"/>
        <v>0</v>
      </c>
      <c r="AE606">
        <f t="shared" si="264"/>
        <v>0</v>
      </c>
    </row>
    <row r="607" spans="1:31" x14ac:dyDescent="0.25">
      <c r="A607" s="347">
        <v>575440</v>
      </c>
      <c r="B607" s="364">
        <f t="shared" si="258"/>
        <v>575.44000000000005</v>
      </c>
      <c r="C607" s="337">
        <f t="shared" si="239"/>
        <v>130.17380975688155</v>
      </c>
      <c r="D607" s="338">
        <f t="shared" si="240"/>
        <v>1.5631142144118926</v>
      </c>
      <c r="E607" s="338">
        <f t="shared" si="241"/>
        <v>1.324000772485709</v>
      </c>
      <c r="F607" s="339">
        <f t="shared" si="242"/>
        <v>0.71470507186202892</v>
      </c>
      <c r="G607" s="338">
        <f t="shared" si="243"/>
        <v>1</v>
      </c>
      <c r="H607" s="339">
        <f t="shared" si="244"/>
        <v>0</v>
      </c>
      <c r="I607" s="337">
        <f t="shared" si="245"/>
        <v>347186.71631320083</v>
      </c>
      <c r="J607" s="340">
        <f t="shared" si="246"/>
        <v>1.5707934465003663</v>
      </c>
      <c r="K607" s="348">
        <f t="shared" si="262"/>
        <v>89.491591980016565</v>
      </c>
      <c r="L607" s="349">
        <f t="shared" si="263"/>
        <v>1.5596218601256995</v>
      </c>
      <c r="M607" s="337">
        <f t="shared" si="247"/>
        <v>5.3656999947479047</v>
      </c>
      <c r="N607" s="340">
        <f t="shared" si="248"/>
        <v>1.3833312622708209</v>
      </c>
      <c r="O607" s="341">
        <f t="shared" si="249"/>
        <v>27.39101433244759</v>
      </c>
      <c r="P607" s="342">
        <f t="shared" si="250"/>
        <v>2.8671864482583507</v>
      </c>
      <c r="Q607" s="343">
        <f t="shared" si="251"/>
        <v>-59.763997550368948</v>
      </c>
      <c r="R607" s="344">
        <f t="shared" si="252"/>
        <v>-292.78707381164338</v>
      </c>
      <c r="S607" s="346">
        <f t="shared" si="253"/>
        <v>-112.78707381164338</v>
      </c>
      <c r="U607" s="319">
        <f t="shared" si="259"/>
        <v>575440</v>
      </c>
      <c r="V607" s="319">
        <f t="shared" si="260"/>
        <v>331131193600</v>
      </c>
      <c r="X607" s="345">
        <f t="shared" si="254"/>
        <v>11.339079334377944</v>
      </c>
      <c r="Y607" s="346">
        <f t="shared" si="255"/>
        <v>-79.899127837655143</v>
      </c>
      <c r="AA607" s="345">
        <f t="shared" si="256"/>
        <v>-8.8633355503569184</v>
      </c>
      <c r="AB607" s="346">
        <f t="shared" si="257"/>
        <v>-212.88794597398822</v>
      </c>
      <c r="AD607">
        <f t="shared" si="261"/>
        <v>0</v>
      </c>
      <c r="AE607">
        <f t="shared" si="264"/>
        <v>0</v>
      </c>
    </row>
    <row r="608" spans="1:31" x14ac:dyDescent="0.25">
      <c r="A608" s="347">
        <v>630960</v>
      </c>
      <c r="B608" s="364">
        <f t="shared" si="258"/>
        <v>630.96</v>
      </c>
      <c r="C608" s="337">
        <f t="shared" si="239"/>
        <v>142.73262070986621</v>
      </c>
      <c r="D608" s="338">
        <f t="shared" si="240"/>
        <v>1.5637901625688801</v>
      </c>
      <c r="E608" s="338">
        <f t="shared" si="241"/>
        <v>1.3803210304770877</v>
      </c>
      <c r="F608" s="339">
        <f t="shared" si="242"/>
        <v>0.76053236941470237</v>
      </c>
      <c r="G608" s="338">
        <f t="shared" si="243"/>
        <v>1</v>
      </c>
      <c r="H608" s="339">
        <f t="shared" si="244"/>
        <v>0</v>
      </c>
      <c r="I608" s="337">
        <f t="shared" si="245"/>
        <v>380684.22515783453</v>
      </c>
      <c r="J608" s="340">
        <f t="shared" si="246"/>
        <v>1.5707936999458341</v>
      </c>
      <c r="K608" s="348">
        <f t="shared" si="262"/>
        <v>98.124950949236919</v>
      </c>
      <c r="L608" s="349">
        <f t="shared" si="263"/>
        <v>1.5606050624849814</v>
      </c>
      <c r="M608" s="337">
        <f t="shared" si="247"/>
        <v>5.8661817216439003</v>
      </c>
      <c r="N608" s="340">
        <f t="shared" si="248"/>
        <v>1.3994910793583433</v>
      </c>
      <c r="O608" s="341">
        <f t="shared" si="249"/>
        <v>32.92342612770554</v>
      </c>
      <c r="P608" s="342">
        <f t="shared" si="250"/>
        <v>2.8918112094063835</v>
      </c>
      <c r="Q608" s="343">
        <f t="shared" si="251"/>
        <v>-62.574764616001616</v>
      </c>
      <c r="R608" s="344">
        <f t="shared" si="252"/>
        <v>-292.48055742947963</v>
      </c>
      <c r="S608" s="346">
        <f t="shared" si="253"/>
        <v>-112.48055742947963</v>
      </c>
      <c r="U608" s="319">
        <f t="shared" si="259"/>
        <v>630960</v>
      </c>
      <c r="V608" s="319">
        <f t="shared" si="260"/>
        <v>398110521600</v>
      </c>
      <c r="X608" s="345">
        <f t="shared" si="254"/>
        <v>10.564405589897945</v>
      </c>
      <c r="Y608" s="346">
        <f t="shared" si="255"/>
        <v>-80.768698331228649</v>
      </c>
      <c r="AA608" s="345">
        <f t="shared" si="256"/>
        <v>-10.899428871509576</v>
      </c>
      <c r="AB608" s="346">
        <f t="shared" si="257"/>
        <v>-211.71185909825098</v>
      </c>
      <c r="AD608">
        <f t="shared" si="261"/>
        <v>0</v>
      </c>
      <c r="AE608">
        <f t="shared" si="264"/>
        <v>0</v>
      </c>
    </row>
    <row r="609" spans="1:31" x14ac:dyDescent="0.25">
      <c r="A609" s="347">
        <v>691830</v>
      </c>
      <c r="B609" s="364">
        <f t="shared" si="258"/>
        <v>691.83</v>
      </c>
      <c r="C609" s="337">
        <f t="shared" si="239"/>
        <v>156.50168201478846</v>
      </c>
      <c r="D609" s="338">
        <f t="shared" si="240"/>
        <v>1.564406575630702</v>
      </c>
      <c r="E609" s="338">
        <f t="shared" si="241"/>
        <v>1.4451232202136071</v>
      </c>
      <c r="F609" s="339">
        <f t="shared" si="242"/>
        <v>0.80656468419534355</v>
      </c>
      <c r="G609" s="338">
        <f t="shared" si="243"/>
        <v>1</v>
      </c>
      <c r="H609" s="339">
        <f t="shared" si="244"/>
        <v>0</v>
      </c>
      <c r="I609" s="337">
        <f t="shared" si="245"/>
        <v>417409.60994483292</v>
      </c>
      <c r="J609" s="340">
        <f t="shared" si="246"/>
        <v>1.5707939310666332</v>
      </c>
      <c r="K609" s="348">
        <f t="shared" si="262"/>
        <v>107.59032548931354</v>
      </c>
      <c r="L609" s="349">
        <f t="shared" si="263"/>
        <v>1.5615016769830636</v>
      </c>
      <c r="M609" s="337">
        <f t="shared" si="247"/>
        <v>6.4163630042171702</v>
      </c>
      <c r="N609" s="340">
        <f t="shared" si="248"/>
        <v>1.4143068665837097</v>
      </c>
      <c r="O609" s="341">
        <f t="shared" si="249"/>
        <v>39.575271097953831</v>
      </c>
      <c r="P609" s="342">
        <f t="shared" si="250"/>
        <v>2.9141540748240007</v>
      </c>
      <c r="Q609" s="343">
        <f t="shared" si="251"/>
        <v>-65.353306182234249</v>
      </c>
      <c r="R609" s="344">
        <f t="shared" si="252"/>
        <v>-291.95609292210264</v>
      </c>
      <c r="S609" s="346">
        <f t="shared" si="253"/>
        <v>-111.95609292210264</v>
      </c>
      <c r="U609" s="319">
        <f t="shared" si="259"/>
        <v>691830</v>
      </c>
      <c r="V609" s="319">
        <f t="shared" si="260"/>
        <v>478628748900</v>
      </c>
      <c r="X609" s="345">
        <f t="shared" si="254"/>
        <v>9.785661435967798</v>
      </c>
      <c r="Y609" s="346">
        <f t="shared" si="255"/>
        <v>-81.56622142597331</v>
      </c>
      <c r="AA609" s="345">
        <f t="shared" si="256"/>
        <v>-12.899226283812075</v>
      </c>
      <c r="AB609" s="346">
        <f t="shared" si="257"/>
        <v>-210.38987149612936</v>
      </c>
      <c r="AD609">
        <f t="shared" si="261"/>
        <v>0</v>
      </c>
      <c r="AE609">
        <f t="shared" si="264"/>
        <v>0</v>
      </c>
    </row>
    <row r="610" spans="1:31" s="627" customFormat="1" ht="13" x14ac:dyDescent="0.3">
      <c r="A610" s="629">
        <v>758580</v>
      </c>
      <c r="B610" s="630">
        <f t="shared" si="258"/>
        <v>758.58</v>
      </c>
      <c r="C610" s="621">
        <f t="shared" si="239"/>
        <v>171.60088200026701</v>
      </c>
      <c r="D610" s="618">
        <f t="shared" si="240"/>
        <v>1.564968817936303</v>
      </c>
      <c r="E610" s="618">
        <f t="shared" si="241"/>
        <v>1.5193860446309271</v>
      </c>
      <c r="F610" s="619">
        <f t="shared" si="242"/>
        <v>0.8524233694323472</v>
      </c>
      <c r="G610" s="618">
        <f t="shared" si="243"/>
        <v>1</v>
      </c>
      <c r="H610" s="619">
        <f t="shared" si="244"/>
        <v>0</v>
      </c>
      <c r="I610" s="621">
        <f t="shared" si="245"/>
        <v>457682.64156194218</v>
      </c>
      <c r="J610" s="622">
        <f t="shared" si="246"/>
        <v>1.570794141874803</v>
      </c>
      <c r="K610" s="616">
        <f t="shared" si="262"/>
        <v>117.97013138273687</v>
      </c>
      <c r="L610" s="617">
        <f t="shared" si="263"/>
        <v>1.5623195033441766</v>
      </c>
      <c r="M610" s="621">
        <f t="shared" si="247"/>
        <v>7.0210442997630231</v>
      </c>
      <c r="N610" s="622">
        <f t="shared" si="248"/>
        <v>1.4278813699295325</v>
      </c>
      <c r="O610" s="631">
        <f t="shared" si="249"/>
        <v>47.574374759099577</v>
      </c>
      <c r="P610" s="623">
        <f t="shared" si="250"/>
        <v>2.9344466359109802</v>
      </c>
      <c r="Q610" s="624">
        <f t="shared" si="251"/>
        <v>-68.099353910958186</v>
      </c>
      <c r="R610" s="625">
        <f t="shared" si="252"/>
        <v>-291.25439185042563</v>
      </c>
      <c r="S610" s="626">
        <f t="shared" si="253"/>
        <v>-111.25439185042563</v>
      </c>
      <c r="U610" s="627">
        <f t="shared" si="259"/>
        <v>758580</v>
      </c>
      <c r="V610" s="627">
        <f t="shared" si="260"/>
        <v>575443616400</v>
      </c>
      <c r="X610" s="628">
        <f t="shared" si="254"/>
        <v>9.0033425705232393</v>
      </c>
      <c r="Y610" s="626">
        <f t="shared" si="255"/>
        <v>-82.297137257062445</v>
      </c>
      <c r="AA610" s="628">
        <f t="shared" si="256"/>
        <v>-14.86295514709145</v>
      </c>
      <c r="AB610" s="626">
        <f t="shared" si="257"/>
        <v>-208.95725459336313</v>
      </c>
      <c r="AD610" s="2">
        <f t="shared" si="261"/>
        <v>0</v>
      </c>
      <c r="AE610" s="2">
        <f t="shared" si="264"/>
        <v>0</v>
      </c>
    </row>
    <row r="611" spans="1:31" x14ac:dyDescent="0.25">
      <c r="A611" s="347">
        <v>831760</v>
      </c>
      <c r="B611" s="364">
        <f t="shared" si="258"/>
        <v>831.76</v>
      </c>
      <c r="C611" s="337">
        <f t="shared" si="239"/>
        <v>188.15463354882388</v>
      </c>
      <c r="D611" s="338">
        <f t="shared" si="240"/>
        <v>1.5654815243422098</v>
      </c>
      <c r="E611" s="338">
        <f t="shared" si="241"/>
        <v>1.6041133093663802</v>
      </c>
      <c r="F611" s="339">
        <f t="shared" si="242"/>
        <v>0.89771613478121604</v>
      </c>
      <c r="G611" s="338">
        <f t="shared" si="243"/>
        <v>1</v>
      </c>
      <c r="H611" s="339">
        <f t="shared" si="244"/>
        <v>0</v>
      </c>
      <c r="I611" s="337">
        <f t="shared" si="245"/>
        <v>501835.15772286139</v>
      </c>
      <c r="J611" s="340">
        <f t="shared" si="246"/>
        <v>1.5707943341086836</v>
      </c>
      <c r="K611" s="348">
        <f t="shared" si="262"/>
        <v>129.34989511906437</v>
      </c>
      <c r="L611" s="349">
        <f t="shared" si="263"/>
        <v>1.5630652810088876</v>
      </c>
      <c r="M611" s="337">
        <f t="shared" si="247"/>
        <v>7.6852156092093065</v>
      </c>
      <c r="N611" s="340">
        <f t="shared" si="248"/>
        <v>1.4403063525693593</v>
      </c>
      <c r="O611" s="341">
        <f t="shared" si="249"/>
        <v>57.190878308803995</v>
      </c>
      <c r="P611" s="342">
        <f t="shared" si="250"/>
        <v>2.9528848504510954</v>
      </c>
      <c r="Q611" s="343">
        <f t="shared" si="251"/>
        <v>-70.812136666127955</v>
      </c>
      <c r="R611" s="344">
        <f t="shared" si="252"/>
        <v>-290.41429550792458</v>
      </c>
      <c r="S611" s="346">
        <f t="shared" si="253"/>
        <v>-110.41429550792458</v>
      </c>
      <c r="U611" s="319">
        <f t="shared" si="259"/>
        <v>831760</v>
      </c>
      <c r="V611" s="319">
        <f t="shared" si="260"/>
        <v>691824697600</v>
      </c>
      <c r="X611" s="345">
        <f t="shared" si="254"/>
        <v>8.2182032159433085</v>
      </c>
      <c r="Y611" s="346">
        <f t="shared" si="255"/>
        <v>-82.966317425159488</v>
      </c>
      <c r="AA611" s="345">
        <f t="shared" si="256"/>
        <v>-16.790598547681292</v>
      </c>
      <c r="AB611" s="346">
        <f t="shared" si="257"/>
        <v>-207.4479780827651</v>
      </c>
      <c r="AD611">
        <f t="shared" si="261"/>
        <v>0</v>
      </c>
      <c r="AE611">
        <f t="shared" si="264"/>
        <v>0</v>
      </c>
    </row>
    <row r="612" spans="1:31" x14ac:dyDescent="0.25">
      <c r="A612" s="347">
        <v>912010</v>
      </c>
      <c r="B612" s="364">
        <f t="shared" si="258"/>
        <v>912.01</v>
      </c>
      <c r="C612" s="337">
        <f t="shared" si="239"/>
        <v>206.30770846922178</v>
      </c>
      <c r="D612" s="338">
        <f t="shared" si="240"/>
        <v>1.5659491791859328</v>
      </c>
      <c r="E612" s="338">
        <f t="shared" si="241"/>
        <v>1.7004091985344201</v>
      </c>
      <c r="F612" s="339">
        <f t="shared" si="242"/>
        <v>0.94209643516296993</v>
      </c>
      <c r="G612" s="338">
        <f t="shared" si="243"/>
        <v>1</v>
      </c>
      <c r="H612" s="339">
        <f t="shared" si="244"/>
        <v>0</v>
      </c>
      <c r="I612" s="337">
        <f t="shared" si="245"/>
        <v>550253.2968580767</v>
      </c>
      <c r="J612" s="340">
        <f t="shared" si="246"/>
        <v>1.570794509450038</v>
      </c>
      <c r="K612" s="348">
        <f t="shared" si="262"/>
        <v>141.82913909242262</v>
      </c>
      <c r="L612" s="349">
        <f t="shared" si="263"/>
        <v>1.5637455310834707</v>
      </c>
      <c r="M612" s="337">
        <f t="shared" si="247"/>
        <v>8.4146913237497465</v>
      </c>
      <c r="N612" s="340">
        <f t="shared" si="248"/>
        <v>1.4516750348951155</v>
      </c>
      <c r="O612" s="341">
        <f t="shared" si="249"/>
        <v>68.754493844043665</v>
      </c>
      <c r="P612" s="342">
        <f t="shared" si="250"/>
        <v>2.9696520487036855</v>
      </c>
      <c r="Q612" s="343">
        <f t="shared" si="251"/>
        <v>-73.49295213830716</v>
      </c>
      <c r="R612" s="344">
        <f t="shared" si="252"/>
        <v>-289.47138804831985</v>
      </c>
      <c r="S612" s="346">
        <f t="shared" si="253"/>
        <v>-109.47138804831985</v>
      </c>
      <c r="U612" s="319">
        <f t="shared" si="259"/>
        <v>912010</v>
      </c>
      <c r="V612" s="319">
        <f t="shared" si="260"/>
        <v>831762240100</v>
      </c>
      <c r="X612" s="345">
        <f t="shared" si="254"/>
        <v>7.4305168811818483</v>
      </c>
      <c r="Y612" s="346">
        <f t="shared" si="255"/>
        <v>-83.578729529782564</v>
      </c>
      <c r="AA612" s="345">
        <f t="shared" si="256"/>
        <v>-18.683727685099036</v>
      </c>
      <c r="AB612" s="346">
        <f t="shared" si="257"/>
        <v>-205.89265851853727</v>
      </c>
      <c r="AD612">
        <f t="shared" si="261"/>
        <v>0</v>
      </c>
      <c r="AE612">
        <f t="shared" si="264"/>
        <v>0</v>
      </c>
    </row>
    <row r="613" spans="1:31" x14ac:dyDescent="0.25">
      <c r="A613" s="347">
        <v>1000000</v>
      </c>
      <c r="B613" s="364">
        <f t="shared" si="258"/>
        <v>1000</v>
      </c>
      <c r="C613" s="337">
        <f t="shared" si="239"/>
        <v>226.21166515036862</v>
      </c>
      <c r="D613" s="338">
        <f t="shared" si="240"/>
        <v>1.5663756738795336</v>
      </c>
      <c r="E613" s="338">
        <f t="shared" si="241"/>
        <v>1.809407872430713</v>
      </c>
      <c r="F613" s="339">
        <f t="shared" si="242"/>
        <v>0.98523534994638551</v>
      </c>
      <c r="G613" s="338">
        <f t="shared" si="243"/>
        <v>1</v>
      </c>
      <c r="H613" s="339">
        <f t="shared" si="244"/>
        <v>0</v>
      </c>
      <c r="I613" s="337">
        <f t="shared" si="245"/>
        <v>603341.29763700394</v>
      </c>
      <c r="J613" s="340">
        <f t="shared" si="246"/>
        <v>1.570794669358212</v>
      </c>
      <c r="K613" s="348">
        <f t="shared" si="262"/>
        <v>155.51205139314123</v>
      </c>
      <c r="L613" s="349">
        <f t="shared" si="263"/>
        <v>1.5643659126708525</v>
      </c>
      <c r="M613" s="337">
        <f t="shared" si="247"/>
        <v>9.215566397434463</v>
      </c>
      <c r="N613" s="340">
        <f t="shared" si="248"/>
        <v>1.4620701881822011</v>
      </c>
      <c r="O613" s="341">
        <f t="shared" si="249"/>
        <v>82.657217658878011</v>
      </c>
      <c r="P613" s="342">
        <f t="shared" si="250"/>
        <v>2.9849046714556264</v>
      </c>
      <c r="Q613" s="343">
        <f t="shared" si="251"/>
        <v>-76.142589416031285</v>
      </c>
      <c r="R613" s="344">
        <f t="shared" si="252"/>
        <v>-288.45811987957774</v>
      </c>
      <c r="S613" s="346">
        <f t="shared" si="253"/>
        <v>-108.45811987957774</v>
      </c>
      <c r="U613" s="319">
        <f t="shared" si="259"/>
        <v>1000000</v>
      </c>
      <c r="V613" s="319">
        <f t="shared" si="260"/>
        <v>1000000000000</v>
      </c>
      <c r="X613" s="345">
        <f t="shared" si="254"/>
        <v>6.640803695389895</v>
      </c>
      <c r="Y613" s="346">
        <f t="shared" si="255"/>
        <v>-84.138791856582955</v>
      </c>
      <c r="AA613" s="345">
        <f t="shared" si="256"/>
        <v>-20.543651777031208</v>
      </c>
      <c r="AB613" s="346">
        <f t="shared" si="257"/>
        <v>-204.31932802299474</v>
      </c>
      <c r="AD613">
        <f t="shared" si="261"/>
        <v>0</v>
      </c>
      <c r="AE613">
        <f t="shared" si="264"/>
        <v>0</v>
      </c>
    </row>
    <row r="614" spans="1:31" x14ac:dyDescent="0.25">
      <c r="A614" s="350"/>
      <c r="B614" s="350"/>
      <c r="C614" s="351"/>
      <c r="D614" s="351"/>
      <c r="E614" s="351"/>
      <c r="F614" s="351"/>
      <c r="G614" s="338"/>
      <c r="H614" s="339"/>
      <c r="I614" s="351"/>
      <c r="J614" s="351"/>
      <c r="K614" s="351"/>
      <c r="L614" s="351"/>
      <c r="M614" s="351"/>
      <c r="N614" s="351"/>
      <c r="O614" s="351"/>
      <c r="P614" s="352"/>
      <c r="Q614" s="428"/>
      <c r="R614" s="344"/>
      <c r="S614" s="353"/>
      <c r="AA614" s="345"/>
      <c r="AB614" s="346"/>
    </row>
    <row r="615" spans="1:31" x14ac:dyDescent="0.25">
      <c r="A615" s="350"/>
      <c r="B615" s="350"/>
      <c r="C615" s="351"/>
      <c r="D615" s="351"/>
      <c r="E615" s="351"/>
      <c r="F615" s="351"/>
      <c r="G615" s="338"/>
      <c r="H615" s="339"/>
      <c r="I615" s="351"/>
      <c r="J615" s="351"/>
      <c r="K615" s="351"/>
      <c r="L615" s="351"/>
      <c r="M615" s="351"/>
      <c r="N615" s="351"/>
      <c r="O615" s="351"/>
      <c r="P615" s="352"/>
      <c r="Q615" s="353"/>
      <c r="R615" s="344"/>
      <c r="S615" s="353"/>
      <c r="AA615" s="345"/>
      <c r="AB615" s="346"/>
    </row>
    <row r="616" spans="1:31" x14ac:dyDescent="0.25">
      <c r="A616" s="319" t="s">
        <v>362</v>
      </c>
      <c r="G616" s="338"/>
      <c r="H616" s="339"/>
      <c r="Q616" s="343"/>
      <c r="R616" s="344"/>
      <c r="S616" s="353"/>
      <c r="AA616" s="345"/>
      <c r="AB616" s="346"/>
    </row>
    <row r="617" spans="1:31" x14ac:dyDescent="0.25">
      <c r="A617" s="354">
        <f>Q4*1000</f>
        <v>56561.5</v>
      </c>
      <c r="B617" s="354"/>
      <c r="C617" s="355">
        <f t="shared" ref="C617:C626" si="265">SQRT(1+(A617/pole1)^2)</f>
        <v>12.833765122576276</v>
      </c>
      <c r="D617" s="348">
        <f t="shared" ref="D617:D626" si="266">ATAN(A617/pole1)</f>
        <v>1.4927978071012487</v>
      </c>
      <c r="E617" s="348">
        <f t="shared" ref="E617:E626" si="267">SQRT(1+(A617/Zero1)^2)</f>
        <v>1.0036308336307835</v>
      </c>
      <c r="F617" s="349">
        <f t="shared" ref="F617:F626" si="268">ATAN(A617/Zero1)</f>
        <v>8.5086799997518447E-2</v>
      </c>
      <c r="G617" s="338">
        <f>IF(VIN_nom&gt;Vout, 1, SQRT(1+(A617/z_RHP)^2))</f>
        <v>1</v>
      </c>
      <c r="H617" s="339">
        <f>IF(VIN_nom&gt;Vout, 0, -ATAN(A617/z_RHP))</f>
        <v>0</v>
      </c>
      <c r="I617" s="355">
        <f t="shared" ref="I617:I626" si="269">SQRT(1+(A617/Pole2)^2)</f>
        <v>34125.888820900152</v>
      </c>
      <c r="J617" s="356">
        <f t="shared" ref="J617:J626" si="270">ATAN(A617/Pole2)</f>
        <v>1.5707670235288222</v>
      </c>
      <c r="K617" s="348">
        <f t="shared" ref="K617:K626" si="271">SQRT(1+(A617/Zero2)^2)</f>
        <v>8.8524757546887631</v>
      </c>
      <c r="L617" s="349">
        <f t="shared" ref="L617:L626" si="272">ATAN(A617/Zero2)</f>
        <v>1.4575919422170163</v>
      </c>
      <c r="M617" s="355">
        <f t="shared" ref="M617:M626" si="273">SQRT(1+(A617/pole4)^2)</f>
        <v>1.1262763688450304</v>
      </c>
      <c r="N617" s="356">
        <f t="shared" ref="N617:N626" si="274">ATAN(A617/pole4)</f>
        <v>0.4780764365135432</v>
      </c>
      <c r="O617" s="355">
        <f>SQRT((1-(A617^2/(pole3^2)))^2+(A617/(Q_Ch2*pole3))^2)</f>
        <v>1.0360329830171728</v>
      </c>
      <c r="P617" s="420">
        <f>ATAN((A617/(Q_Ch2*pole3))/(1-A617^2/pole3^2))</f>
        <v>0.78127122944236271</v>
      </c>
      <c r="Q617" s="343">
        <f>20*LOG10(((E617*K617*G617)/(C617*I617*O617*M617))*Adc)</f>
        <v>1.2659940583602902E-2</v>
      </c>
      <c r="R617" s="344">
        <f>((F617+L617+H617)-(D617+J617+P617+N617))*radconv</f>
        <v>-159.29566036731703</v>
      </c>
      <c r="S617" s="346">
        <f t="shared" ref="S617:S626" si="275">IF(R617&gt;0,R617,R617+180)</f>
        <v>20.704339632682974</v>
      </c>
      <c r="T617" s="319" t="s">
        <v>363</v>
      </c>
      <c r="X617" s="345">
        <f t="shared" ref="X617:X626" si="276">20*LOG10((K617/(I617*M617))*AEA)</f>
        <v>24.953940449459711</v>
      </c>
      <c r="Y617" s="346">
        <f t="shared" ref="Y617:Y626" si="277">(L617-(J617+N617))*radconv</f>
        <v>-33.87621664080568</v>
      </c>
      <c r="AA617" s="345">
        <f>20*LOG10((E617*G617/(C617*O617))*Acs*Am)</f>
        <v>37.298460825513871</v>
      </c>
      <c r="AB617" s="346">
        <f>(F617+H617-(D617+P617))*radconv</f>
        <v>-125.41944372651136</v>
      </c>
    </row>
    <row r="618" spans="1:31" x14ac:dyDescent="0.25">
      <c r="A618" s="354">
        <f>A617</f>
        <v>56561.5</v>
      </c>
      <c r="B618" s="354"/>
      <c r="C618" s="355"/>
      <c r="D618" s="348"/>
      <c r="E618" s="348"/>
      <c r="F618" s="349"/>
      <c r="G618" s="338"/>
      <c r="H618" s="339"/>
      <c r="I618" s="355"/>
      <c r="J618" s="356"/>
      <c r="K618" s="348"/>
      <c r="L618" s="349"/>
      <c r="M618" s="337"/>
      <c r="N618" s="340"/>
      <c r="O618" s="355"/>
      <c r="P618" s="342"/>
      <c r="Q618" s="343"/>
      <c r="R618" s="344">
        <v>-135</v>
      </c>
      <c r="S618" s="346"/>
      <c r="X618" s="345"/>
      <c r="Y618" s="346"/>
      <c r="AA618" s="345"/>
      <c r="AB618" s="346"/>
    </row>
    <row r="619" spans="1:31" x14ac:dyDescent="0.25">
      <c r="A619" s="319">
        <f>A618</f>
        <v>56561.5</v>
      </c>
      <c r="B619" s="354"/>
      <c r="C619" s="355"/>
      <c r="D619" s="348"/>
      <c r="E619" s="348"/>
      <c r="F619" s="349"/>
      <c r="G619" s="338"/>
      <c r="H619" s="339"/>
      <c r="I619" s="355"/>
      <c r="J619" s="356"/>
      <c r="K619" s="348"/>
      <c r="L619" s="349"/>
      <c r="M619" s="337"/>
      <c r="N619" s="340"/>
      <c r="O619" s="355"/>
      <c r="P619" s="342"/>
      <c r="Q619" s="343"/>
      <c r="R619" s="344"/>
      <c r="S619" s="346"/>
      <c r="X619" s="345"/>
      <c r="Y619" s="346"/>
      <c r="AA619" s="345"/>
      <c r="AB619" s="346"/>
    </row>
    <row r="620" spans="1:31" x14ac:dyDescent="0.25">
      <c r="A620" s="354">
        <v>1000000</v>
      </c>
      <c r="B620" s="354"/>
      <c r="C620" s="355"/>
      <c r="D620" s="348"/>
      <c r="E620" s="348"/>
      <c r="F620" s="349"/>
      <c r="G620" s="338"/>
      <c r="H620" s="339"/>
      <c r="I620" s="355"/>
      <c r="J620" s="356"/>
      <c r="K620" s="348"/>
      <c r="L620" s="349"/>
      <c r="M620" s="337"/>
      <c r="N620" s="340"/>
      <c r="O620" s="355"/>
      <c r="P620" s="342"/>
      <c r="Q620" s="343"/>
      <c r="R620" s="344">
        <f>R617</f>
        <v>-159.29566036731703</v>
      </c>
      <c r="S620" s="346"/>
      <c r="X620" s="345"/>
      <c r="Y620" s="346"/>
      <c r="AA620" s="345"/>
      <c r="AB620" s="346"/>
    </row>
    <row r="621" spans="1:31" x14ac:dyDescent="0.25">
      <c r="A621" s="354"/>
      <c r="B621" s="354"/>
      <c r="C621" s="355"/>
      <c r="D621" s="348"/>
      <c r="E621" s="348"/>
      <c r="F621" s="349"/>
      <c r="G621" s="338"/>
      <c r="H621" s="339"/>
      <c r="I621" s="355"/>
      <c r="J621" s="356"/>
      <c r="K621" s="348"/>
      <c r="L621" s="349"/>
      <c r="M621" s="337"/>
      <c r="N621" s="340"/>
      <c r="O621" s="355"/>
      <c r="P621" s="342"/>
      <c r="Q621" s="343"/>
      <c r="R621" s="344"/>
      <c r="S621" s="346"/>
      <c r="X621" s="345"/>
      <c r="Y621" s="346"/>
      <c r="AA621" s="345"/>
      <c r="AB621" s="346"/>
    </row>
    <row r="622" spans="1:31" x14ac:dyDescent="0.25">
      <c r="A622" s="429">
        <f>pole1</f>
        <v>4420.681711975064</v>
      </c>
      <c r="B622" s="354"/>
      <c r="C622" s="355">
        <f t="shared" si="265"/>
        <v>1.4142135623730951</v>
      </c>
      <c r="D622" s="348">
        <f t="shared" si="266"/>
        <v>0.78539816339744828</v>
      </c>
      <c r="E622" s="348">
        <f t="shared" si="267"/>
        <v>1.000022219070787</v>
      </c>
      <c r="F622" s="349">
        <f t="shared" si="268"/>
        <v>6.6661322202425481E-3</v>
      </c>
      <c r="G622" s="338">
        <f t="shared" ref="G622:G628" si="278">IF(VIN_nom&gt;Vout, 1, SQRT(1+(A622/z_RHP)^2))</f>
        <v>1</v>
      </c>
      <c r="H622" s="339">
        <f t="shared" ref="H622:H628" si="279">IF(VIN_nom&gt;Vout, 0, -ATAN(A622/z_RHP))</f>
        <v>0</v>
      </c>
      <c r="I622" s="355">
        <f t="shared" si="269"/>
        <v>2667.1800280034613</v>
      </c>
      <c r="J622" s="356">
        <f t="shared" si="270"/>
        <v>1.5704213989636557</v>
      </c>
      <c r="K622" s="348">
        <f t="shared" si="271"/>
        <v>1.2135050352992887</v>
      </c>
      <c r="L622" s="349">
        <f t="shared" si="272"/>
        <v>0.60225683472868408</v>
      </c>
      <c r="M622" s="337">
        <f t="shared" si="273"/>
        <v>1.0008197293659677</v>
      </c>
      <c r="N622" s="340">
        <f t="shared" si="274"/>
        <v>4.0476407791608583E-2</v>
      </c>
      <c r="O622" s="355">
        <f t="shared" ref="O622:O628" si="280">SQRT((1-(A622^2/(pole3^2)))^2+(A622/(Q_Ch2*pole3))^2)</f>
        <v>1.0000118676043115</v>
      </c>
      <c r="P622" s="342">
        <f t="shared" ref="P622:P628" si="281">ATAN((A622/(Q_Ch2*pole3))/(1-A622^2/pole3^2))</f>
        <v>5.705026258414387E-2</v>
      </c>
      <c r="Q622" s="343">
        <f t="shared" ref="Q622:Q628" si="282">20*LOG10(((E622*K622*G622)/(C622*I622*O622*M622))*Adc)</f>
        <v>25.351475193666019</v>
      </c>
      <c r="R622" s="344">
        <f t="shared" ref="R622:R628" si="283">((F622+L622+H622)-(D622+J622+P622+N622))*radconv</f>
        <v>-105.67766888613878</v>
      </c>
      <c r="S622" s="346">
        <f t="shared" si="275"/>
        <v>74.322331113861225</v>
      </c>
      <c r="T622" s="319" t="s">
        <v>337</v>
      </c>
      <c r="X622" s="345">
        <f t="shared" si="276"/>
        <v>30.859892283547339</v>
      </c>
      <c r="Y622" s="346">
        <f t="shared" si="277"/>
        <v>-57.790870807131675</v>
      </c>
      <c r="AA622" s="345">
        <f t="shared" ref="AA622:AA628" si="284">20*LOG10((E622*G622/(C622*O622))*Acs*Am)</f>
        <v>56.731324244508663</v>
      </c>
      <c r="AB622" s="346">
        <f t="shared" ref="AB622:AB628" si="285">(F622+H622-(D622+P622))*radconv</f>
        <v>-47.886798079007129</v>
      </c>
    </row>
    <row r="623" spans="1:31" s="627" customFormat="1" ht="13" x14ac:dyDescent="0.3">
      <c r="A623" s="613">
        <f>Zero1</f>
        <v>663145.59697398485</v>
      </c>
      <c r="B623" s="614"/>
      <c r="C623" s="615">
        <f t="shared" si="265"/>
        <v>150.01313703642793</v>
      </c>
      <c r="D623" s="616">
        <f t="shared" si="266"/>
        <v>1.564130194574654</v>
      </c>
      <c r="E623" s="616">
        <f t="shared" si="267"/>
        <v>1.4142135623730951</v>
      </c>
      <c r="F623" s="617">
        <f t="shared" si="268"/>
        <v>0.78539816339744828</v>
      </c>
      <c r="G623" s="618">
        <f t="shared" si="278"/>
        <v>1</v>
      </c>
      <c r="H623" s="619">
        <f t="shared" si="279"/>
        <v>0</v>
      </c>
      <c r="I623" s="615">
        <f t="shared" si="269"/>
        <v>400103.12500124978</v>
      </c>
      <c r="J623" s="620">
        <f t="shared" si="270"/>
        <v>1.5707938274392617</v>
      </c>
      <c r="K623" s="616">
        <f t="shared" si="271"/>
        <v>103.12984837087663</v>
      </c>
      <c r="L623" s="617">
        <f t="shared" si="272"/>
        <v>1.5610996610200814</v>
      </c>
      <c r="M623" s="621">
        <f t="shared" si="273"/>
        <v>6.1569281767082105</v>
      </c>
      <c r="N623" s="622">
        <f t="shared" si="274"/>
        <v>1.4076549623890537</v>
      </c>
      <c r="O623" s="615">
        <f t="shared" si="280"/>
        <v>36.364266076513402</v>
      </c>
      <c r="P623" s="623">
        <f t="shared" si="281"/>
        <v>-0.23744366555976873</v>
      </c>
      <c r="Q623" s="624">
        <f>20*LOG10(((E623*K623*G623)/(C623*I623*O623*M623))*Adc)</f>
        <v>-64.079798115012338</v>
      </c>
      <c r="R623" s="625">
        <f t="shared" si="283"/>
        <v>-112.2216621549012</v>
      </c>
      <c r="S623" s="626">
        <f t="shared" si="275"/>
        <v>67.778337845098804</v>
      </c>
      <c r="T623" s="627" t="s">
        <v>332</v>
      </c>
      <c r="X623" s="628">
        <f t="shared" si="276"/>
        <v>10.144191368427782</v>
      </c>
      <c r="Y623" s="626">
        <f t="shared" si="277"/>
        <v>-81.208123270049697</v>
      </c>
      <c r="AA623" s="628">
        <f t="shared" si="284"/>
        <v>-11.984248149050142</v>
      </c>
      <c r="AB623" s="626">
        <f t="shared" si="285"/>
        <v>-31.013538884851492</v>
      </c>
      <c r="AD623" s="2"/>
      <c r="AE623" s="2"/>
    </row>
    <row r="624" spans="1:31" x14ac:dyDescent="0.25">
      <c r="A624" s="429">
        <f>Pole2</f>
        <v>1.657436684539729</v>
      </c>
      <c r="B624" s="354"/>
      <c r="C624" s="355">
        <f t="shared" si="265"/>
        <v>1.0000000702854435</v>
      </c>
      <c r="D624" s="348">
        <f t="shared" si="266"/>
        <v>3.7492783124093735E-4</v>
      </c>
      <c r="E624" s="348">
        <f t="shared" si="267"/>
        <v>1.0000000000031233</v>
      </c>
      <c r="F624" s="349">
        <f t="shared" si="268"/>
        <v>2.4993556348701793E-6</v>
      </c>
      <c r="G624" s="338">
        <f t="shared" si="278"/>
        <v>1</v>
      </c>
      <c r="H624" s="339">
        <f t="shared" si="279"/>
        <v>0</v>
      </c>
      <c r="I624" s="355">
        <f t="shared" si="269"/>
        <v>1.4142135623730951</v>
      </c>
      <c r="J624" s="356">
        <f t="shared" si="270"/>
        <v>0.78539816339744828</v>
      </c>
      <c r="K624" s="348">
        <f t="shared" si="271"/>
        <v>1.0000000332165127</v>
      </c>
      <c r="L624" s="349">
        <f t="shared" si="272"/>
        <v>2.5774604413890748E-4</v>
      </c>
      <c r="M624" s="337">
        <f t="shared" si="273"/>
        <v>1.0000000001152773</v>
      </c>
      <c r="N624" s="340">
        <f t="shared" si="274"/>
        <v>1.5184025602239278E-5</v>
      </c>
      <c r="O624" s="355">
        <f t="shared" si="280"/>
        <v>1.000000000001485</v>
      </c>
      <c r="P624" s="342">
        <f t="shared" si="281"/>
        <v>2.1378384845570648E-5</v>
      </c>
      <c r="Q624" s="343">
        <f t="shared" si="282"/>
        <v>92.19871707762222</v>
      </c>
      <c r="R624" s="344">
        <f t="shared" si="283"/>
        <v>-45.00866574254475</v>
      </c>
      <c r="S624" s="346">
        <f t="shared" si="275"/>
        <v>134.99133425745526</v>
      </c>
      <c r="T624" s="319" t="s">
        <v>340</v>
      </c>
      <c r="W624" s="319">
        <f>Pole2</f>
        <v>1.657436684539729</v>
      </c>
      <c r="X624" s="345">
        <f t="shared" si="276"/>
        <v>94.696924731504097</v>
      </c>
      <c r="Y624" s="346">
        <f t="shared" si="277"/>
        <v>-44.986102271471786</v>
      </c>
      <c r="AA624" s="345">
        <f t="shared" si="284"/>
        <v>59.741533680508084</v>
      </c>
      <c r="AB624" s="346">
        <f t="shared" si="285"/>
        <v>-2.2563471072958741E-2</v>
      </c>
    </row>
    <row r="625" spans="1:28" x14ac:dyDescent="0.25">
      <c r="A625" s="429">
        <f>Zero2</f>
        <v>6430.5027585356102</v>
      </c>
      <c r="B625" s="354"/>
      <c r="C625" s="355">
        <f t="shared" si="265"/>
        <v>1.7652135994885998</v>
      </c>
      <c r="D625" s="348">
        <f t="shared" si="266"/>
        <v>0.96853949206621248</v>
      </c>
      <c r="E625" s="348">
        <f t="shared" si="267"/>
        <v>1.0000470145054701</v>
      </c>
      <c r="F625" s="349">
        <f t="shared" si="268"/>
        <v>9.6966657748152312E-3</v>
      </c>
      <c r="G625" s="338">
        <f t="shared" si="278"/>
        <v>1</v>
      </c>
      <c r="H625" s="339">
        <f t="shared" si="279"/>
        <v>0</v>
      </c>
      <c r="I625" s="355">
        <f t="shared" si="269"/>
        <v>3879.7880076609017</v>
      </c>
      <c r="J625" s="356">
        <f t="shared" si="270"/>
        <v>1.5705385807507577</v>
      </c>
      <c r="K625" s="348">
        <f t="shared" si="271"/>
        <v>1.4142135623730951</v>
      </c>
      <c r="L625" s="349">
        <f t="shared" si="272"/>
        <v>0.78539816339744828</v>
      </c>
      <c r="M625" s="337">
        <f t="shared" si="273"/>
        <v>1.001733738165193</v>
      </c>
      <c r="N625" s="340">
        <f t="shared" si="274"/>
        <v>5.8842790418285162E-2</v>
      </c>
      <c r="O625" s="355">
        <f t="shared" si="280"/>
        <v>1.0000281911618618</v>
      </c>
      <c r="P625" s="342">
        <f t="shared" si="281"/>
        <v>8.3036651417641591E-2</v>
      </c>
      <c r="Q625" s="343">
        <f t="shared" si="282"/>
        <v>21.492329566532046</v>
      </c>
      <c r="R625" s="344">
        <f t="shared" si="283"/>
        <v>-108.05197274271507</v>
      </c>
      <c r="S625" s="346">
        <f t="shared" si="275"/>
        <v>71.948027257284934</v>
      </c>
      <c r="T625" s="319" t="s">
        <v>335</v>
      </c>
      <c r="W625" s="319">
        <f>Zero2</f>
        <v>6430.5027585356102</v>
      </c>
      <c r="X625" s="345">
        <f t="shared" si="276"/>
        <v>28.926318411846431</v>
      </c>
      <c r="Y625" s="346">
        <f t="shared" si="277"/>
        <v>-48.356675840480783</v>
      </c>
      <c r="AA625" s="345">
        <f t="shared" si="284"/>
        <v>54.805752489075594</v>
      </c>
      <c r="AB625" s="346">
        <f t="shared" si="285"/>
        <v>-59.695296902234269</v>
      </c>
    </row>
    <row r="626" spans="1:28" x14ac:dyDescent="0.25">
      <c r="A626" s="429">
        <f>pole3</f>
        <v>110000</v>
      </c>
      <c r="B626" s="354"/>
      <c r="C626" s="355">
        <f t="shared" si="265"/>
        <v>24.903125931220767</v>
      </c>
      <c r="D626" s="348">
        <f t="shared" si="266"/>
        <v>1.5306299258642218</v>
      </c>
      <c r="E626" s="348">
        <f t="shared" si="267"/>
        <v>1.0136640853214895</v>
      </c>
      <c r="F626" s="349">
        <f t="shared" si="268"/>
        <v>0.16437937107867232</v>
      </c>
      <c r="G626" s="338">
        <f t="shared" si="278"/>
        <v>1</v>
      </c>
      <c r="H626" s="339">
        <f t="shared" si="279"/>
        <v>0</v>
      </c>
      <c r="I626" s="355">
        <f t="shared" si="269"/>
        <v>66367.542747513071</v>
      </c>
      <c r="J626" s="356">
        <f t="shared" si="270"/>
        <v>1.5707812591886747</v>
      </c>
      <c r="K626" s="348">
        <f t="shared" si="271"/>
        <v>17.135176607052706</v>
      </c>
      <c r="L626" s="349">
        <f t="shared" si="272"/>
        <v>1.5124036686482503</v>
      </c>
      <c r="M626" s="337">
        <f t="shared" si="273"/>
        <v>1.419687513049555</v>
      </c>
      <c r="N626" s="340">
        <f t="shared" si="274"/>
        <v>0.78924651135664858</v>
      </c>
      <c r="O626" s="355">
        <f t="shared" si="280"/>
        <v>1.4188308698441658</v>
      </c>
      <c r="P626" s="342" t="e">
        <f t="shared" si="281"/>
        <v>#DIV/0!</v>
      </c>
      <c r="Q626" s="343">
        <f t="shared" si="282"/>
        <v>-10.441989642866055</v>
      </c>
      <c r="R626" s="344" t="e">
        <f t="shared" si="283"/>
        <v>#DIV/0!</v>
      </c>
      <c r="S626" s="346" t="e">
        <f t="shared" si="275"/>
        <v>#DIV/0!</v>
      </c>
      <c r="T626" s="319" t="s">
        <v>333</v>
      </c>
      <c r="X626" s="345">
        <f t="shared" si="276"/>
        <v>22.902026085010469</v>
      </c>
      <c r="Y626" s="346">
        <f t="shared" si="277"/>
        <v>-48.565283707763037</v>
      </c>
      <c r="AA626" s="345">
        <f t="shared" si="284"/>
        <v>28.895725606513455</v>
      </c>
      <c r="AB626" s="346" t="e">
        <f t="shared" si="285"/>
        <v>#DIV/0!</v>
      </c>
    </row>
    <row r="627" spans="1:28" ht="13" thickBot="1" x14ac:dyDescent="0.3">
      <c r="A627" s="406">
        <f>Fp2_u</f>
        <v>104956.16848200282</v>
      </c>
      <c r="C627" s="355">
        <f>SQRT(1+(A627/pole1)^2)</f>
        <v>23.763127976970249</v>
      </c>
      <c r="D627" s="348">
        <f>ATAN(A627/pole1)</f>
        <v>1.528701894379598</v>
      </c>
      <c r="E627" s="348">
        <f>SQRT(1+(A627/Zero1)^2)</f>
        <v>1.0124472567600711</v>
      </c>
      <c r="F627" s="349">
        <f>ATAN(A627/Zero1)</f>
        <v>0.15696815989130722</v>
      </c>
      <c r="G627" s="338">
        <f t="shared" si="278"/>
        <v>1</v>
      </c>
      <c r="H627" s="339">
        <f t="shared" si="279"/>
        <v>0</v>
      </c>
      <c r="I627" s="355">
        <f>SQRT(1+(A627/Pole2)^2)</f>
        <v>63324.39089474846</v>
      </c>
      <c r="J627" s="356">
        <f>ATAN(A627/Pole2)</f>
        <v>1.5707805350914801</v>
      </c>
      <c r="K627" s="348">
        <f>SQRT(1+(A627/Zero2)^2)</f>
        <v>16.352217144731572</v>
      </c>
      <c r="L627" s="349">
        <f>ATAN(A627/Zero2)</f>
        <v>1.5096043587553478</v>
      </c>
      <c r="M627" s="337">
        <f>SQRT(1+(A627/pole4)^2)</f>
        <v>1.3872703843064202</v>
      </c>
      <c r="N627" s="340">
        <f>ATAN(A627/pole4)</f>
        <v>0.76578280987727854</v>
      </c>
      <c r="O627" s="355">
        <f t="shared" si="280"/>
        <v>1.3567352965989476</v>
      </c>
      <c r="P627" s="342">
        <f t="shared" si="281"/>
        <v>1.5047047354225265</v>
      </c>
      <c r="Q627" s="343">
        <f t="shared" si="282"/>
        <v>-9.4546189045835192</v>
      </c>
      <c r="R627" s="344">
        <f t="shared" si="283"/>
        <v>-212.18904433786511</v>
      </c>
      <c r="S627" s="346">
        <f>IF(R627&gt;0,R627,R627+180)</f>
        <v>-32.189044337865113</v>
      </c>
      <c r="T627" s="319" t="s">
        <v>345</v>
      </c>
      <c r="X627" s="357"/>
      <c r="Y627" s="358"/>
      <c r="AA627" s="345">
        <f t="shared" si="284"/>
        <v>29.681007838784478</v>
      </c>
      <c r="AB627" s="346">
        <f t="shared" si="285"/>
        <v>-164.80778454327839</v>
      </c>
    </row>
    <row r="628" spans="1:28" x14ac:dyDescent="0.25">
      <c r="A628" s="406">
        <f>z_RHP</f>
        <v>0</v>
      </c>
      <c r="C628" s="355">
        <f>SQRT(1+(A628/pole1)^2)</f>
        <v>1</v>
      </c>
      <c r="D628" s="348">
        <f>ATAN(A628/pole1)</f>
        <v>0</v>
      </c>
      <c r="E628" s="348">
        <f>SQRT(1+(A628/Zero1)^2)</f>
        <v>1</v>
      </c>
      <c r="F628" s="349">
        <f>ATAN(A628/Zero1)</f>
        <v>0</v>
      </c>
      <c r="G628" s="338">
        <f t="shared" si="278"/>
        <v>1</v>
      </c>
      <c r="H628" s="339">
        <f t="shared" si="279"/>
        <v>0</v>
      </c>
      <c r="I628" s="355">
        <f>SQRT(1+(A628/Pole2)^2)</f>
        <v>1</v>
      </c>
      <c r="J628" s="356">
        <f>ATAN(A628/Pole2)</f>
        <v>0</v>
      </c>
      <c r="K628" s="348">
        <f>SQRT(1+(A628/Zero2)^2)</f>
        <v>1</v>
      </c>
      <c r="L628" s="349">
        <f>ATAN(A628/Zero2)</f>
        <v>0</v>
      </c>
      <c r="M628" s="337">
        <f>SQRT(1+(A628/pole4)^2)</f>
        <v>1</v>
      </c>
      <c r="N628" s="340">
        <f>ATAN(A628/pole4)</f>
        <v>0</v>
      </c>
      <c r="O628" s="355">
        <f t="shared" si="280"/>
        <v>1</v>
      </c>
      <c r="P628" s="342">
        <f t="shared" si="281"/>
        <v>0</v>
      </c>
      <c r="Q628" s="343">
        <f t="shared" si="282"/>
        <v>95.209017357225719</v>
      </c>
      <c r="R628" s="344">
        <f t="shared" si="283"/>
        <v>0</v>
      </c>
      <c r="S628" s="346">
        <f>IF(R628&gt;0,R628,R628+180)</f>
        <v>180</v>
      </c>
      <c r="T628" s="319" t="s">
        <v>439</v>
      </c>
      <c r="X628" s="353"/>
      <c r="Y628" s="353"/>
      <c r="AA628" s="345">
        <f t="shared" si="284"/>
        <v>59.741534290985442</v>
      </c>
      <c r="AB628" s="346">
        <f t="shared" si="285"/>
        <v>0</v>
      </c>
    </row>
    <row r="629" spans="1:28" x14ac:dyDescent="0.25">
      <c r="A629" s="406">
        <f>Fp2_u</f>
        <v>104956.16848200282</v>
      </c>
      <c r="Q629" s="343">
        <v>-25</v>
      </c>
    </row>
    <row r="631" spans="1:28" x14ac:dyDescent="0.25">
      <c r="D631" s="319" t="s">
        <v>364</v>
      </c>
      <c r="E631" s="319" t="s">
        <v>365</v>
      </c>
    </row>
    <row r="632" spans="1:28" x14ac:dyDescent="0.25">
      <c r="A632" s="319" t="s">
        <v>337</v>
      </c>
      <c r="B632" s="319" t="s">
        <v>436</v>
      </c>
      <c r="C632" s="359">
        <f>pole1</f>
        <v>4420.681711975064</v>
      </c>
      <c r="D632" s="359">
        <f>Q622</f>
        <v>25.351475193666019</v>
      </c>
      <c r="E632" s="359">
        <f>AA622</f>
        <v>56.731324244508663</v>
      </c>
    </row>
    <row r="633" spans="1:28" x14ac:dyDescent="0.25">
      <c r="A633" s="319" t="s">
        <v>332</v>
      </c>
      <c r="B633" s="319" t="s">
        <v>446</v>
      </c>
      <c r="C633" s="359">
        <f>Zero1</f>
        <v>663145.59697398485</v>
      </c>
      <c r="D633" s="359">
        <f>Q623</f>
        <v>-64.079798115012338</v>
      </c>
      <c r="E633" s="359">
        <f>AA623</f>
        <v>-11.984248149050142</v>
      </c>
    </row>
    <row r="634" spans="1:28" x14ac:dyDescent="0.25">
      <c r="A634" s="319" t="s">
        <v>340</v>
      </c>
      <c r="B634" s="319" t="s">
        <v>447</v>
      </c>
      <c r="C634" s="359">
        <f>Pole2</f>
        <v>1.657436684539729</v>
      </c>
      <c r="D634" s="359">
        <f>Q624</f>
        <v>92.19871707762222</v>
      </c>
      <c r="E634" s="359">
        <f>AA624</f>
        <v>59.741533680508084</v>
      </c>
    </row>
    <row r="635" spans="1:28" x14ac:dyDescent="0.25">
      <c r="A635" s="319" t="s">
        <v>335</v>
      </c>
      <c r="B635" s="319" t="s">
        <v>448</v>
      </c>
      <c r="C635" s="359">
        <f>Zero2</f>
        <v>6430.5027585356102</v>
      </c>
      <c r="D635" s="359">
        <f>Q625</f>
        <v>21.492329566532046</v>
      </c>
      <c r="E635" s="359">
        <f>AA625</f>
        <v>54.805752489075594</v>
      </c>
    </row>
    <row r="636" spans="1:28" x14ac:dyDescent="0.25">
      <c r="A636" s="319" t="s">
        <v>333</v>
      </c>
      <c r="B636" s="319" t="s">
        <v>445</v>
      </c>
      <c r="C636" s="319">
        <f>pole3</f>
        <v>110000</v>
      </c>
      <c r="D636" s="359">
        <f>Q626</f>
        <v>-10.441989642866055</v>
      </c>
      <c r="E636" s="359">
        <f>AA626</f>
        <v>28.895725606513455</v>
      </c>
    </row>
    <row r="637" spans="1:28" x14ac:dyDescent="0.25">
      <c r="C637" s="406"/>
      <c r="D637" s="359"/>
      <c r="E637" s="359"/>
    </row>
    <row r="639" spans="1:28" x14ac:dyDescent="0.25">
      <c r="A639" s="359">
        <f>Q4*1000</f>
        <v>56561.5</v>
      </c>
    </row>
    <row r="640" spans="1:28" x14ac:dyDescent="0.25">
      <c r="A640" s="359">
        <f>Q4*1000</f>
        <v>56561.5</v>
      </c>
    </row>
    <row r="687" spans="30:31" x14ac:dyDescent="0.25">
      <c r="AD687" t="s">
        <v>44</v>
      </c>
      <c r="AE687" s="4">
        <f>SUM(AE689:AE1306)</f>
        <v>0</v>
      </c>
    </row>
  </sheetData>
  <mergeCells count="20">
    <mergeCell ref="Q10:S10"/>
    <mergeCell ref="X10:Y10"/>
    <mergeCell ref="AA10:AB10"/>
    <mergeCell ref="C11:D11"/>
    <mergeCell ref="E11:F11"/>
    <mergeCell ref="G11:H11"/>
    <mergeCell ref="I11:J11"/>
    <mergeCell ref="K11:L11"/>
    <mergeCell ref="M11:N11"/>
    <mergeCell ref="O11:P11"/>
    <mergeCell ref="A2:D2"/>
    <mergeCell ref="E2:G2"/>
    <mergeCell ref="J2:L2"/>
    <mergeCell ref="M2:O2"/>
    <mergeCell ref="P2:R2"/>
    <mergeCell ref="A10:A12"/>
    <mergeCell ref="B10:B11"/>
    <mergeCell ref="C10:H10"/>
    <mergeCell ref="I10:N10"/>
    <mergeCell ref="O10:P10"/>
  </mergeCells>
  <pageMargins left="0.75" right="0.75" top="1" bottom="1" header="0.5" footer="0.5"/>
  <pageSetup scale="48" orientation="portrait" horizontalDpi="300" verticalDpi="300" r:id="rId1"/>
  <headerFooter alignWithMargins="0"/>
  <colBreaks count="1" manualBreakCount="1">
    <brk id="19"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N9"/>
  <sheetViews>
    <sheetView zoomScaleNormal="100" workbookViewId="0">
      <selection activeCell="F5" sqref="F5"/>
    </sheetView>
  </sheetViews>
  <sheetFormatPr defaultRowHeight="12.5" x14ac:dyDescent="0.25"/>
  <cols>
    <col min="1" max="1" width="10.54296875" customWidth="1"/>
    <col min="2" max="2" width="129.36328125" customWidth="1"/>
  </cols>
  <sheetData>
    <row r="1" spans="1:14" x14ac:dyDescent="0.25">
      <c r="J1" s="114" t="s">
        <v>621</v>
      </c>
      <c r="N1" s="114" t="s">
        <v>623</v>
      </c>
    </row>
    <row r="2" spans="1:14" x14ac:dyDescent="0.25">
      <c r="A2" t="str">
        <f>CHOOSE(BODE_PLOT_TYPE, "BODE_PLOT_Ch1", "BODE_PLOT_Ch2")</f>
        <v>BODE_PLOT_Ch1</v>
      </c>
      <c r="J2" s="114" t="s">
        <v>622</v>
      </c>
      <c r="N2" s="114" t="s">
        <v>777</v>
      </c>
    </row>
    <row r="3" spans="1:14" x14ac:dyDescent="0.25">
      <c r="J3" s="114" t="s">
        <v>620</v>
      </c>
    </row>
    <row r="4" spans="1:14" x14ac:dyDescent="0.25">
      <c r="J4" s="114" t="s">
        <v>619</v>
      </c>
    </row>
    <row r="5" spans="1:14" ht="409.5" customHeight="1" x14ac:dyDescent="0.25">
      <c r="B5" s="537"/>
    </row>
    <row r="6" spans="1:14" ht="12" customHeight="1" x14ac:dyDescent="0.25">
      <c r="B6" s="537"/>
      <c r="F6">
        <f ca="1">INDIRECT(A2)</f>
        <v>0</v>
      </c>
    </row>
    <row r="7" spans="1:14" ht="34.5" customHeight="1" x14ac:dyDescent="0.25"/>
    <row r="8" spans="1:14" ht="409.5" customHeight="1" x14ac:dyDescent="0.25">
      <c r="B8" s="537"/>
    </row>
    <row r="9" spans="1:14" x14ac:dyDescent="0.25">
      <c r="B9" s="53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rgb="FF92D050"/>
  </sheetPr>
  <dimension ref="A1:BM209"/>
  <sheetViews>
    <sheetView topLeftCell="V1" zoomScaleNormal="100" workbookViewId="0">
      <pane ySplit="8" topLeftCell="A9" activePane="bottomLeft" state="frozen"/>
      <selection activeCell="F1" sqref="F1"/>
      <selection pane="bottomLeft" activeCell="AM9" sqref="AM9"/>
    </sheetView>
  </sheetViews>
  <sheetFormatPr defaultRowHeight="12.5" x14ac:dyDescent="0.25"/>
  <cols>
    <col min="1" max="1" width="19.90625" customWidth="1"/>
    <col min="2" max="2" width="13.08984375" bestFit="1" customWidth="1"/>
    <col min="4" max="4" width="74.54296875" customWidth="1"/>
    <col min="6" max="6" width="9.08984375" customWidth="1"/>
    <col min="7" max="7" width="6.90625" customWidth="1"/>
    <col min="8" max="8" width="9.08984375" style="547"/>
    <col min="9" max="10" width="9.90625" customWidth="1"/>
    <col min="11" max="11" width="8.08984375" customWidth="1"/>
    <col min="12" max="12" width="7.453125" customWidth="1"/>
    <col min="13" max="13" width="10.6328125" style="360" customWidth="1"/>
    <col min="14" max="16" width="8.90625" style="4" customWidth="1"/>
    <col min="17" max="17" width="12.08984375" style="4" customWidth="1"/>
    <col min="18" max="18" width="8" style="4" customWidth="1"/>
    <col min="19" max="19" width="9.453125" style="311" customWidth="1"/>
    <col min="20" max="20" width="8" customWidth="1"/>
    <col min="21" max="21" width="9.36328125" customWidth="1"/>
    <col min="22" max="22" width="8.90625" style="4" customWidth="1"/>
    <col min="23" max="23" width="9.90625" customWidth="1"/>
    <col min="24" max="24" width="10.6328125" customWidth="1"/>
    <col min="25" max="25" width="9.6328125" style="311" customWidth="1"/>
    <col min="26" max="26" width="10.54296875" customWidth="1"/>
    <col min="28" max="29" width="8.54296875" customWidth="1"/>
    <col min="30" max="30" width="11.6328125" customWidth="1"/>
    <col min="31" max="31" width="12.90625" customWidth="1"/>
    <col min="32" max="32" width="8" customWidth="1"/>
    <col min="33" max="33" width="9.90625" customWidth="1"/>
    <col min="34" max="35" width="8.90625" customWidth="1"/>
    <col min="36" max="36" width="10.54296875" customWidth="1"/>
    <col min="37" max="37" width="10.36328125" customWidth="1"/>
    <col min="38" max="38" width="13.6328125" customWidth="1"/>
    <col min="39" max="39" width="12" style="311" customWidth="1"/>
    <col min="40" max="40" width="11.54296875" customWidth="1"/>
    <col min="41" max="41" width="9.36328125" customWidth="1"/>
    <col min="42" max="43" width="10.453125" customWidth="1"/>
    <col min="44" max="44" width="14.6328125" customWidth="1"/>
    <col min="46" max="46" width="8.453125" style="4" customWidth="1"/>
    <col min="47" max="47" width="7.36328125" customWidth="1"/>
    <col min="48" max="48" width="10.08984375" style="9" customWidth="1"/>
    <col min="49" max="49" width="12.453125" style="379" customWidth="1"/>
    <col min="50" max="50" width="11.453125" style="379" customWidth="1"/>
    <col min="51" max="51" width="3.36328125" customWidth="1"/>
    <col min="52" max="52" width="7.90625" style="360" customWidth="1"/>
    <col min="53" max="53" width="9.08984375" style="311"/>
    <col min="54" max="54" width="10.36328125" style="311" customWidth="1"/>
    <col min="55" max="55" width="12.08984375" style="311" customWidth="1"/>
    <col min="56" max="56" width="8.90625" style="311" customWidth="1"/>
    <col min="57" max="57" width="7.90625" customWidth="1"/>
    <col min="61" max="61" width="28.453125" customWidth="1"/>
    <col min="64" max="64" width="12.453125" bestFit="1" customWidth="1"/>
  </cols>
  <sheetData>
    <row r="1" spans="1:65" ht="12.75" customHeight="1" x14ac:dyDescent="0.25">
      <c r="A1" s="763" t="s">
        <v>753</v>
      </c>
      <c r="B1" s="763"/>
      <c r="C1" s="763"/>
      <c r="D1" s="763"/>
    </row>
    <row r="2" spans="1:65" ht="12.75" customHeight="1" x14ac:dyDescent="0.25">
      <c r="A2" s="763"/>
      <c r="B2" s="763"/>
      <c r="C2" s="763"/>
      <c r="D2" s="763"/>
      <c r="H2" s="552">
        <f>AV19</f>
        <v>0.98441283949671765</v>
      </c>
      <c r="I2" s="114" t="s">
        <v>602</v>
      </c>
      <c r="J2" s="114"/>
      <c r="AK2" s="114"/>
    </row>
    <row r="3" spans="1:65" ht="12.75" customHeight="1" x14ac:dyDescent="0.25">
      <c r="A3" s="763"/>
      <c r="B3" s="763"/>
      <c r="C3" s="763"/>
      <c r="D3" s="763"/>
      <c r="H3" s="552">
        <f>AV59</f>
        <v>0.99227259824890679</v>
      </c>
      <c r="I3" s="114" t="s">
        <v>604</v>
      </c>
      <c r="J3" s="114"/>
      <c r="AK3" s="114"/>
      <c r="AP3">
        <f>IF(MODE=1, (Qg_Q1+Qg_Q2)*Fsw*Vin, (Qg_Q1+Qg_Q2+Qg_Q3+Qg_Q4)*Fsw*Vin)</f>
        <v>0.56430000000000002</v>
      </c>
    </row>
    <row r="4" spans="1:65" ht="12.75" customHeight="1" x14ac:dyDescent="0.25">
      <c r="A4" s="763"/>
      <c r="B4" s="763"/>
      <c r="C4" s="763"/>
      <c r="D4" s="763"/>
      <c r="H4" s="552">
        <f>AV109</f>
        <v>0.98944617723058326</v>
      </c>
      <c r="I4" s="114" t="s">
        <v>603</v>
      </c>
      <c r="J4" s="114"/>
      <c r="AK4" s="114"/>
      <c r="AO4" s="114" t="s">
        <v>815</v>
      </c>
      <c r="AP4">
        <f>(Qg_Q1+Qg_Q2)*Fsw*1000</f>
        <v>5.28</v>
      </c>
      <c r="AQ4" s="114" t="s">
        <v>64</v>
      </c>
      <c r="AR4">
        <f>AP4*5/1000</f>
        <v>2.6400000000000003E-2</v>
      </c>
    </row>
    <row r="5" spans="1:65" ht="13" x14ac:dyDescent="0.3">
      <c r="A5" s="10"/>
      <c r="B5" s="11"/>
      <c r="C5" s="6"/>
      <c r="D5" s="6"/>
    </row>
    <row r="6" spans="1:65" ht="13.5" customHeight="1" thickBot="1" x14ac:dyDescent="0.3">
      <c r="A6" s="764" t="s">
        <v>474</v>
      </c>
      <c r="B6" s="764"/>
      <c r="C6" s="764"/>
      <c r="D6" s="764"/>
    </row>
    <row r="7" spans="1:65" ht="13.5" thickBot="1" x14ac:dyDescent="0.35">
      <c r="A7" s="764"/>
      <c r="B7" s="764"/>
      <c r="C7" s="764"/>
      <c r="D7" s="764"/>
      <c r="G7" s="756" t="s">
        <v>595</v>
      </c>
      <c r="H7" s="757"/>
      <c r="I7" s="757"/>
      <c r="J7" s="757"/>
      <c r="K7" s="757"/>
      <c r="L7" s="757"/>
      <c r="M7" s="757"/>
      <c r="N7" s="758"/>
      <c r="O7" s="651"/>
      <c r="P7" s="651"/>
      <c r="Q7" s="651"/>
      <c r="R7" s="756" t="s">
        <v>485</v>
      </c>
      <c r="S7" s="757"/>
      <c r="T7" s="757"/>
      <c r="U7" s="758"/>
      <c r="V7" s="765" t="s">
        <v>25</v>
      </c>
      <c r="W7" s="766"/>
      <c r="X7" s="767"/>
      <c r="Y7" s="756" t="s">
        <v>57</v>
      </c>
      <c r="Z7" s="757"/>
      <c r="AA7" s="758"/>
      <c r="AB7" s="756" t="s">
        <v>592</v>
      </c>
      <c r="AC7" s="757"/>
      <c r="AD7" s="757"/>
      <c r="AE7" s="757"/>
      <c r="AF7" s="757"/>
      <c r="AG7" s="758"/>
      <c r="AH7" s="756" t="s">
        <v>593</v>
      </c>
      <c r="AI7" s="757"/>
      <c r="AJ7" s="757"/>
      <c r="AK7" s="758"/>
      <c r="AL7" s="466" t="s">
        <v>201</v>
      </c>
      <c r="AM7" s="468" t="s">
        <v>458</v>
      </c>
      <c r="AN7" s="467" t="s">
        <v>503</v>
      </c>
      <c r="AO7" s="759" t="s">
        <v>492</v>
      </c>
      <c r="AP7" s="760"/>
      <c r="AQ7" s="760"/>
      <c r="AR7" s="761"/>
      <c r="AS7" s="762"/>
      <c r="AT7" s="756" t="s">
        <v>500</v>
      </c>
      <c r="AU7" s="757"/>
      <c r="AV7" s="757"/>
      <c r="AW7" s="757"/>
      <c r="AX7" s="757"/>
      <c r="AY7" s="543"/>
      <c r="AZ7" s="755" t="s">
        <v>501</v>
      </c>
      <c r="BA7" s="755"/>
      <c r="BB7" s="755"/>
      <c r="BC7" s="755"/>
      <c r="BD7" s="755"/>
      <c r="BE7" s="755"/>
    </row>
    <row r="8" spans="1:65" ht="65.5" thickBot="1" x14ac:dyDescent="0.65">
      <c r="A8" s="606" t="s">
        <v>108</v>
      </c>
      <c r="B8" s="13"/>
      <c r="C8" s="13"/>
      <c r="D8" s="6"/>
      <c r="G8" s="451" t="s">
        <v>53</v>
      </c>
      <c r="H8" s="538" t="s">
        <v>3</v>
      </c>
      <c r="I8" s="538" t="s">
        <v>594</v>
      </c>
      <c r="J8" s="538" t="s">
        <v>5</v>
      </c>
      <c r="K8" s="452" t="s">
        <v>774</v>
      </c>
      <c r="L8" s="452" t="s">
        <v>305</v>
      </c>
      <c r="M8" s="463" t="s">
        <v>596</v>
      </c>
      <c r="N8" s="540" t="s">
        <v>486</v>
      </c>
      <c r="O8" s="652" t="s">
        <v>830</v>
      </c>
      <c r="P8" s="652" t="s">
        <v>831</v>
      </c>
      <c r="Q8" s="652" t="s">
        <v>832</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828</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ht="13" x14ac:dyDescent="0.3">
      <c r="A9" s="14" t="s">
        <v>55</v>
      </c>
      <c r="B9" s="15" t="s">
        <v>111</v>
      </c>
      <c r="C9" s="16" t="s">
        <v>76</v>
      </c>
      <c r="D9" s="17" t="s">
        <v>107</v>
      </c>
      <c r="G9">
        <v>0</v>
      </c>
      <c r="H9" s="548">
        <f t="shared" ref="H9:H40" si="0">Vin</f>
        <v>45</v>
      </c>
      <c r="I9" s="4">
        <f t="shared" ref="I9:I40" si="1">MODE</f>
        <v>2</v>
      </c>
      <c r="J9">
        <v>0</v>
      </c>
      <c r="K9" s="360">
        <f t="shared" ref="K9:K40" si="2">Iout*G9/100/Number_of_Phases</f>
        <v>0</v>
      </c>
      <c r="L9" s="4">
        <f t="shared" ref="L9:L40" si="3">Vout*K9/(Vin*Efficiency)</f>
        <v>0</v>
      </c>
      <c r="M9" s="360">
        <f t="shared" ref="M9:M40" si="4">(Vout+(Rdson2+Rs+Rdcr)*K9)/(Vin+(Rs+Rdson2-Rdson1)*K9)</f>
        <v>0.53333333333333333</v>
      </c>
      <c r="N9" s="4">
        <f t="shared" ref="N9:N40" si="5">(Vin-(Rdson1+Rdcr)*K9-Vout)*M9/(Fsw*Lf)</f>
        <v>5.0909090909090899</v>
      </c>
      <c r="O9" s="4">
        <f>K9+N9/2</f>
        <v>2.545454545454545</v>
      </c>
      <c r="P9" s="4">
        <f>K9-N9/2</f>
        <v>-2.545454545454545</v>
      </c>
      <c r="Q9" s="4">
        <f t="shared" ref="Q9:Q40" si="6">IF(MIN(Vin, -P9/(Coss_Q1+Coss_Q2)*0.00000002)&lt;0, 0, MIN(Vin, -P9/(Coss_Q1+Coss_Q2)*0.00000002))</f>
        <v>44.657097288676226</v>
      </c>
      <c r="R9" s="4">
        <f>SQRT(K9^2+(N9^2)/12)</f>
        <v>1.469618867028138</v>
      </c>
      <c r="S9" s="360">
        <f t="shared" ref="S9:S40" si="7">R9^2*Rdcr</f>
        <v>3.0236914600550954E-3</v>
      </c>
      <c r="T9" s="360">
        <f t="shared" ref="T9:T40" si="8">Core_Loss_Ch1</f>
        <v>0.3</v>
      </c>
      <c r="U9" s="360">
        <f t="shared" ref="U9:U40" si="9">(T9+S9*(1+Ltc*(Ta-25)))/(1-S9*Ltc*ThetaCa)</f>
        <v>0.30309700920711974</v>
      </c>
      <c r="V9" s="4">
        <f>N9/SQRT(12)</f>
        <v>1.469618867028138</v>
      </c>
      <c r="W9" s="360">
        <f t="shared" ref="W9:W73" si="10">RCoutEsr*V9^2</f>
        <v>4.3195592286501359E-3</v>
      </c>
      <c r="X9" s="360">
        <f>W9</f>
        <v>4.3195592286501359E-3</v>
      </c>
      <c r="Y9" s="4">
        <f>SQRT(M9*(1-M9))*SQRT(K9^2+(N9^2)/12)</f>
        <v>0.73317470527442452</v>
      </c>
      <c r="Z9" s="360">
        <f t="shared" ref="Z9:Z73" si="11">RCinEsr*Y9^2</f>
        <v>8.0631772268135895E-4</v>
      </c>
      <c r="AA9" s="541">
        <f>Z9</f>
        <v>8.0631772268135895E-4</v>
      </c>
      <c r="AB9" s="360">
        <f>SQRT(M9)*SQRT(K9^2+(N9^2)/12)</f>
        <v>1.0732578725419952</v>
      </c>
      <c r="AC9" s="360">
        <f t="shared" ref="AC9:AC40" si="12">Rdson1*AB9^2</f>
        <v>2.0733884297520653E-3</v>
      </c>
      <c r="AD9" s="360">
        <f t="shared" ref="AD9:AD40" si="13">(Vin*K9/2)*Fsw*(Tr_buck+Tf_buck)</f>
        <v>0</v>
      </c>
      <c r="AE9" s="360">
        <f t="shared" ref="AE9:AE40" si="14">(0.5*Coss_Q1*(Vin-Q9)^2-0.5*Coss_Q2*(Vin-Q9)^2+(Qoss_Q2*(Vin-Q9)/Vin)*Vin)*Fsw</f>
        <v>3.0175438596492087E-3</v>
      </c>
      <c r="AF9" s="360">
        <f t="shared" ref="AF9:AF40" si="15">IF(K9&gt;N9/2,0,ABS(K9-N9/2)*Vsd_Q1*Deadtime*Fsw)</f>
        <v>0</v>
      </c>
      <c r="AG9" s="360">
        <f t="shared" ref="AG9:AG40" si="16">(AF9+AE9+AD9+AC9*(1+RdsonTopTc*Ta-RdsonTopTc*25))/(1-AC9*RdsonTopTc*ThetaJA_Q1)</f>
        <v>5.0925372281818574E-3</v>
      </c>
      <c r="AH9" s="360">
        <f t="shared" ref="AH9:AH40" si="17">SQRT((1-M9))*SQRT(K9^2+(N9^2)/12)</f>
        <v>1.0039408116775104</v>
      </c>
      <c r="AI9" s="360">
        <f t="shared" ref="AI9:AI40" si="18">Rdson2*AH9^2</f>
        <v>1.8142148760330568E-3</v>
      </c>
      <c r="AJ9" s="360">
        <f t="shared" ref="AJ9:AJ40" si="19">IF(K9&lt;N9/2,Deadtime*Fsw*IF(VfdSky_Q2&gt;0,0,Vsd_Q2)*(K9+N9/2),2*Deadtime*Fsw*IF(VfdSky_Q2&gt;0,0,Vsd_Q2)*K9)</f>
        <v>0</v>
      </c>
      <c r="AK9" s="360">
        <f t="shared" ref="AK9:AK40" si="20">(AJ9+AI9*(1+RdsonBotTc*Ta-RdsonBotTc*25))/(1-AI9*RdsonBotTc*ThetaJA_Q2)</f>
        <v>1.8147153031248583E-3</v>
      </c>
      <c r="AL9" s="360">
        <f t="shared" ref="AL9:AL40" si="21">2*Deadtime*Fsw*IF(VfdSky_Q2&gt;0,VfdSky_Q2,Vsd_Q2)*K9</f>
        <v>0</v>
      </c>
      <c r="AM9" s="360">
        <f t="shared" ref="AM9:AM40" si="22">IF(QrrSky_Q2&gt;0,QrrSky_Q2,Qrr_Q2*K9/(Iout/Number_of_Phases))*Fsw*Vin</f>
        <v>4.4549999999999999E-2</v>
      </c>
      <c r="AN9" s="360">
        <f t="shared" ref="AN9:AN40" si="23">CHOOSE(SENSING_TYPE, Rs*R9^2, 0)</f>
        <v>4.7515151515151498E-3</v>
      </c>
      <c r="AO9" s="360">
        <f t="shared" ref="AO9:AO40" si="24">Iq*Vin</f>
        <v>1.5749999999999998E-3</v>
      </c>
      <c r="AP9" s="360">
        <f t="shared" ref="AP9:AP40" si="25">IF(Ext_VCC=1,  (Qg_Q1+Qg_Q2)*Fsw*VCC, (Qg_Q1+Qg_Q2)*Fsw*Vin)</f>
        <v>0.23760000000000001</v>
      </c>
      <c r="AQ9" s="360">
        <f t="shared" ref="AQ9:AQ72" si="26">(Vin-VCC)*Fsw*(Qg_Q1+Qg_Q2)+(RdsonDRT+RdsonDRT2)*Fsw*Qg_Q1*VCC/(RdsonDRT+2*Rgate1+RdsonDRT2)+(RdsonDRB+RdsonDRB2)*Fsw*Qg_Q2*VCC/(RdsonDRB+2*Rgate2+RdsonDRB2)</f>
        <v>0.22704000000000002</v>
      </c>
      <c r="AR9" s="360">
        <f t="shared" ref="AR9:AR40" si="27">(Qg_Q1+Qg_Q2)*Fsw*(Vin-VCC)</f>
        <v>0.2112</v>
      </c>
      <c r="AS9" s="360">
        <f t="shared" ref="AS9:AS40" si="28">SUM(AO9:AP9)</f>
        <v>0.239175</v>
      </c>
      <c r="AT9" s="360">
        <f t="shared" ref="AT9:AT40" si="29" xml:space="preserve"> SUM(U9,X9,AA9,AG9,AK9,AL9,AM9,AS9,AN9)</f>
        <v>0.6036066538412731</v>
      </c>
      <c r="AU9">
        <f t="shared" ref="AU9:AU40" si="30">Vout*K9</f>
        <v>0</v>
      </c>
      <c r="AV9" s="542">
        <f>AU9/(AU9+AT9)</f>
        <v>0</v>
      </c>
      <c r="AW9" s="551">
        <f t="shared" ref="AW9:AW40" si="31">ThetaJA_Q1*BC9</f>
        <v>1.3108304146709107</v>
      </c>
      <c r="AX9" s="551">
        <f t="shared" ref="AX9:AX40" si="32">ThetaJA_Q2*BD9</f>
        <v>0.62761618151874465</v>
      </c>
      <c r="AZ9" s="4">
        <f>AV9*100</f>
        <v>0</v>
      </c>
      <c r="BA9" s="360">
        <f t="shared" ref="BA9:BA40" si="33">U9</f>
        <v>0.30309700920711974</v>
      </c>
      <c r="BB9" s="360">
        <f t="shared" ref="BB9:BB40" si="34">AG9+AK9+AM9</f>
        <v>5.1457252531306716E-2</v>
      </c>
      <c r="BC9" s="360">
        <f t="shared" ref="BC9:BC40" si="35">AG9+AM9*0.66</f>
        <v>3.4495537228181862E-2</v>
      </c>
      <c r="BD9" s="360">
        <f t="shared" ref="BD9:BD40" si="36">AK9+AM9*0.33</f>
        <v>1.6516215303124859E-2</v>
      </c>
      <c r="BE9" s="360">
        <f t="shared" ref="BE9:BE40" si="37">AN9</f>
        <v>4.7515151515151498E-3</v>
      </c>
      <c r="BJ9" s="18"/>
      <c r="BK9" s="18"/>
      <c r="BL9" s="18"/>
      <c r="BM9" s="19"/>
    </row>
    <row r="10" spans="1:65" ht="13" x14ac:dyDescent="0.3">
      <c r="A10" s="495"/>
      <c r="B10" s="24"/>
      <c r="C10" s="16"/>
      <c r="D10" s="17"/>
      <c r="G10">
        <v>1</v>
      </c>
      <c r="H10" s="548">
        <f t="shared" si="0"/>
        <v>45</v>
      </c>
      <c r="I10" s="4">
        <f t="shared" si="1"/>
        <v>2</v>
      </c>
      <c r="J10" s="360">
        <f t="shared" ref="J10:J41" si="38">Iout*G10/100</f>
        <v>0.6</v>
      </c>
      <c r="K10" s="360">
        <f t="shared" si="2"/>
        <v>0.3</v>
      </c>
      <c r="L10" s="4">
        <f t="shared" si="3"/>
        <v>0.17777777777777776</v>
      </c>
      <c r="M10" s="360">
        <f t="shared" si="4"/>
        <v>0.53336151069784299</v>
      </c>
      <c r="N10" s="4">
        <f t="shared" si="5"/>
        <v>5.090945317092924</v>
      </c>
      <c r="O10" s="4">
        <f t="shared" ref="O10:O73" si="39">K10+N10/2</f>
        <v>2.8454726585464618</v>
      </c>
      <c r="P10" s="4">
        <f t="shared" ref="P10:P73" si="40">K10-N10/2</f>
        <v>-2.2454726585464622</v>
      </c>
      <c r="Q10" s="4">
        <f t="shared" si="6"/>
        <v>39.394257167481797</v>
      </c>
      <c r="R10" s="4">
        <f t="shared" ref="R10:R73" si="41">SQRT(K10^2+(N10^2)/12)</f>
        <v>1.4999367826020304</v>
      </c>
      <c r="S10" s="360">
        <f t="shared" si="7"/>
        <v>3.1497344925235432E-3</v>
      </c>
      <c r="T10" s="360">
        <f t="shared" si="8"/>
        <v>0.3</v>
      </c>
      <c r="U10" s="360">
        <f t="shared" si="9"/>
        <v>0.30322614103936085</v>
      </c>
      <c r="V10" s="4">
        <f t="shared" ref="V10:V73" si="42">N10/SQRT(12)</f>
        <v>1.4696293246266323</v>
      </c>
      <c r="W10" s="360">
        <f t="shared" si="10"/>
        <v>4.3196207036050628E-3</v>
      </c>
      <c r="X10" s="360">
        <f t="shared" ref="X10:X73" si="43">W10</f>
        <v>4.3196207036050628E-3</v>
      </c>
      <c r="Y10" s="4">
        <f t="shared" ref="Y10:Y73" si="44">SQRT(M10*(1-M10))*SQRT(K10^2+(N10^2)/12)</f>
        <v>0.74829711387667397</v>
      </c>
      <c r="Z10" s="360">
        <f t="shared" si="11"/>
        <v>8.3992285595423999E-4</v>
      </c>
      <c r="AA10" s="541">
        <f t="shared" ref="AA10:AA73" si="45">Z10</f>
        <v>8.3992285595423999E-4</v>
      </c>
      <c r="AB10" s="360">
        <f t="shared" ref="AB10:AB73" si="46">SQRT(M10)*SQRT(K10^2+(N10^2)/12)</f>
        <v>1.0954278835327516</v>
      </c>
      <c r="AC10" s="360">
        <f t="shared" si="12"/>
        <v>2.1599320464378781E-3</v>
      </c>
      <c r="AD10" s="360">
        <f t="shared" si="13"/>
        <v>7.7066379310344818E-3</v>
      </c>
      <c r="AE10" s="360">
        <f t="shared" si="14"/>
        <v>4.9330536926160184E-2</v>
      </c>
      <c r="AF10" s="360">
        <f t="shared" si="15"/>
        <v>0</v>
      </c>
      <c r="AG10" s="360">
        <f t="shared" si="16"/>
        <v>5.9216548269116001E-2</v>
      </c>
      <c r="AH10" s="360">
        <f t="shared" si="17"/>
        <v>1.0246209561498767</v>
      </c>
      <c r="AI10" s="360">
        <f t="shared" si="18"/>
        <v>1.8897265868066775E-3</v>
      </c>
      <c r="AJ10" s="360">
        <f t="shared" si="19"/>
        <v>0</v>
      </c>
      <c r="AK10" s="360">
        <f t="shared" si="20"/>
        <v>1.8902695448841877E-3</v>
      </c>
      <c r="AL10" s="360">
        <f t="shared" si="21"/>
        <v>1.3305599999999997E-3</v>
      </c>
      <c r="AM10" s="360">
        <f t="shared" si="22"/>
        <v>4.4549999999999999E-2</v>
      </c>
      <c r="AN10" s="360">
        <f t="shared" si="23"/>
        <v>4.949582773965568E-3</v>
      </c>
      <c r="AO10" s="360">
        <f t="shared" si="24"/>
        <v>1.5749999999999998E-3</v>
      </c>
      <c r="AP10" s="360">
        <f t="shared" si="25"/>
        <v>0.23760000000000001</v>
      </c>
      <c r="AQ10" s="360">
        <f t="shared" si="26"/>
        <v>0.22704000000000002</v>
      </c>
      <c r="AR10" s="360">
        <f t="shared" si="27"/>
        <v>0.2112</v>
      </c>
      <c r="AS10" s="360">
        <f t="shared" si="28"/>
        <v>0.239175</v>
      </c>
      <c r="AT10" s="360">
        <f t="shared" si="29"/>
        <v>0.65949764518688592</v>
      </c>
      <c r="AU10">
        <f t="shared" si="30"/>
        <v>7.1999999999999993</v>
      </c>
      <c r="AV10" s="542">
        <f t="shared" ref="AV10:AV73" si="47">AU10/(AU10+AT10)</f>
        <v>0.91608908419347146</v>
      </c>
      <c r="AW10" s="551">
        <f t="shared" si="31"/>
        <v>3.3675428342264082</v>
      </c>
      <c r="AX10" s="551">
        <f t="shared" si="32"/>
        <v>0.63048724270559919</v>
      </c>
      <c r="AY10" s="9"/>
      <c r="AZ10" s="4">
        <f t="shared" ref="AZ10:AZ73" si="48">AV10*100</f>
        <v>91.608908419347145</v>
      </c>
      <c r="BA10" s="360">
        <f t="shared" si="33"/>
        <v>0.30322614103936085</v>
      </c>
      <c r="BB10" s="360">
        <f t="shared" si="34"/>
        <v>0.10565681781400019</v>
      </c>
      <c r="BC10" s="360">
        <f t="shared" si="35"/>
        <v>8.8619548269116E-2</v>
      </c>
      <c r="BD10" s="360">
        <f t="shared" si="36"/>
        <v>1.6591769544884189E-2</v>
      </c>
      <c r="BE10" s="360">
        <f t="shared" si="37"/>
        <v>4.949582773965568E-3</v>
      </c>
      <c r="BJ10" s="18"/>
      <c r="BK10" s="18"/>
      <c r="BL10" s="18"/>
      <c r="BM10" s="19"/>
    </row>
    <row r="11" spans="1:65" x14ac:dyDescent="0.25">
      <c r="A11" s="20" t="s">
        <v>3</v>
      </c>
      <c r="B11" s="5">
        <f>Vin</f>
        <v>45</v>
      </c>
      <c r="C11" s="440" t="s">
        <v>0</v>
      </c>
      <c r="D11" s="21" t="s">
        <v>3</v>
      </c>
      <c r="G11">
        <v>2</v>
      </c>
      <c r="H11" s="548">
        <f t="shared" si="0"/>
        <v>45</v>
      </c>
      <c r="I11" s="4">
        <f t="shared" si="1"/>
        <v>2</v>
      </c>
      <c r="J11" s="360">
        <f t="shared" si="38"/>
        <v>1.2</v>
      </c>
      <c r="K11" s="360">
        <f t="shared" si="2"/>
        <v>0.6</v>
      </c>
      <c r="L11" s="4">
        <f t="shared" si="3"/>
        <v>0.35555555555555551</v>
      </c>
      <c r="M11" s="360">
        <f t="shared" si="4"/>
        <v>0.53338968723584113</v>
      </c>
      <c r="N11" s="4">
        <f t="shared" si="5"/>
        <v>5.0909815107968956</v>
      </c>
      <c r="O11" s="4">
        <f t="shared" si="39"/>
        <v>3.1454907553984479</v>
      </c>
      <c r="P11" s="4">
        <f t="shared" si="40"/>
        <v>-1.9454907553984477</v>
      </c>
      <c r="Q11" s="4">
        <f t="shared" si="6"/>
        <v>34.131416761376279</v>
      </c>
      <c r="R11" s="4">
        <f t="shared" si="41"/>
        <v>1.587400725065871</v>
      </c>
      <c r="S11" s="360">
        <f t="shared" si="7"/>
        <v>3.527777486715514E-3</v>
      </c>
      <c r="T11" s="360">
        <f t="shared" si="8"/>
        <v>0.3</v>
      </c>
      <c r="U11" s="360">
        <f t="shared" si="9"/>
        <v>0.30361346394613736</v>
      </c>
      <c r="V11" s="4">
        <f t="shared" si="42"/>
        <v>1.4696397728489978</v>
      </c>
      <c r="W11" s="360">
        <f t="shared" si="10"/>
        <v>4.3196821238793079E-3</v>
      </c>
      <c r="X11" s="360">
        <f t="shared" si="43"/>
        <v>4.3196821238793079E-3</v>
      </c>
      <c r="Y11" s="4">
        <f t="shared" si="44"/>
        <v>0.7919286377078677</v>
      </c>
      <c r="Z11" s="360">
        <f t="shared" si="11"/>
        <v>9.4072645083275873E-4</v>
      </c>
      <c r="AA11" s="541">
        <f t="shared" si="45"/>
        <v>9.4072645083275873E-4</v>
      </c>
      <c r="AB11" s="360">
        <f t="shared" si="46"/>
        <v>1.159334824764624</v>
      </c>
      <c r="AC11" s="360">
        <f t="shared" si="12"/>
        <v>2.4193030246416388E-3</v>
      </c>
      <c r="AD11" s="360">
        <f t="shared" si="13"/>
        <v>1.5413275862068964E-2</v>
      </c>
      <c r="AE11" s="360">
        <f t="shared" si="14"/>
        <v>9.5643532499888745E-2</v>
      </c>
      <c r="AF11" s="360">
        <f t="shared" si="15"/>
        <v>0</v>
      </c>
      <c r="AG11" s="360">
        <f t="shared" si="16"/>
        <v>0.11351785576855472</v>
      </c>
      <c r="AH11" s="360">
        <f t="shared" si="17"/>
        <v>1.0843356611435555</v>
      </c>
      <c r="AI11" s="360">
        <f t="shared" si="18"/>
        <v>2.1164108868497369E-3</v>
      </c>
      <c r="AJ11" s="360">
        <f t="shared" si="19"/>
        <v>0</v>
      </c>
      <c r="AK11" s="360">
        <f t="shared" si="20"/>
        <v>2.1170919435882932E-3</v>
      </c>
      <c r="AL11" s="360">
        <f t="shared" si="21"/>
        <v>2.6611199999999995E-3</v>
      </c>
      <c r="AM11" s="360">
        <f t="shared" si="22"/>
        <v>4.4549999999999999E-2</v>
      </c>
      <c r="AN11" s="360">
        <f t="shared" si="23"/>
        <v>5.5436503362672369E-3</v>
      </c>
      <c r="AO11" s="360">
        <f t="shared" si="24"/>
        <v>1.5749999999999998E-3</v>
      </c>
      <c r="AP11" s="360">
        <f t="shared" si="25"/>
        <v>0.23760000000000001</v>
      </c>
      <c r="AQ11" s="360">
        <f t="shared" si="26"/>
        <v>0.22704000000000002</v>
      </c>
      <c r="AR11" s="360">
        <f t="shared" si="27"/>
        <v>0.2112</v>
      </c>
      <c r="AS11" s="360">
        <f t="shared" si="28"/>
        <v>0.239175</v>
      </c>
      <c r="AT11" s="360">
        <f t="shared" si="29"/>
        <v>0.71643859056925963</v>
      </c>
      <c r="AU11">
        <f t="shared" si="30"/>
        <v>14.399999999999999</v>
      </c>
      <c r="AV11" s="542">
        <f t="shared" si="47"/>
        <v>0.95260533185268748</v>
      </c>
      <c r="AW11" s="551">
        <f t="shared" si="31"/>
        <v>5.4309925192050796</v>
      </c>
      <c r="AX11" s="551">
        <f t="shared" si="32"/>
        <v>0.63910649385635521</v>
      </c>
      <c r="AY11" s="9"/>
      <c r="AZ11" s="4">
        <f t="shared" si="48"/>
        <v>95.260533185268741</v>
      </c>
      <c r="BA11" s="360">
        <f t="shared" si="33"/>
        <v>0.30361346394613736</v>
      </c>
      <c r="BB11" s="360">
        <f t="shared" si="34"/>
        <v>0.16018494771214301</v>
      </c>
      <c r="BC11" s="360">
        <f t="shared" si="35"/>
        <v>0.14292085576855473</v>
      </c>
      <c r="BD11" s="360">
        <f t="shared" si="36"/>
        <v>1.6818591943588295E-2</v>
      </c>
      <c r="BE11" s="360">
        <f t="shared" si="37"/>
        <v>5.5436503362672369E-3</v>
      </c>
      <c r="BJ11" s="18"/>
      <c r="BK11" s="18"/>
      <c r="BL11" s="18"/>
      <c r="BM11" s="19"/>
    </row>
    <row r="12" spans="1:65" x14ac:dyDescent="0.25">
      <c r="A12" s="22" t="s">
        <v>4</v>
      </c>
      <c r="B12" s="5">
        <f>Vout</f>
        <v>24</v>
      </c>
      <c r="C12" s="440" t="s">
        <v>0</v>
      </c>
      <c r="D12" s="21" t="s">
        <v>4</v>
      </c>
      <c r="G12">
        <v>3</v>
      </c>
      <c r="H12" s="548">
        <f t="shared" si="0"/>
        <v>45</v>
      </c>
      <c r="I12" s="4">
        <f t="shared" si="1"/>
        <v>2</v>
      </c>
      <c r="J12" s="360">
        <f t="shared" si="38"/>
        <v>1.8</v>
      </c>
      <c r="K12" s="360">
        <f t="shared" si="2"/>
        <v>0.9</v>
      </c>
      <c r="L12" s="4">
        <f t="shared" si="3"/>
        <v>0.53333333333333333</v>
      </c>
      <c r="M12" s="360">
        <f t="shared" si="4"/>
        <v>0.5334178629473636</v>
      </c>
      <c r="N12" s="4">
        <f t="shared" si="5"/>
        <v>5.0910176720224305</v>
      </c>
      <c r="O12" s="4">
        <f t="shared" si="39"/>
        <v>3.4455088360112152</v>
      </c>
      <c r="P12" s="4">
        <f t="shared" si="40"/>
        <v>-1.6455088360112153</v>
      </c>
      <c r="Q12" s="4">
        <f t="shared" si="6"/>
        <v>28.8685760703722</v>
      </c>
      <c r="R12" s="4">
        <f t="shared" si="41"/>
        <v>1.7233315829337827</v>
      </c>
      <c r="S12" s="360">
        <f t="shared" si="7"/>
        <v>4.1578204426318804E-3</v>
      </c>
      <c r="T12" s="360">
        <f t="shared" si="8"/>
        <v>0.3</v>
      </c>
      <c r="U12" s="360">
        <f t="shared" si="9"/>
        <v>0.3042590247940834</v>
      </c>
      <c r="V12" s="4">
        <f t="shared" si="42"/>
        <v>1.4696502116956462</v>
      </c>
      <c r="W12" s="360">
        <f t="shared" si="10"/>
        <v>4.3197434894741158E-3</v>
      </c>
      <c r="X12" s="360">
        <f t="shared" si="43"/>
        <v>4.3197434894741158E-3</v>
      </c>
      <c r="Y12" s="4">
        <f t="shared" si="44"/>
        <v>0.85973910073277404</v>
      </c>
      <c r="Z12" s="360">
        <f t="shared" si="11"/>
        <v>1.1087269819931985E-3</v>
      </c>
      <c r="AA12" s="541">
        <f t="shared" si="45"/>
        <v>1.1087269819931985E-3</v>
      </c>
      <c r="AB12" s="360">
        <f t="shared" si="46"/>
        <v>1.2586431739398578</v>
      </c>
      <c r="AC12" s="360">
        <f t="shared" si="12"/>
        <v>2.8515287507497183E-3</v>
      </c>
      <c r="AD12" s="360">
        <f t="shared" si="13"/>
        <v>2.3119913793103446E-2</v>
      </c>
      <c r="AE12" s="360">
        <f t="shared" si="14"/>
        <v>0.14195653058072463</v>
      </c>
      <c r="AF12" s="360">
        <f t="shared" si="15"/>
        <v>0</v>
      </c>
      <c r="AG12" s="360">
        <f t="shared" si="16"/>
        <v>0.16800079010521413</v>
      </c>
      <c r="AH12" s="360">
        <f t="shared" si="17"/>
        <v>1.1771529660293338</v>
      </c>
      <c r="AI12" s="360">
        <f t="shared" si="18"/>
        <v>2.4942403897769846E-3</v>
      </c>
      <c r="AJ12" s="360">
        <f t="shared" si="19"/>
        <v>0</v>
      </c>
      <c r="AK12" s="360">
        <f t="shared" si="20"/>
        <v>2.4951863761621803E-3</v>
      </c>
      <c r="AL12" s="360">
        <f t="shared" si="21"/>
        <v>3.9916799999999992E-3</v>
      </c>
      <c r="AM12" s="360">
        <f t="shared" si="22"/>
        <v>4.4549999999999999E-2</v>
      </c>
      <c r="AN12" s="360">
        <f t="shared" si="23"/>
        <v>6.5337178384215263E-3</v>
      </c>
      <c r="AO12" s="360">
        <f t="shared" si="24"/>
        <v>1.5749999999999998E-3</v>
      </c>
      <c r="AP12" s="360">
        <f t="shared" si="25"/>
        <v>0.23760000000000001</v>
      </c>
      <c r="AQ12" s="360">
        <f t="shared" si="26"/>
        <v>0.22704000000000002</v>
      </c>
      <c r="AR12" s="360">
        <f t="shared" si="27"/>
        <v>0.2112</v>
      </c>
      <c r="AS12" s="360">
        <f t="shared" si="28"/>
        <v>0.239175</v>
      </c>
      <c r="AT12" s="360">
        <f t="shared" si="29"/>
        <v>0.77443386958534854</v>
      </c>
      <c r="AU12">
        <f t="shared" si="30"/>
        <v>21.6</v>
      </c>
      <c r="AV12" s="542">
        <f t="shared" si="47"/>
        <v>0.96538755464834025</v>
      </c>
      <c r="AW12" s="551">
        <f t="shared" si="31"/>
        <v>7.5013440239981373</v>
      </c>
      <c r="AX12" s="551">
        <f t="shared" si="32"/>
        <v>0.65347408229416282</v>
      </c>
      <c r="AY12" s="9"/>
      <c r="AZ12" s="4">
        <f t="shared" si="48"/>
        <v>96.538755464834026</v>
      </c>
      <c r="BA12" s="360">
        <f t="shared" si="33"/>
        <v>0.3042590247940834</v>
      </c>
      <c r="BB12" s="360">
        <f t="shared" si="34"/>
        <v>0.2150459764813763</v>
      </c>
      <c r="BC12" s="360">
        <f t="shared" si="35"/>
        <v>0.19740379010521414</v>
      </c>
      <c r="BD12" s="360">
        <f t="shared" si="36"/>
        <v>1.719668637616218E-2</v>
      </c>
      <c r="BE12" s="360">
        <f t="shared" si="37"/>
        <v>6.5337178384215263E-3</v>
      </c>
      <c r="BJ12" s="18"/>
      <c r="BK12" s="18"/>
      <c r="BL12" s="18"/>
      <c r="BM12" s="19"/>
    </row>
    <row r="13" spans="1:65" x14ac:dyDescent="0.25">
      <c r="A13" s="22" t="s">
        <v>6</v>
      </c>
      <c r="B13" s="5">
        <f>Fsw/1000</f>
        <v>220</v>
      </c>
      <c r="C13" s="440" t="s">
        <v>2</v>
      </c>
      <c r="D13" s="21" t="s">
        <v>94</v>
      </c>
      <c r="G13">
        <v>4</v>
      </c>
      <c r="H13" s="548">
        <f t="shared" si="0"/>
        <v>45</v>
      </c>
      <c r="I13" s="4">
        <f t="shared" si="1"/>
        <v>2</v>
      </c>
      <c r="J13" s="360">
        <f t="shared" si="38"/>
        <v>2.4</v>
      </c>
      <c r="K13" s="360">
        <f t="shared" si="2"/>
        <v>1.2</v>
      </c>
      <c r="L13" s="4">
        <f t="shared" si="3"/>
        <v>0.71111111111111103</v>
      </c>
      <c r="M13" s="360">
        <f t="shared" si="4"/>
        <v>0.53344603783244715</v>
      </c>
      <c r="N13" s="4">
        <f t="shared" si="5"/>
        <v>5.0910538007709611</v>
      </c>
      <c r="O13" s="4">
        <f t="shared" si="39"/>
        <v>3.7455269003854808</v>
      </c>
      <c r="P13" s="4">
        <f t="shared" si="40"/>
        <v>-1.3455269003854806</v>
      </c>
      <c r="Q13" s="4">
        <f t="shared" si="6"/>
        <v>23.605735094482117</v>
      </c>
      <c r="R13" s="4">
        <f t="shared" si="41"/>
        <v>1.8973408761198844</v>
      </c>
      <c r="S13" s="360">
        <f t="shared" si="7"/>
        <v>5.0398633602735188E-3</v>
      </c>
      <c r="T13" s="360">
        <f t="shared" si="8"/>
        <v>0.3</v>
      </c>
      <c r="U13" s="360">
        <f t="shared" si="9"/>
        <v>0.30516290170645149</v>
      </c>
      <c r="V13" s="4">
        <f t="shared" si="42"/>
        <v>1.469660641166991</v>
      </c>
      <c r="W13" s="360">
        <f t="shared" si="10"/>
        <v>4.3198048003907424E-3</v>
      </c>
      <c r="X13" s="360">
        <f t="shared" si="43"/>
        <v>4.3198048003907424E-3</v>
      </c>
      <c r="Y13" s="4">
        <f t="shared" si="44"/>
        <v>0.9465456219430507</v>
      </c>
      <c r="Z13" s="360">
        <f t="shared" si="11"/>
        <v>1.3439229216293349E-3</v>
      </c>
      <c r="AA13" s="541">
        <f t="shared" si="45"/>
        <v>1.3439229216293349E-3</v>
      </c>
      <c r="AB13" s="360">
        <f t="shared" si="46"/>
        <v>1.3857682605572033</v>
      </c>
      <c r="AC13" s="360">
        <f t="shared" si="12"/>
        <v>3.456636609541926E-3</v>
      </c>
      <c r="AD13" s="360">
        <f t="shared" si="13"/>
        <v>3.0826551724137927E-2</v>
      </c>
      <c r="AE13" s="360">
        <f t="shared" si="14"/>
        <v>0.18826953116855738</v>
      </c>
      <c r="AF13" s="360">
        <f t="shared" si="15"/>
        <v>0</v>
      </c>
      <c r="AG13" s="360">
        <f t="shared" si="16"/>
        <v>0.22266971212060757</v>
      </c>
      <c r="AH13" s="360">
        <f t="shared" si="17"/>
        <v>1.2959740461242399</v>
      </c>
      <c r="AI13" s="360">
        <f t="shared" si="18"/>
        <v>3.0231877108097402E-3</v>
      </c>
      <c r="AJ13" s="360">
        <f t="shared" si="19"/>
        <v>0</v>
      </c>
      <c r="AK13" s="360">
        <f t="shared" si="20"/>
        <v>3.0245775784060853E-3</v>
      </c>
      <c r="AL13" s="360">
        <f t="shared" si="21"/>
        <v>5.3222399999999989E-3</v>
      </c>
      <c r="AM13" s="360">
        <f t="shared" si="22"/>
        <v>4.4549999999999999E-2</v>
      </c>
      <c r="AN13" s="360">
        <f t="shared" si="23"/>
        <v>7.9197852804298169E-3</v>
      </c>
      <c r="AO13" s="360">
        <f t="shared" si="24"/>
        <v>1.5749999999999998E-3</v>
      </c>
      <c r="AP13" s="360">
        <f t="shared" si="25"/>
        <v>0.23760000000000001</v>
      </c>
      <c r="AQ13" s="360">
        <f t="shared" si="26"/>
        <v>0.22704000000000002</v>
      </c>
      <c r="AR13" s="360">
        <f t="shared" si="27"/>
        <v>0.2112</v>
      </c>
      <c r="AS13" s="360">
        <f t="shared" si="28"/>
        <v>0.239175</v>
      </c>
      <c r="AT13" s="360">
        <f t="shared" si="29"/>
        <v>0.83348794440791507</v>
      </c>
      <c r="AU13">
        <f t="shared" si="30"/>
        <v>28.799999999999997</v>
      </c>
      <c r="AV13" s="542">
        <f t="shared" si="47"/>
        <v>0.97187344446352286</v>
      </c>
      <c r="AW13" s="551">
        <f t="shared" si="31"/>
        <v>9.5787630605830874</v>
      </c>
      <c r="AX13" s="551">
        <f t="shared" si="32"/>
        <v>0.67359094797943131</v>
      </c>
      <c r="AY13" s="9"/>
      <c r="AZ13" s="4">
        <f t="shared" si="48"/>
        <v>97.187344446352284</v>
      </c>
      <c r="BA13" s="360">
        <f t="shared" si="33"/>
        <v>0.30516290170645149</v>
      </c>
      <c r="BB13" s="360">
        <f t="shared" si="34"/>
        <v>0.27024428969901365</v>
      </c>
      <c r="BC13" s="360">
        <f t="shared" si="35"/>
        <v>0.25207271212060756</v>
      </c>
      <c r="BD13" s="360">
        <f t="shared" si="36"/>
        <v>1.7726077578406087E-2</v>
      </c>
      <c r="BE13" s="360">
        <f t="shared" si="37"/>
        <v>7.9197852804298169E-3</v>
      </c>
      <c r="BJ13" s="18"/>
      <c r="BK13" s="18"/>
      <c r="BL13" s="18"/>
      <c r="BM13" s="19"/>
    </row>
    <row r="14" spans="1:65" x14ac:dyDescent="0.25">
      <c r="A14" s="22" t="s">
        <v>5</v>
      </c>
      <c r="B14" s="5">
        <f>Iout</f>
        <v>60</v>
      </c>
      <c r="C14" s="440" t="s">
        <v>1</v>
      </c>
      <c r="D14" s="21" t="s">
        <v>95</v>
      </c>
      <c r="G14">
        <v>5</v>
      </c>
      <c r="H14" s="548">
        <f t="shared" si="0"/>
        <v>45</v>
      </c>
      <c r="I14" s="4">
        <f t="shared" si="1"/>
        <v>2</v>
      </c>
      <c r="J14" s="360">
        <f t="shared" si="38"/>
        <v>3</v>
      </c>
      <c r="K14" s="360">
        <f t="shared" si="2"/>
        <v>1.5</v>
      </c>
      <c r="L14" s="4">
        <f t="shared" si="3"/>
        <v>0.88888888888888884</v>
      </c>
      <c r="M14" s="360">
        <f t="shared" si="4"/>
        <v>0.53347421189112787</v>
      </c>
      <c r="N14" s="4">
        <f t="shared" si="5"/>
        <v>5.0910898970439113</v>
      </c>
      <c r="O14" s="4">
        <f t="shared" si="39"/>
        <v>4.0455449485219557</v>
      </c>
      <c r="P14" s="4">
        <f t="shared" si="40"/>
        <v>-1.0455449485219557</v>
      </c>
      <c r="Q14" s="4">
        <f t="shared" si="6"/>
        <v>18.342893833718524</v>
      </c>
      <c r="R14" s="4">
        <f t="shared" si="41"/>
        <v>2.0999840543002262</v>
      </c>
      <c r="S14" s="360">
        <f t="shared" si="7"/>
        <v>6.1739062396413014E-3</v>
      </c>
      <c r="T14" s="360">
        <f t="shared" si="8"/>
        <v>0.3</v>
      </c>
      <c r="U14" s="360">
        <f t="shared" si="9"/>
        <v>0.30632520408675096</v>
      </c>
      <c r="V14" s="4">
        <f t="shared" si="42"/>
        <v>1.4696710612634432</v>
      </c>
      <c r="W14" s="360">
        <f t="shared" si="10"/>
        <v>4.3198660566304307E-3</v>
      </c>
      <c r="X14" s="360">
        <f t="shared" si="43"/>
        <v>4.3198660566304307E-3</v>
      </c>
      <c r="Y14" s="4">
        <f t="shared" si="44"/>
        <v>1.0476363044023767</v>
      </c>
      <c r="Z14" s="360">
        <f t="shared" si="11"/>
        <v>1.6463127394528039E-3</v>
      </c>
      <c r="AA14" s="541">
        <f t="shared" si="45"/>
        <v>1.6463127394528039E-3</v>
      </c>
      <c r="AB14" s="360">
        <f t="shared" si="46"/>
        <v>1.5338140522152985</v>
      </c>
      <c r="AC14" s="360">
        <f t="shared" si="12"/>
        <v>4.2346539841916064E-3</v>
      </c>
      <c r="AD14" s="360">
        <f t="shared" si="13"/>
        <v>3.8533189655172412E-2</v>
      </c>
      <c r="AE14" s="360">
        <f t="shared" si="14"/>
        <v>0.23458253426327702</v>
      </c>
      <c r="AF14" s="360">
        <f t="shared" si="15"/>
        <v>0</v>
      </c>
      <c r="AG14" s="360">
        <f t="shared" si="16"/>
        <v>0.27752901428324261</v>
      </c>
      <c r="AH14" s="360">
        <f t="shared" si="17"/>
        <v>1.4343456632005065</v>
      </c>
      <c r="AI14" s="360">
        <f t="shared" si="18"/>
        <v>3.7032254667757813E-3</v>
      </c>
      <c r="AJ14" s="360">
        <f t="shared" si="19"/>
        <v>0</v>
      </c>
      <c r="AK14" s="360">
        <f t="shared" si="20"/>
        <v>3.7053111503731685E-3</v>
      </c>
      <c r="AL14" s="360">
        <f t="shared" si="21"/>
        <v>6.6527999999999986E-3</v>
      </c>
      <c r="AM14" s="360">
        <f t="shared" si="22"/>
        <v>4.4549999999999999E-2</v>
      </c>
      <c r="AN14" s="360">
        <f t="shared" si="23"/>
        <v>9.7018526622934757E-3</v>
      </c>
      <c r="AO14" s="360">
        <f t="shared" si="24"/>
        <v>1.5749999999999998E-3</v>
      </c>
      <c r="AP14" s="360">
        <f t="shared" si="25"/>
        <v>0.23760000000000001</v>
      </c>
      <c r="AQ14" s="360">
        <f t="shared" si="26"/>
        <v>0.22704000000000002</v>
      </c>
      <c r="AR14" s="360">
        <f t="shared" si="27"/>
        <v>0.2112</v>
      </c>
      <c r="AS14" s="360">
        <f t="shared" si="28"/>
        <v>0.239175</v>
      </c>
      <c r="AT14" s="360">
        <f t="shared" si="29"/>
        <v>0.89360536097874355</v>
      </c>
      <c r="AU14">
        <f t="shared" si="30"/>
        <v>36</v>
      </c>
      <c r="AV14" s="542">
        <f t="shared" si="47"/>
        <v>0.9757788551095663</v>
      </c>
      <c r="AW14" s="551">
        <f t="shared" si="31"/>
        <v>11.663416542763219</v>
      </c>
      <c r="AX14" s="551">
        <f t="shared" si="32"/>
        <v>0.69945882371418044</v>
      </c>
      <c r="AY14" s="9"/>
      <c r="AZ14" s="4">
        <f t="shared" si="48"/>
        <v>97.577885510956634</v>
      </c>
      <c r="BA14" s="360">
        <f t="shared" si="33"/>
        <v>0.30632520408675096</v>
      </c>
      <c r="BB14" s="360">
        <f t="shared" si="34"/>
        <v>0.32578432543361574</v>
      </c>
      <c r="BC14" s="360">
        <f t="shared" si="35"/>
        <v>0.30693201428324263</v>
      </c>
      <c r="BD14" s="360">
        <f t="shared" si="36"/>
        <v>1.8406811150373171E-2</v>
      </c>
      <c r="BE14" s="360">
        <f t="shared" si="37"/>
        <v>9.7018526622934757E-3</v>
      </c>
      <c r="BJ14" s="18"/>
      <c r="BK14" s="18"/>
      <c r="BL14" s="18"/>
      <c r="BM14" s="19"/>
    </row>
    <row r="15" spans="1:65" x14ac:dyDescent="0.25">
      <c r="A15" s="23" t="s">
        <v>83</v>
      </c>
      <c r="B15" s="5">
        <f>Ta</f>
        <v>25</v>
      </c>
      <c r="C15" s="440" t="s">
        <v>465</v>
      </c>
      <c r="D15" s="21" t="s">
        <v>96</v>
      </c>
      <c r="G15">
        <v>6</v>
      </c>
      <c r="H15" s="548">
        <f t="shared" si="0"/>
        <v>45</v>
      </c>
      <c r="I15" s="4">
        <f t="shared" si="1"/>
        <v>2</v>
      </c>
      <c r="J15" s="360">
        <f t="shared" si="38"/>
        <v>3.6</v>
      </c>
      <c r="K15" s="360">
        <f t="shared" si="2"/>
        <v>1.8</v>
      </c>
      <c r="L15" s="4">
        <f t="shared" si="3"/>
        <v>1.0666666666666667</v>
      </c>
      <c r="M15" s="360">
        <f t="shared" si="4"/>
        <v>0.5335023851234425</v>
      </c>
      <c r="N15" s="4">
        <f t="shared" si="5"/>
        <v>5.0911259608427173</v>
      </c>
      <c r="O15" s="4">
        <f t="shared" si="39"/>
        <v>4.3455629804213585</v>
      </c>
      <c r="P15" s="4">
        <f t="shared" si="40"/>
        <v>-0.7455629804213586</v>
      </c>
      <c r="Q15" s="4">
        <f t="shared" si="6"/>
        <v>13.080052288094011</v>
      </c>
      <c r="R15" s="4">
        <f t="shared" si="41"/>
        <v>2.3237821819390097</v>
      </c>
      <c r="S15" s="360">
        <f t="shared" si="7"/>
        <v>7.5599490807361147E-3</v>
      </c>
      <c r="T15" s="360">
        <f t="shared" si="8"/>
        <v>0.3</v>
      </c>
      <c r="U15" s="360">
        <f t="shared" si="9"/>
        <v>0.30774607265185966</v>
      </c>
      <c r="V15" s="4">
        <f t="shared" si="42"/>
        <v>1.4696814719854177</v>
      </c>
      <c r="W15" s="360">
        <f t="shared" si="10"/>
        <v>4.3199272581944479E-3</v>
      </c>
      <c r="X15" s="360">
        <f t="shared" si="43"/>
        <v>4.3199272581944479E-3</v>
      </c>
      <c r="Y15" s="4">
        <f t="shared" si="44"/>
        <v>1.1592799209548068</v>
      </c>
      <c r="Z15" s="360">
        <f t="shared" si="11"/>
        <v>2.0158949026934745E-3</v>
      </c>
      <c r="AA15" s="541">
        <f t="shared" si="45"/>
        <v>2.0158949026934745E-3</v>
      </c>
      <c r="AB15" s="360">
        <f t="shared" si="46"/>
        <v>1.6973194972376913</v>
      </c>
      <c r="AC15" s="360">
        <f t="shared" si="12"/>
        <v>5.1856082562657764E-3</v>
      </c>
      <c r="AD15" s="360">
        <f t="shared" si="13"/>
        <v>4.6239827586206893E-2</v>
      </c>
      <c r="AE15" s="360">
        <f t="shared" si="14"/>
        <v>0.28089553986477273</v>
      </c>
      <c r="AF15" s="360">
        <f t="shared" si="15"/>
        <v>0</v>
      </c>
      <c r="AG15" s="360">
        <f t="shared" si="16"/>
        <v>0.33258312186620731</v>
      </c>
      <c r="AH15" s="360">
        <f t="shared" si="17"/>
        <v>1.5871578854650896</v>
      </c>
      <c r="AI15" s="360">
        <f t="shared" si="18"/>
        <v>4.5343262761092257E-3</v>
      </c>
      <c r="AJ15" s="360">
        <f t="shared" si="19"/>
        <v>0</v>
      </c>
      <c r="AK15" s="360">
        <f t="shared" si="20"/>
        <v>4.5374535689407551E-3</v>
      </c>
      <c r="AL15" s="360">
        <f t="shared" si="21"/>
        <v>7.9833599999999984E-3</v>
      </c>
      <c r="AM15" s="360">
        <f t="shared" si="22"/>
        <v>4.4549999999999999E-2</v>
      </c>
      <c r="AN15" s="360">
        <f t="shared" si="23"/>
        <v>1.1879919984013896E-2</v>
      </c>
      <c r="AO15" s="360">
        <f t="shared" si="24"/>
        <v>1.5749999999999998E-3</v>
      </c>
      <c r="AP15" s="360">
        <f t="shared" si="25"/>
        <v>0.23760000000000001</v>
      </c>
      <c r="AQ15" s="360">
        <f t="shared" si="26"/>
        <v>0.22704000000000002</v>
      </c>
      <c r="AR15" s="360">
        <f t="shared" si="27"/>
        <v>0.2112</v>
      </c>
      <c r="AS15" s="360">
        <f t="shared" si="28"/>
        <v>0.239175</v>
      </c>
      <c r="AT15" s="360">
        <f t="shared" si="29"/>
        <v>0.95479075023190962</v>
      </c>
      <c r="AU15">
        <f t="shared" si="30"/>
        <v>43.2</v>
      </c>
      <c r="AV15" s="542">
        <f t="shared" si="47"/>
        <v>0.97837628184826375</v>
      </c>
      <c r="AW15" s="551">
        <f t="shared" si="31"/>
        <v>13.755472630915879</v>
      </c>
      <c r="AX15" s="551">
        <f t="shared" si="32"/>
        <v>0.73108023561974866</v>
      </c>
      <c r="AY15" s="9"/>
      <c r="AZ15" s="4">
        <f t="shared" si="48"/>
        <v>97.837628184826372</v>
      </c>
      <c r="BA15" s="360">
        <f t="shared" si="33"/>
        <v>0.30774607265185966</v>
      </c>
      <c r="BB15" s="360">
        <f t="shared" si="34"/>
        <v>0.38167057543514804</v>
      </c>
      <c r="BC15" s="360">
        <f t="shared" si="35"/>
        <v>0.36198612186620732</v>
      </c>
      <c r="BD15" s="360">
        <f t="shared" si="36"/>
        <v>1.9238953568940755E-2</v>
      </c>
      <c r="BE15" s="360">
        <f t="shared" si="37"/>
        <v>1.1879919984013896E-2</v>
      </c>
      <c r="BJ15" s="18"/>
      <c r="BK15" s="18"/>
      <c r="BL15" s="18"/>
      <c r="BM15" s="19"/>
    </row>
    <row r="16" spans="1:65" x14ac:dyDescent="0.25">
      <c r="A16" s="448" t="s">
        <v>476</v>
      </c>
      <c r="B16" s="5">
        <f>VCC</f>
        <v>5</v>
      </c>
      <c r="C16" s="440" t="s">
        <v>0</v>
      </c>
      <c r="D16" s="440" t="s">
        <v>475</v>
      </c>
      <c r="G16">
        <v>7</v>
      </c>
      <c r="H16" s="548">
        <f t="shared" si="0"/>
        <v>45</v>
      </c>
      <c r="I16" s="4">
        <f t="shared" si="1"/>
        <v>2</v>
      </c>
      <c r="J16" s="360">
        <f t="shared" si="38"/>
        <v>4.2</v>
      </c>
      <c r="K16" s="360">
        <f t="shared" si="2"/>
        <v>2.1</v>
      </c>
      <c r="L16" s="4">
        <f t="shared" si="3"/>
        <v>1.2444444444444447</v>
      </c>
      <c r="M16" s="360">
        <f t="shared" si="4"/>
        <v>0.53353055752942691</v>
      </c>
      <c r="N16" s="4">
        <f t="shared" si="5"/>
        <v>5.0911619921688027</v>
      </c>
      <c r="O16" s="4">
        <f t="shared" si="39"/>
        <v>4.6455809960844014</v>
      </c>
      <c r="P16" s="4">
        <f t="shared" si="40"/>
        <v>-0.44558099608440127</v>
      </c>
      <c r="Q16" s="4">
        <f t="shared" si="6"/>
        <v>7.8172104576210755</v>
      </c>
      <c r="R16" s="4">
        <f t="shared" si="41"/>
        <v>2.5631999926931215</v>
      </c>
      <c r="S16" s="360">
        <f t="shared" si="7"/>
        <v>9.1979918835588259E-3</v>
      </c>
      <c r="T16" s="360">
        <f t="shared" si="8"/>
        <v>0.3</v>
      </c>
      <c r="U16" s="360">
        <f t="shared" si="9"/>
        <v>0.30942567947462857</v>
      </c>
      <c r="V16" s="4">
        <f t="shared" si="42"/>
        <v>1.4696918733333248</v>
      </c>
      <c r="W16" s="360">
        <f t="shared" si="10"/>
        <v>4.3199884050840352E-3</v>
      </c>
      <c r="X16" s="360">
        <f t="shared" si="43"/>
        <v>4.3199884050840352E-3</v>
      </c>
      <c r="Y16" s="4">
        <f t="shared" si="44"/>
        <v>1.2787149476720283</v>
      </c>
      <c r="Z16" s="360">
        <f t="shared" si="11"/>
        <v>2.4526678760998172E-3</v>
      </c>
      <c r="AA16" s="541">
        <f t="shared" si="45"/>
        <v>2.4526678760998172E-3</v>
      </c>
      <c r="AB16" s="360">
        <f t="shared" si="46"/>
        <v>1.8722426845490265</v>
      </c>
      <c r="AC16" s="360">
        <f t="shared" si="12"/>
        <v>6.3095268057252228E-3</v>
      </c>
      <c r="AD16" s="360">
        <f t="shared" si="13"/>
        <v>5.3946465517241374E-2</v>
      </c>
      <c r="AE16" s="360">
        <f t="shared" si="14"/>
        <v>0.32720854797293458</v>
      </c>
      <c r="AF16" s="360">
        <f t="shared" si="15"/>
        <v>0</v>
      </c>
      <c r="AG16" s="360">
        <f t="shared" si="16"/>
        <v>0.38783649413881427</v>
      </c>
      <c r="AH16" s="360">
        <f t="shared" si="17"/>
        <v>1.7506288963383052</v>
      </c>
      <c r="AI16" s="360">
        <f t="shared" si="18"/>
        <v>5.5164627588504111E-3</v>
      </c>
      <c r="AJ16" s="360">
        <f t="shared" si="19"/>
        <v>0</v>
      </c>
      <c r="AK16" s="360">
        <f t="shared" si="20"/>
        <v>5.5210922075822092E-3</v>
      </c>
      <c r="AL16" s="360">
        <f t="shared" si="21"/>
        <v>9.3139199999999998E-3</v>
      </c>
      <c r="AM16" s="360">
        <f t="shared" si="22"/>
        <v>4.4549999999999999E-2</v>
      </c>
      <c r="AN16" s="360">
        <f t="shared" si="23"/>
        <v>1.445398724559244E-2</v>
      </c>
      <c r="AO16" s="360">
        <f t="shared" si="24"/>
        <v>1.5749999999999998E-3</v>
      </c>
      <c r="AP16" s="360">
        <f t="shared" si="25"/>
        <v>0.23760000000000001</v>
      </c>
      <c r="AQ16" s="360">
        <f t="shared" si="26"/>
        <v>0.22704000000000002</v>
      </c>
      <c r="AR16" s="360">
        <f t="shared" si="27"/>
        <v>0.2112</v>
      </c>
      <c r="AS16" s="360">
        <f t="shared" si="28"/>
        <v>0.239175</v>
      </c>
      <c r="AT16" s="360">
        <f t="shared" si="29"/>
        <v>1.0170488293478013</v>
      </c>
      <c r="AU16">
        <f t="shared" si="30"/>
        <v>50.400000000000006</v>
      </c>
      <c r="AV16" s="542">
        <f t="shared" si="47"/>
        <v>0.98021961873534658</v>
      </c>
      <c r="AW16" s="551">
        <f t="shared" si="31"/>
        <v>15.855100777274943</v>
      </c>
      <c r="AX16" s="551">
        <f t="shared" si="32"/>
        <v>0.76845850388812398</v>
      </c>
      <c r="AY16" s="9"/>
      <c r="AZ16" s="4">
        <f t="shared" si="48"/>
        <v>98.021961873534664</v>
      </c>
      <c r="BA16" s="360">
        <f t="shared" si="33"/>
        <v>0.30942567947462857</v>
      </c>
      <c r="BB16" s="360">
        <f t="shared" si="34"/>
        <v>0.43790758634639648</v>
      </c>
      <c r="BC16" s="360">
        <f t="shared" si="35"/>
        <v>0.41723949413881428</v>
      </c>
      <c r="BD16" s="360">
        <f t="shared" si="36"/>
        <v>2.0222592207582209E-2</v>
      </c>
      <c r="BE16" s="360">
        <f t="shared" si="37"/>
        <v>1.445398724559244E-2</v>
      </c>
      <c r="BJ16" s="18"/>
      <c r="BK16" s="18"/>
      <c r="BL16" s="18"/>
      <c r="BM16" s="19"/>
    </row>
    <row r="17" spans="1:65" ht="13" x14ac:dyDescent="0.3">
      <c r="A17" s="24" t="s">
        <v>58</v>
      </c>
      <c r="B17" s="16" t="s">
        <v>111</v>
      </c>
      <c r="C17" s="24" t="s">
        <v>76</v>
      </c>
      <c r="D17" s="17" t="s">
        <v>107</v>
      </c>
      <c r="G17">
        <v>8</v>
      </c>
      <c r="H17" s="548">
        <f t="shared" si="0"/>
        <v>45</v>
      </c>
      <c r="I17" s="4">
        <f t="shared" si="1"/>
        <v>2</v>
      </c>
      <c r="J17" s="360">
        <f t="shared" si="38"/>
        <v>4.8</v>
      </c>
      <c r="K17" s="360">
        <f t="shared" si="2"/>
        <v>2.4</v>
      </c>
      <c r="L17" s="4">
        <f t="shared" si="3"/>
        <v>1.4222222222222221</v>
      </c>
      <c r="M17" s="360">
        <f t="shared" si="4"/>
        <v>0.53355872910911784</v>
      </c>
      <c r="N17" s="4">
        <f t="shared" si="5"/>
        <v>5.0911979910235976</v>
      </c>
      <c r="O17" s="4">
        <f t="shared" si="39"/>
        <v>4.9455989955117987</v>
      </c>
      <c r="P17" s="4">
        <f t="shared" si="40"/>
        <v>-0.14559899551179889</v>
      </c>
      <c r="Q17" s="4">
        <f t="shared" si="6"/>
        <v>2.5543683423122614</v>
      </c>
      <c r="R17" s="4">
        <f t="shared" si="41"/>
        <v>2.8142538529155869</v>
      </c>
      <c r="S17" s="360">
        <f t="shared" si="7"/>
        <v>1.1088034648110315E-2</v>
      </c>
      <c r="T17" s="360">
        <f t="shared" si="8"/>
        <v>0.3</v>
      </c>
      <c r="U17" s="360">
        <f t="shared" si="9"/>
        <v>0.31136422803600194</v>
      </c>
      <c r="V17" s="4">
        <f t="shared" si="42"/>
        <v>1.469702265307578</v>
      </c>
      <c r="W17" s="360">
        <f t="shared" si="10"/>
        <v>4.3200494973004528E-3</v>
      </c>
      <c r="X17" s="360">
        <f t="shared" si="43"/>
        <v>4.3200494973004528E-3</v>
      </c>
      <c r="Y17" s="4">
        <f t="shared" si="44"/>
        <v>1.403953969316486</v>
      </c>
      <c r="Z17" s="360">
        <f t="shared" si="11"/>
        <v>2.9566301219392747E-3</v>
      </c>
      <c r="AA17" s="541">
        <f t="shared" si="45"/>
        <v>2.9566301219392747E-3</v>
      </c>
      <c r="AB17" s="360">
        <f t="shared" si="46"/>
        <v>2.0556746676949089</v>
      </c>
      <c r="AC17" s="360">
        <f t="shared" si="12"/>
        <v>7.6064370109246342E-3</v>
      </c>
      <c r="AD17" s="360">
        <f t="shared" si="13"/>
        <v>6.1653103448275855E-2</v>
      </c>
      <c r="AE17" s="360">
        <f t="shared" si="14"/>
        <v>0.37352155858765212</v>
      </c>
      <c r="AF17" s="360">
        <f t="shared" si="15"/>
        <v>0</v>
      </c>
      <c r="AG17" s="360">
        <f t="shared" si="16"/>
        <v>0.44329362557297292</v>
      </c>
      <c r="AH17" s="360">
        <f t="shared" si="17"/>
        <v>1.9220370467937531</v>
      </c>
      <c r="AI17" s="360">
        <f t="shared" si="18"/>
        <v>6.649607536645773E-3</v>
      </c>
      <c r="AJ17" s="360">
        <f t="shared" si="19"/>
        <v>0</v>
      </c>
      <c r="AK17" s="360">
        <f t="shared" si="20"/>
        <v>6.6563353633511575E-3</v>
      </c>
      <c r="AL17" s="360">
        <f t="shared" si="21"/>
        <v>1.0644479999999998E-2</v>
      </c>
      <c r="AM17" s="360">
        <f t="shared" si="22"/>
        <v>4.4549999999999999E-2</v>
      </c>
      <c r="AN17" s="360">
        <f t="shared" si="23"/>
        <v>1.7424054447030497E-2</v>
      </c>
      <c r="AO17" s="360">
        <f t="shared" si="24"/>
        <v>1.5749999999999998E-3</v>
      </c>
      <c r="AP17" s="360">
        <f t="shared" si="25"/>
        <v>0.23760000000000001</v>
      </c>
      <c r="AQ17" s="360">
        <f t="shared" si="26"/>
        <v>0.22704000000000002</v>
      </c>
      <c r="AR17" s="360">
        <f t="shared" si="27"/>
        <v>0.2112</v>
      </c>
      <c r="AS17" s="360">
        <f t="shared" si="28"/>
        <v>0.239175</v>
      </c>
      <c r="AT17" s="360">
        <f t="shared" si="29"/>
        <v>1.0803844030385963</v>
      </c>
      <c r="AU17">
        <f t="shared" si="30"/>
        <v>57.599999999999994</v>
      </c>
      <c r="AV17" s="542">
        <f t="shared" si="47"/>
        <v>0.98158866179849613</v>
      </c>
      <c r="AW17" s="551">
        <f t="shared" si="31"/>
        <v>17.962471771772972</v>
      </c>
      <c r="AX17" s="551">
        <f t="shared" si="32"/>
        <v>0.81159774380734406</v>
      </c>
      <c r="AY17" s="9"/>
      <c r="AZ17" s="4">
        <f t="shared" si="48"/>
        <v>98.15886617984961</v>
      </c>
      <c r="BA17" s="360">
        <f t="shared" si="33"/>
        <v>0.31136422803600194</v>
      </c>
      <c r="BB17" s="360">
        <f t="shared" si="34"/>
        <v>0.49449996093632403</v>
      </c>
      <c r="BC17" s="360">
        <f t="shared" si="35"/>
        <v>0.47269662557297293</v>
      </c>
      <c r="BD17" s="360">
        <f t="shared" si="36"/>
        <v>2.135783536335116E-2</v>
      </c>
      <c r="BE17" s="360">
        <f t="shared" si="37"/>
        <v>1.7424054447030497E-2</v>
      </c>
      <c r="BJ17" s="18"/>
      <c r="BK17" s="18"/>
      <c r="BL17" s="18"/>
      <c r="BM17" s="19"/>
    </row>
    <row r="18" spans="1:65" x14ac:dyDescent="0.25">
      <c r="A18" s="35" t="s">
        <v>56</v>
      </c>
      <c r="B18" s="38">
        <f>Lf*1000000</f>
        <v>10</v>
      </c>
      <c r="C18" s="441" t="s">
        <v>10</v>
      </c>
      <c r="D18" s="440" t="s">
        <v>468</v>
      </c>
      <c r="G18">
        <v>9</v>
      </c>
      <c r="H18" s="548">
        <f t="shared" si="0"/>
        <v>45</v>
      </c>
      <c r="I18" s="4">
        <f t="shared" si="1"/>
        <v>2</v>
      </c>
      <c r="J18" s="360">
        <f t="shared" si="38"/>
        <v>5.4</v>
      </c>
      <c r="K18" s="360">
        <f t="shared" si="2"/>
        <v>2.7</v>
      </c>
      <c r="L18" s="4">
        <f t="shared" si="3"/>
        <v>1.6000000000000003</v>
      </c>
      <c r="M18" s="360">
        <f t="shared" si="4"/>
        <v>0.53358689986255137</v>
      </c>
      <c r="N18" s="4">
        <f t="shared" si="5"/>
        <v>5.0912339574085301</v>
      </c>
      <c r="O18" s="4">
        <f t="shared" si="39"/>
        <v>5.2456169787042652</v>
      </c>
      <c r="P18" s="4">
        <f t="shared" si="40"/>
        <v>0.15438302129573511</v>
      </c>
      <c r="Q18" s="4">
        <f t="shared" si="6"/>
        <v>0</v>
      </c>
      <c r="R18" s="4">
        <f t="shared" si="41"/>
        <v>3.0740942190216742</v>
      </c>
      <c r="S18" s="360">
        <f t="shared" si="7"/>
        <v>1.3230077374391469E-2</v>
      </c>
      <c r="T18" s="360">
        <f t="shared" si="8"/>
        <v>0.3</v>
      </c>
      <c r="U18" s="360">
        <f t="shared" si="9"/>
        <v>0.31356195328668329</v>
      </c>
      <c r="V18" s="4">
        <f t="shared" si="42"/>
        <v>1.4697126479085894</v>
      </c>
      <c r="W18" s="360">
        <f t="shared" si="10"/>
        <v>4.3201105348449551E-3</v>
      </c>
      <c r="X18" s="360">
        <f t="shared" si="43"/>
        <v>4.3201105348449551E-3</v>
      </c>
      <c r="Y18" s="4">
        <f t="shared" si="44"/>
        <v>1.5335753649557269</v>
      </c>
      <c r="Z18" s="360">
        <f t="shared" si="11"/>
        <v>3.5277800999986364E-3</v>
      </c>
      <c r="AA18" s="541">
        <f t="shared" si="45"/>
        <v>3.5277800999986364E-3</v>
      </c>
      <c r="AB18" s="360">
        <f t="shared" si="46"/>
        <v>2.2455346119963804</v>
      </c>
      <c r="AC18" s="360">
        <f t="shared" si="12"/>
        <v>9.0763662486127213E-3</v>
      </c>
      <c r="AD18" s="360">
        <f t="shared" si="13"/>
        <v>6.935974137931035E-2</v>
      </c>
      <c r="AE18" s="360">
        <f t="shared" si="14"/>
        <v>0.39600000000000002</v>
      </c>
      <c r="AF18" s="360">
        <f t="shared" si="15"/>
        <v>0</v>
      </c>
      <c r="AG18" s="360">
        <f t="shared" si="16"/>
        <v>0.4750915475708038</v>
      </c>
      <c r="AH18" s="360">
        <f t="shared" si="17"/>
        <v>2.0994355369357605</v>
      </c>
      <c r="AI18" s="360">
        <f t="shared" si="18"/>
        <v>7.9337332327477396E-3</v>
      </c>
      <c r="AJ18" s="360">
        <f t="shared" si="19"/>
        <v>0</v>
      </c>
      <c r="AK18" s="360">
        <f t="shared" si="20"/>
        <v>7.943312291094436E-3</v>
      </c>
      <c r="AL18" s="360">
        <f t="shared" si="21"/>
        <v>1.1975039999999999E-2</v>
      </c>
      <c r="AM18" s="360">
        <f t="shared" si="22"/>
        <v>4.4549999999999999E-2</v>
      </c>
      <c r="AN18" s="360">
        <f t="shared" si="23"/>
        <v>2.0790121588329453E-2</v>
      </c>
      <c r="AO18" s="360">
        <f t="shared" si="24"/>
        <v>1.5749999999999998E-3</v>
      </c>
      <c r="AP18" s="360">
        <f t="shared" si="25"/>
        <v>0.23760000000000001</v>
      </c>
      <c r="AQ18" s="360">
        <f t="shared" si="26"/>
        <v>0.22704000000000002</v>
      </c>
      <c r="AR18" s="360">
        <f t="shared" si="27"/>
        <v>0.2112</v>
      </c>
      <c r="AS18" s="360">
        <f t="shared" si="28"/>
        <v>0.239175</v>
      </c>
      <c r="AT18" s="360">
        <f t="shared" si="29"/>
        <v>1.1209348653717546</v>
      </c>
      <c r="AU18">
        <f t="shared" si="30"/>
        <v>64.800000000000011</v>
      </c>
      <c r="AV18" s="542">
        <f t="shared" si="47"/>
        <v>0.98299576807184241</v>
      </c>
      <c r="AW18" s="551">
        <f t="shared" si="31"/>
        <v>19.170792807690546</v>
      </c>
      <c r="AX18" s="551">
        <f t="shared" si="32"/>
        <v>0.86050286706158863</v>
      </c>
      <c r="AY18" s="9"/>
      <c r="AZ18" s="4">
        <f t="shared" si="48"/>
        <v>98.299576807184238</v>
      </c>
      <c r="BA18" s="360">
        <f t="shared" si="33"/>
        <v>0.31356195328668329</v>
      </c>
      <c r="BB18" s="360">
        <f t="shared" si="34"/>
        <v>0.52758485986189829</v>
      </c>
      <c r="BC18" s="360">
        <f t="shared" si="35"/>
        <v>0.50449454757080381</v>
      </c>
      <c r="BD18" s="360">
        <f t="shared" si="36"/>
        <v>2.2644812291094437E-2</v>
      </c>
      <c r="BE18" s="360">
        <f t="shared" si="37"/>
        <v>2.0790121588329453E-2</v>
      </c>
      <c r="BK18" s="18"/>
      <c r="BL18" s="19"/>
    </row>
    <row r="19" spans="1:65" x14ac:dyDescent="0.25">
      <c r="A19" s="35" t="s">
        <v>11</v>
      </c>
      <c r="B19" s="39">
        <f>Rdcr*1000</f>
        <v>1.4</v>
      </c>
      <c r="C19" s="442" t="s">
        <v>466</v>
      </c>
      <c r="D19" s="440" t="s">
        <v>469</v>
      </c>
      <c r="G19">
        <v>10</v>
      </c>
      <c r="H19" s="548">
        <f t="shared" si="0"/>
        <v>45</v>
      </c>
      <c r="I19" s="4">
        <f t="shared" si="1"/>
        <v>2</v>
      </c>
      <c r="J19" s="360">
        <f t="shared" si="38"/>
        <v>6</v>
      </c>
      <c r="K19" s="360">
        <f t="shared" si="2"/>
        <v>3</v>
      </c>
      <c r="L19" s="4">
        <f t="shared" si="3"/>
        <v>1.7777777777777777</v>
      </c>
      <c r="M19" s="360">
        <f t="shared" si="4"/>
        <v>0.53361506978976425</v>
      </c>
      <c r="N19" s="4">
        <f t="shared" si="5"/>
        <v>5.0912698913250312</v>
      </c>
      <c r="O19" s="4">
        <f t="shared" si="39"/>
        <v>5.5456349456625151</v>
      </c>
      <c r="P19" s="4">
        <f t="shared" si="40"/>
        <v>0.45436505433748442</v>
      </c>
      <c r="Q19" s="4">
        <f t="shared" si="6"/>
        <v>0</v>
      </c>
      <c r="R19" s="4">
        <f t="shared" si="41"/>
        <v>3.3406714532948909</v>
      </c>
      <c r="S19" s="360">
        <f t="shared" si="7"/>
        <v>1.5624120062403159E-2</v>
      </c>
      <c r="T19" s="360">
        <f t="shared" si="8"/>
        <v>0.3</v>
      </c>
      <c r="U19" s="360">
        <f t="shared" si="9"/>
        <v>0.31601912171838259</v>
      </c>
      <c r="V19" s="4">
        <f t="shared" si="42"/>
        <v>1.4697230211367718</v>
      </c>
      <c r="W19" s="360">
        <f t="shared" si="10"/>
        <v>4.3201715177187995E-3</v>
      </c>
      <c r="X19" s="360">
        <f t="shared" si="43"/>
        <v>4.3201715177187995E-3</v>
      </c>
      <c r="Y19" s="4">
        <f t="shared" si="44"/>
        <v>1.6665565832147038</v>
      </c>
      <c r="Z19" s="360">
        <f t="shared" si="11"/>
        <v>4.1661162675844018E-3</v>
      </c>
      <c r="AA19" s="541">
        <f t="shared" si="45"/>
        <v>4.1661162675844018E-3</v>
      </c>
      <c r="AB19" s="360">
        <f t="shared" si="46"/>
        <v>2.4403257858477652</v>
      </c>
      <c r="AC19" s="360">
        <f t="shared" si="12"/>
        <v>1.0719341893932323E-2</v>
      </c>
      <c r="AD19" s="360">
        <f t="shared" si="13"/>
        <v>7.7066379310344824E-2</v>
      </c>
      <c r="AE19" s="360">
        <f t="shared" si="14"/>
        <v>0.39600000000000002</v>
      </c>
      <c r="AF19" s="360">
        <f t="shared" si="15"/>
        <v>0</v>
      </c>
      <c r="AG19" s="360">
        <f t="shared" si="16"/>
        <v>0.48457525904127779</v>
      </c>
      <c r="AH19" s="360">
        <f t="shared" si="17"/>
        <v>2.2814240767086438</v>
      </c>
      <c r="AI19" s="360">
        <f t="shared" si="18"/>
        <v>9.3688124720145965E-3</v>
      </c>
      <c r="AJ19" s="360">
        <f t="shared" si="19"/>
        <v>0</v>
      </c>
      <c r="AK19" s="360">
        <f t="shared" si="20"/>
        <v>9.382173244914754E-3</v>
      </c>
      <c r="AL19" s="360">
        <f t="shared" si="21"/>
        <v>1.3305599999999997E-2</v>
      </c>
      <c r="AM19" s="360">
        <f t="shared" si="22"/>
        <v>4.4549999999999999E-2</v>
      </c>
      <c r="AN19" s="360">
        <f t="shared" si="23"/>
        <v>2.4552188669490681E-2</v>
      </c>
      <c r="AO19" s="360">
        <f t="shared" si="24"/>
        <v>1.5749999999999998E-3</v>
      </c>
      <c r="AP19" s="360">
        <f t="shared" si="25"/>
        <v>0.23760000000000001</v>
      </c>
      <c r="AQ19" s="360">
        <f t="shared" si="26"/>
        <v>0.22704000000000002</v>
      </c>
      <c r="AR19" s="360">
        <f t="shared" si="27"/>
        <v>0.2112</v>
      </c>
      <c r="AS19" s="360">
        <f t="shared" si="28"/>
        <v>0.239175</v>
      </c>
      <c r="AT19" s="360">
        <f t="shared" si="29"/>
        <v>1.1400456304593689</v>
      </c>
      <c r="AU19">
        <f t="shared" si="30"/>
        <v>72</v>
      </c>
      <c r="AV19" s="542">
        <f t="shared" si="47"/>
        <v>0.98441283949671765</v>
      </c>
      <c r="AW19" s="551">
        <f t="shared" si="31"/>
        <v>19.531173843568556</v>
      </c>
      <c r="AX19" s="551">
        <f t="shared" si="32"/>
        <v>0.91517958330676064</v>
      </c>
      <c r="AY19" s="9"/>
      <c r="AZ19" s="4">
        <f t="shared" si="48"/>
        <v>98.441283949671771</v>
      </c>
      <c r="BA19" s="360">
        <f t="shared" si="33"/>
        <v>0.31601912171838259</v>
      </c>
      <c r="BB19" s="360">
        <f t="shared" si="34"/>
        <v>0.53850743228619258</v>
      </c>
      <c r="BC19" s="360">
        <f t="shared" si="35"/>
        <v>0.51397825904127781</v>
      </c>
      <c r="BD19" s="360">
        <f t="shared" si="36"/>
        <v>2.4083673244914755E-2</v>
      </c>
      <c r="BE19" s="360">
        <f t="shared" si="37"/>
        <v>2.4552188669490681E-2</v>
      </c>
      <c r="BK19" s="18"/>
      <c r="BL19" s="19"/>
    </row>
    <row r="20" spans="1:65" x14ac:dyDescent="0.25">
      <c r="A20" s="35" t="s">
        <v>82</v>
      </c>
      <c r="B20" s="39">
        <f>Ltc*1000000</f>
        <v>4000</v>
      </c>
      <c r="C20" s="441" t="s">
        <v>81</v>
      </c>
      <c r="D20" s="21" t="s">
        <v>97</v>
      </c>
      <c r="G20">
        <v>11</v>
      </c>
      <c r="H20" s="548">
        <f t="shared" si="0"/>
        <v>45</v>
      </c>
      <c r="I20" s="4">
        <f t="shared" si="1"/>
        <v>2</v>
      </c>
      <c r="J20" s="360">
        <f t="shared" si="38"/>
        <v>6.6</v>
      </c>
      <c r="K20" s="360">
        <f t="shared" si="2"/>
        <v>3.3</v>
      </c>
      <c r="L20" s="4">
        <f t="shared" si="3"/>
        <v>1.9555555555555553</v>
      </c>
      <c r="M20" s="360">
        <f t="shared" si="4"/>
        <v>0.53364323889079224</v>
      </c>
      <c r="N20" s="4">
        <f t="shared" si="5"/>
        <v>5.0913057927745227</v>
      </c>
      <c r="O20" s="4">
        <f t="shared" si="39"/>
        <v>5.8456528963872607</v>
      </c>
      <c r="P20" s="4">
        <f t="shared" si="40"/>
        <v>0.75434710361273849</v>
      </c>
      <c r="Q20" s="4">
        <f t="shared" si="6"/>
        <v>0</v>
      </c>
      <c r="R20" s="4">
        <f t="shared" si="41"/>
        <v>3.6124944599212352</v>
      </c>
      <c r="S20" s="360">
        <f t="shared" si="7"/>
        <v>1.8270162712146262E-2</v>
      </c>
      <c r="T20" s="360">
        <f t="shared" si="8"/>
        <v>0.3</v>
      </c>
      <c r="U20" s="360">
        <f t="shared" si="9"/>
        <v>0.31873603144468371</v>
      </c>
      <c r="V20" s="4">
        <f t="shared" si="42"/>
        <v>1.469733384992536</v>
      </c>
      <c r="W20" s="360">
        <f t="shared" si="10"/>
        <v>4.3202324459232361E-3</v>
      </c>
      <c r="X20" s="360">
        <f t="shared" si="43"/>
        <v>4.3202324459232361E-3</v>
      </c>
      <c r="Y20" s="4">
        <f t="shared" si="44"/>
        <v>1.8021537262440843</v>
      </c>
      <c r="Z20" s="360">
        <f t="shared" si="11"/>
        <v>4.871637079523157E-3</v>
      </c>
      <c r="AA20" s="541">
        <f t="shared" si="45"/>
        <v>4.871637079523157E-3</v>
      </c>
      <c r="AB20" s="360">
        <f t="shared" si="46"/>
        <v>2.6389593193383085</v>
      </c>
      <c r="AC20" s="360">
        <f t="shared" si="12"/>
        <v>1.2535391320420515E-2</v>
      </c>
      <c r="AD20" s="360">
        <f t="shared" si="13"/>
        <v>8.4773017241379298E-2</v>
      </c>
      <c r="AE20" s="360">
        <f t="shared" si="14"/>
        <v>0.39600000000000002</v>
      </c>
      <c r="AF20" s="360">
        <f t="shared" si="15"/>
        <v>0</v>
      </c>
      <c r="AG20" s="360">
        <f t="shared" si="16"/>
        <v>0.49425014264192474</v>
      </c>
      <c r="AH20" s="360">
        <f t="shared" si="17"/>
        <v>2.4669839751889566</v>
      </c>
      <c r="AI20" s="360">
        <f t="shared" si="18"/>
        <v>1.095481788091039E-2</v>
      </c>
      <c r="AJ20" s="360">
        <f t="shared" si="19"/>
        <v>0</v>
      </c>
      <c r="AK20" s="360">
        <f t="shared" si="20"/>
        <v>1.0973089526908838E-2</v>
      </c>
      <c r="AL20" s="360">
        <f t="shared" si="21"/>
        <v>1.4636159999999997E-2</v>
      </c>
      <c r="AM20" s="360">
        <f t="shared" si="22"/>
        <v>4.4549999999999999E-2</v>
      </c>
      <c r="AN20" s="360">
        <f t="shared" si="23"/>
        <v>2.8710255690515558E-2</v>
      </c>
      <c r="AO20" s="360">
        <f t="shared" si="24"/>
        <v>1.5749999999999998E-3</v>
      </c>
      <c r="AP20" s="360">
        <f t="shared" si="25"/>
        <v>0.23760000000000001</v>
      </c>
      <c r="AQ20" s="360">
        <f t="shared" si="26"/>
        <v>0.22704000000000002</v>
      </c>
      <c r="AR20" s="360">
        <f t="shared" si="27"/>
        <v>0.2112</v>
      </c>
      <c r="AS20" s="360">
        <f t="shared" si="28"/>
        <v>0.239175</v>
      </c>
      <c r="AT20" s="360">
        <f t="shared" si="29"/>
        <v>1.1602225488294793</v>
      </c>
      <c r="AU20">
        <f t="shared" si="30"/>
        <v>79.199999999999989</v>
      </c>
      <c r="AV20" s="542">
        <f t="shared" si="47"/>
        <v>0.98556222827625328</v>
      </c>
      <c r="AW20" s="551">
        <f t="shared" si="31"/>
        <v>19.898819420393142</v>
      </c>
      <c r="AX20" s="551">
        <f t="shared" si="32"/>
        <v>0.97563440202253593</v>
      </c>
      <c r="AY20" s="9"/>
      <c r="AZ20" s="4">
        <f t="shared" si="48"/>
        <v>98.556222827625334</v>
      </c>
      <c r="BA20" s="360">
        <f t="shared" si="33"/>
        <v>0.31873603144468371</v>
      </c>
      <c r="BB20" s="360">
        <f t="shared" si="34"/>
        <v>0.54977323216883356</v>
      </c>
      <c r="BC20" s="360">
        <f t="shared" si="35"/>
        <v>0.52365314264192475</v>
      </c>
      <c r="BD20" s="360">
        <f t="shared" si="36"/>
        <v>2.5674589526908841E-2</v>
      </c>
      <c r="BE20" s="360">
        <f t="shared" si="37"/>
        <v>2.8710255690515558E-2</v>
      </c>
      <c r="BK20" s="18"/>
      <c r="BL20" s="19"/>
    </row>
    <row r="21" spans="1:65" x14ac:dyDescent="0.25">
      <c r="A21" s="25" t="s">
        <v>129</v>
      </c>
      <c r="B21" s="39">
        <f>ThetaCa</f>
        <v>20</v>
      </c>
      <c r="C21" s="441" t="s">
        <v>205</v>
      </c>
      <c r="D21" s="26" t="s">
        <v>130</v>
      </c>
      <c r="G21">
        <v>12</v>
      </c>
      <c r="H21" s="548">
        <f t="shared" si="0"/>
        <v>45</v>
      </c>
      <c r="I21" s="4">
        <f t="shared" si="1"/>
        <v>2</v>
      </c>
      <c r="J21" s="360">
        <f t="shared" si="38"/>
        <v>7.2</v>
      </c>
      <c r="K21" s="360">
        <f t="shared" si="2"/>
        <v>3.6</v>
      </c>
      <c r="L21" s="4">
        <f t="shared" si="3"/>
        <v>2.1333333333333333</v>
      </c>
      <c r="M21" s="360">
        <f t="shared" si="4"/>
        <v>0.53367140716567218</v>
      </c>
      <c r="N21" s="4">
        <f t="shared" si="5"/>
        <v>5.0913416617584399</v>
      </c>
      <c r="O21" s="4">
        <f t="shared" si="39"/>
        <v>6.1456708308792205</v>
      </c>
      <c r="P21" s="4">
        <f t="shared" si="40"/>
        <v>1.0543291691207801</v>
      </c>
      <c r="Q21" s="4">
        <f t="shared" si="6"/>
        <v>0</v>
      </c>
      <c r="R21" s="4">
        <f t="shared" si="41"/>
        <v>3.8884632774053256</v>
      </c>
      <c r="S21" s="360">
        <f t="shared" si="7"/>
        <v>2.1168205323621674E-2</v>
      </c>
      <c r="T21" s="360">
        <f t="shared" si="8"/>
        <v>0.3</v>
      </c>
      <c r="U21" s="360">
        <f t="shared" si="9"/>
        <v>0.32171301229157917</v>
      </c>
      <c r="V21" s="4">
        <f t="shared" si="42"/>
        <v>1.469743739476296</v>
      </c>
      <c r="W21" s="360">
        <f t="shared" si="10"/>
        <v>4.320293319459532E-3</v>
      </c>
      <c r="X21" s="360">
        <f t="shared" si="43"/>
        <v>4.320293319459532E-3</v>
      </c>
      <c r="Y21" s="4">
        <f t="shared" si="44"/>
        <v>1.9398180306688462</v>
      </c>
      <c r="Z21" s="360">
        <f t="shared" si="11"/>
        <v>5.6443409881619415E-3</v>
      </c>
      <c r="AA21" s="541">
        <f t="shared" si="45"/>
        <v>5.6443409881619415E-3</v>
      </c>
      <c r="AB21" s="360">
        <f t="shared" si="46"/>
        <v>2.8406319621607654</v>
      </c>
      <c r="AC21" s="360">
        <f t="shared" si="12"/>
        <v>1.4524541900008776E-2</v>
      </c>
      <c r="AD21" s="360">
        <f t="shared" si="13"/>
        <v>9.2479655172413786E-2</v>
      </c>
      <c r="AE21" s="360">
        <f t="shared" si="14"/>
        <v>0.39600000000000002</v>
      </c>
      <c r="AF21" s="360">
        <f t="shared" si="15"/>
        <v>0</v>
      </c>
      <c r="AG21" s="360">
        <f t="shared" si="16"/>
        <v>0.5041171518179246</v>
      </c>
      <c r="AH21" s="360">
        <f t="shared" si="17"/>
        <v>2.6553637632686873</v>
      </c>
      <c r="AI21" s="360">
        <f t="shared" si="18"/>
        <v>1.2691722087504801E-2</v>
      </c>
      <c r="AJ21" s="360">
        <f t="shared" si="19"/>
        <v>0</v>
      </c>
      <c r="AK21" s="360">
        <f t="shared" si="20"/>
        <v>1.2716253543211434E-2</v>
      </c>
      <c r="AL21" s="360">
        <f t="shared" si="21"/>
        <v>1.5966719999999997E-2</v>
      </c>
      <c r="AM21" s="360">
        <f t="shared" si="22"/>
        <v>4.4549999999999999E-2</v>
      </c>
      <c r="AN21" s="360">
        <f t="shared" si="23"/>
        <v>3.3264322651405484E-2</v>
      </c>
      <c r="AO21" s="360">
        <f t="shared" si="24"/>
        <v>1.5749999999999998E-3</v>
      </c>
      <c r="AP21" s="360">
        <f t="shared" si="25"/>
        <v>0.23760000000000001</v>
      </c>
      <c r="AQ21" s="360">
        <f t="shared" si="26"/>
        <v>0.22704000000000002</v>
      </c>
      <c r="AR21" s="360">
        <f t="shared" si="27"/>
        <v>0.2112</v>
      </c>
      <c r="AS21" s="360">
        <f t="shared" si="28"/>
        <v>0.239175</v>
      </c>
      <c r="AT21" s="360">
        <f t="shared" si="29"/>
        <v>1.1814670946117423</v>
      </c>
      <c r="AU21">
        <f t="shared" si="30"/>
        <v>86.4</v>
      </c>
      <c r="AV21" s="542">
        <f t="shared" si="47"/>
        <v>0.98651007874376617</v>
      </c>
      <c r="AW21" s="551">
        <f t="shared" si="31"/>
        <v>20.273765769081134</v>
      </c>
      <c r="AX21" s="551">
        <f t="shared" si="32"/>
        <v>1.0418746346420347</v>
      </c>
      <c r="AY21" s="9"/>
      <c r="AZ21" s="4">
        <f t="shared" si="48"/>
        <v>98.651007874376617</v>
      </c>
      <c r="BA21" s="360">
        <f t="shared" si="33"/>
        <v>0.32171301229157917</v>
      </c>
      <c r="BB21" s="360">
        <f t="shared" si="34"/>
        <v>0.56138340536113607</v>
      </c>
      <c r="BC21" s="360">
        <f t="shared" si="35"/>
        <v>0.53352015181792456</v>
      </c>
      <c r="BD21" s="360">
        <f t="shared" si="36"/>
        <v>2.7417753543211437E-2</v>
      </c>
      <c r="BE21" s="360">
        <f t="shared" si="37"/>
        <v>3.3264322651405484E-2</v>
      </c>
      <c r="BK21" s="18"/>
      <c r="BL21" s="19"/>
    </row>
    <row r="22" spans="1:65" x14ac:dyDescent="0.25">
      <c r="A22" s="36" t="s">
        <v>57</v>
      </c>
      <c r="B22" s="39">
        <f>Cin*1000000</f>
        <v>1328</v>
      </c>
      <c r="C22" s="443" t="s">
        <v>467</v>
      </c>
      <c r="D22" s="440" t="s">
        <v>484</v>
      </c>
      <c r="G22">
        <v>13</v>
      </c>
      <c r="H22" s="548">
        <f t="shared" si="0"/>
        <v>45</v>
      </c>
      <c r="I22" s="4">
        <f t="shared" si="1"/>
        <v>2</v>
      </c>
      <c r="J22" s="360">
        <f t="shared" si="38"/>
        <v>7.8</v>
      </c>
      <c r="K22" s="360">
        <f t="shared" si="2"/>
        <v>3.9</v>
      </c>
      <c r="L22" s="4">
        <f t="shared" si="3"/>
        <v>2.3111111111111109</v>
      </c>
      <c r="M22" s="360">
        <f t="shared" si="4"/>
        <v>0.53369957461444018</v>
      </c>
      <c r="N22" s="4">
        <f t="shared" si="5"/>
        <v>5.0913774982782076</v>
      </c>
      <c r="O22" s="4">
        <f t="shared" si="39"/>
        <v>6.4456887491391033</v>
      </c>
      <c r="P22" s="4">
        <f t="shared" si="40"/>
        <v>1.3543112508608961</v>
      </c>
      <c r="Q22" s="4">
        <f t="shared" si="6"/>
        <v>0</v>
      </c>
      <c r="R22" s="4">
        <f t="shared" si="41"/>
        <v>4.1677544396430637</v>
      </c>
      <c r="S22" s="360">
        <f t="shared" si="7"/>
        <v>2.4318247896830254E-2</v>
      </c>
      <c r="T22" s="360">
        <f t="shared" si="8"/>
        <v>0.3</v>
      </c>
      <c r="U22" s="360">
        <f t="shared" si="9"/>
        <v>0.32495042589772316</v>
      </c>
      <c r="V22" s="4">
        <f t="shared" si="42"/>
        <v>1.4697540845884633</v>
      </c>
      <c r="W22" s="360">
        <f t="shared" si="10"/>
        <v>4.320354138328944E-3</v>
      </c>
      <c r="X22" s="360">
        <f t="shared" si="43"/>
        <v>4.320354138328944E-3</v>
      </c>
      <c r="Y22" s="4">
        <f t="shared" si="44"/>
        <v>2.0791386747671283</v>
      </c>
      <c r="Z22" s="360">
        <f t="shared" si="11"/>
        <v>6.4842264433686162E-3</v>
      </c>
      <c r="AA22" s="541">
        <f t="shared" si="45"/>
        <v>6.4842264433686162E-3</v>
      </c>
      <c r="AB22" s="360">
        <f t="shared" si="46"/>
        <v>3.0447423721541007</v>
      </c>
      <c r="AC22" s="360">
        <f t="shared" si="12"/>
        <v>1.6686821003023045E-2</v>
      </c>
      <c r="AD22" s="360">
        <f t="shared" si="13"/>
        <v>0.10018629310344827</v>
      </c>
      <c r="AE22" s="360">
        <f t="shared" si="14"/>
        <v>0.39600000000000002</v>
      </c>
      <c r="AF22" s="360">
        <f t="shared" si="15"/>
        <v>0</v>
      </c>
      <c r="AG22" s="360">
        <f t="shared" si="16"/>
        <v>0.51417727168913918</v>
      </c>
      <c r="AH22" s="360">
        <f t="shared" si="17"/>
        <v>2.8460008707612667</v>
      </c>
      <c r="AI22" s="360">
        <f t="shared" si="18"/>
        <v>1.4579497721472998E-2</v>
      </c>
      <c r="AJ22" s="360">
        <f t="shared" si="19"/>
        <v>0</v>
      </c>
      <c r="AK22" s="360">
        <f t="shared" si="20"/>
        <v>1.4611878867380317E-2</v>
      </c>
      <c r="AL22" s="360">
        <f t="shared" si="21"/>
        <v>1.7297279999999998E-2</v>
      </c>
      <c r="AM22" s="360">
        <f t="shared" si="22"/>
        <v>4.4549999999999999E-2</v>
      </c>
      <c r="AN22" s="360">
        <f t="shared" si="23"/>
        <v>3.8214389552161825E-2</v>
      </c>
      <c r="AO22" s="360">
        <f t="shared" si="24"/>
        <v>1.5749999999999998E-3</v>
      </c>
      <c r="AP22" s="360">
        <f t="shared" si="25"/>
        <v>0.23760000000000001</v>
      </c>
      <c r="AQ22" s="360">
        <f t="shared" si="26"/>
        <v>0.22704000000000002</v>
      </c>
      <c r="AR22" s="360">
        <f t="shared" si="27"/>
        <v>0.2112</v>
      </c>
      <c r="AS22" s="360">
        <f t="shared" si="28"/>
        <v>0.239175</v>
      </c>
      <c r="AT22" s="360">
        <f t="shared" si="29"/>
        <v>1.203780826588102</v>
      </c>
      <c r="AU22">
        <f t="shared" si="30"/>
        <v>93.6</v>
      </c>
      <c r="AV22" s="542">
        <f t="shared" si="47"/>
        <v>0.98730239642245898</v>
      </c>
      <c r="AW22" s="551">
        <f t="shared" si="31"/>
        <v>20.656050324187287</v>
      </c>
      <c r="AX22" s="551">
        <f t="shared" si="32"/>
        <v>1.1139083969604522</v>
      </c>
      <c r="AY22" s="9"/>
      <c r="AZ22" s="4">
        <f t="shared" si="48"/>
        <v>98.730239642245891</v>
      </c>
      <c r="BA22" s="360">
        <f t="shared" si="33"/>
        <v>0.32495042589772316</v>
      </c>
      <c r="BB22" s="360">
        <f t="shared" si="34"/>
        <v>0.57333915055651952</v>
      </c>
      <c r="BC22" s="360">
        <f t="shared" si="35"/>
        <v>0.54358027168913914</v>
      </c>
      <c r="BD22" s="360">
        <f t="shared" si="36"/>
        <v>2.9313378867380318E-2</v>
      </c>
      <c r="BE22" s="360">
        <f t="shared" si="37"/>
        <v>3.8214389552161825E-2</v>
      </c>
      <c r="BK22" s="18"/>
      <c r="BL22" s="19"/>
    </row>
    <row r="23" spans="1:65" x14ac:dyDescent="0.25">
      <c r="A23" s="36" t="s">
        <v>86</v>
      </c>
      <c r="B23" s="39">
        <f>RCinEsr*1000</f>
        <v>1.5</v>
      </c>
      <c r="C23" s="442" t="s">
        <v>466</v>
      </c>
      <c r="D23" s="440" t="s">
        <v>480</v>
      </c>
      <c r="G23">
        <v>14</v>
      </c>
      <c r="H23" s="548">
        <f t="shared" si="0"/>
        <v>45</v>
      </c>
      <c r="I23" s="4">
        <f t="shared" si="1"/>
        <v>2</v>
      </c>
      <c r="J23" s="360">
        <f t="shared" si="38"/>
        <v>8.4</v>
      </c>
      <c r="K23" s="360">
        <f t="shared" si="2"/>
        <v>4.2</v>
      </c>
      <c r="L23" s="4">
        <f t="shared" si="3"/>
        <v>2.4888888888888894</v>
      </c>
      <c r="M23" s="360">
        <f t="shared" si="4"/>
        <v>0.53372774123713274</v>
      </c>
      <c r="N23" s="4">
        <f t="shared" si="5"/>
        <v>5.0914133023352539</v>
      </c>
      <c r="O23" s="4">
        <f t="shared" si="39"/>
        <v>6.7457066511676267</v>
      </c>
      <c r="P23" s="4">
        <f t="shared" si="40"/>
        <v>1.6542933488323732</v>
      </c>
      <c r="Q23" s="4">
        <f t="shared" si="6"/>
        <v>0</v>
      </c>
      <c r="R23" s="4">
        <f t="shared" si="41"/>
        <v>4.4497424027988819</v>
      </c>
      <c r="S23" s="360">
        <f t="shared" si="7"/>
        <v>2.7720290431772914E-2</v>
      </c>
      <c r="T23" s="360">
        <f t="shared" si="8"/>
        <v>0.3</v>
      </c>
      <c r="U23" s="360">
        <f t="shared" si="9"/>
        <v>0.32844866582445953</v>
      </c>
      <c r="V23" s="4">
        <f t="shared" si="42"/>
        <v>1.4697644203294502</v>
      </c>
      <c r="W23" s="360">
        <f t="shared" si="10"/>
        <v>4.3204149025327298E-3</v>
      </c>
      <c r="X23" s="360">
        <f t="shared" si="43"/>
        <v>4.3204149025327298E-3</v>
      </c>
      <c r="Y23" s="4">
        <f t="shared" si="44"/>
        <v>2.2198035787778232</v>
      </c>
      <c r="Z23" s="360">
        <f t="shared" si="11"/>
        <v>7.3912918925322472E-3</v>
      </c>
      <c r="AA23" s="541">
        <f t="shared" si="45"/>
        <v>7.3912918925322472E-3</v>
      </c>
      <c r="AB23" s="360">
        <f t="shared" si="46"/>
        <v>3.2508337390569584</v>
      </c>
      <c r="AC23" s="360">
        <f t="shared" si="12"/>
        <v>1.9022255998183881E-2</v>
      </c>
      <c r="AD23" s="360">
        <f t="shared" si="13"/>
        <v>0.10789293103448275</v>
      </c>
      <c r="AE23" s="360">
        <f t="shared" si="14"/>
        <v>0.39600000000000002</v>
      </c>
      <c r="AF23" s="360">
        <f t="shared" si="15"/>
        <v>0</v>
      </c>
      <c r="AG23" s="360">
        <f t="shared" si="16"/>
        <v>0.5244315193661313</v>
      </c>
      <c r="AH23" s="360">
        <f t="shared" si="17"/>
        <v>3.0384679449148915</v>
      </c>
      <c r="AI23" s="360">
        <f t="shared" si="18"/>
        <v>1.6618117414095582E-2</v>
      </c>
      <c r="AJ23" s="360">
        <f t="shared" si="19"/>
        <v>0</v>
      </c>
      <c r="AK23" s="360">
        <f t="shared" si="20"/>
        <v>1.6660200311162398E-2</v>
      </c>
      <c r="AL23" s="360">
        <f t="shared" si="21"/>
        <v>1.862784E-2</v>
      </c>
      <c r="AM23" s="360">
        <f t="shared" si="22"/>
        <v>4.4549999999999999E-2</v>
      </c>
      <c r="AN23" s="360">
        <f t="shared" si="23"/>
        <v>4.3560456392786009E-2</v>
      </c>
      <c r="AO23" s="360">
        <f t="shared" si="24"/>
        <v>1.5749999999999998E-3</v>
      </c>
      <c r="AP23" s="360">
        <f t="shared" si="25"/>
        <v>0.23760000000000001</v>
      </c>
      <c r="AQ23" s="360">
        <f t="shared" si="26"/>
        <v>0.22704000000000002</v>
      </c>
      <c r="AR23" s="360">
        <f t="shared" si="27"/>
        <v>0.2112</v>
      </c>
      <c r="AS23" s="360">
        <f t="shared" si="28"/>
        <v>0.239175</v>
      </c>
      <c r="AT23" s="360">
        <f t="shared" si="29"/>
        <v>1.2271653886896041</v>
      </c>
      <c r="AU23">
        <f t="shared" si="30"/>
        <v>100.80000000000001</v>
      </c>
      <c r="AV23" s="542">
        <f t="shared" si="47"/>
        <v>0.98797217011749261</v>
      </c>
      <c r="AW23" s="551">
        <f t="shared" si="31"/>
        <v>21.045711735912988</v>
      </c>
      <c r="AX23" s="551">
        <f t="shared" si="32"/>
        <v>1.1917446118241712</v>
      </c>
      <c r="AY23" s="9"/>
      <c r="AZ23" s="4">
        <f t="shared" si="48"/>
        <v>98.797217011749268</v>
      </c>
      <c r="BA23" s="360">
        <f t="shared" si="33"/>
        <v>0.32844866582445953</v>
      </c>
      <c r="BB23" s="360">
        <f t="shared" si="34"/>
        <v>0.58564171967729373</v>
      </c>
      <c r="BC23" s="360">
        <f t="shared" si="35"/>
        <v>0.55383451936613126</v>
      </c>
      <c r="BD23" s="360">
        <f t="shared" si="36"/>
        <v>3.1361700311162401E-2</v>
      </c>
      <c r="BE23" s="360">
        <f t="shared" si="37"/>
        <v>4.3560456392786009E-2</v>
      </c>
      <c r="BK23" s="18"/>
      <c r="BL23" s="19"/>
    </row>
    <row r="24" spans="1:65" x14ac:dyDescent="0.25">
      <c r="A24" s="35" t="s">
        <v>25</v>
      </c>
      <c r="B24" s="39">
        <f>Cout*1000000</f>
        <v>204</v>
      </c>
      <c r="C24" s="441" t="s">
        <v>467</v>
      </c>
      <c r="D24" s="440" t="s">
        <v>483</v>
      </c>
      <c r="G24">
        <v>15</v>
      </c>
      <c r="H24" s="548">
        <f t="shared" si="0"/>
        <v>45</v>
      </c>
      <c r="I24" s="4">
        <f t="shared" si="1"/>
        <v>2</v>
      </c>
      <c r="J24" s="360">
        <f t="shared" si="38"/>
        <v>9</v>
      </c>
      <c r="K24" s="360">
        <f t="shared" si="2"/>
        <v>4.5</v>
      </c>
      <c r="L24" s="4">
        <f t="shared" si="3"/>
        <v>2.6666666666666665</v>
      </c>
      <c r="M24" s="360">
        <f t="shared" si="4"/>
        <v>0.53375590703378584</v>
      </c>
      <c r="N24" s="4">
        <f t="shared" si="5"/>
        <v>5.0914490739310061</v>
      </c>
      <c r="O24" s="4">
        <f t="shared" si="39"/>
        <v>7.045724536965503</v>
      </c>
      <c r="P24" s="4">
        <f t="shared" si="40"/>
        <v>1.954275463034497</v>
      </c>
      <c r="Q24" s="4">
        <f t="shared" si="6"/>
        <v>0</v>
      </c>
      <c r="R24" s="4">
        <f t="shared" si="41"/>
        <v>4.7339452685932137</v>
      </c>
      <c r="S24" s="360">
        <f t="shared" si="7"/>
        <v>3.1374332928450509E-2</v>
      </c>
      <c r="T24" s="360">
        <f t="shared" si="8"/>
        <v>0.3</v>
      </c>
      <c r="U24" s="360">
        <f t="shared" si="9"/>
        <v>0.33220815767568762</v>
      </c>
      <c r="V24" s="4">
        <f t="shared" si="42"/>
        <v>1.4697747466996687</v>
      </c>
      <c r="W24" s="360">
        <f t="shared" si="10"/>
        <v>4.3204756120721506E-3</v>
      </c>
      <c r="X24" s="360">
        <f t="shared" si="43"/>
        <v>4.3204756120721506E-3</v>
      </c>
      <c r="Y24" s="4">
        <f t="shared" si="44"/>
        <v>2.3615723265885733</v>
      </c>
      <c r="Z24" s="360">
        <f t="shared" si="11"/>
        <v>8.365535780563451E-3</v>
      </c>
      <c r="AA24" s="541">
        <f t="shared" si="45"/>
        <v>8.365535780563451E-3</v>
      </c>
      <c r="AB24" s="360">
        <f t="shared" si="46"/>
        <v>3.4585541497862402</v>
      </c>
      <c r="AC24" s="360">
        <f t="shared" si="12"/>
        <v>2.1530874252606521E-2</v>
      </c>
      <c r="AD24" s="360">
        <f t="shared" si="13"/>
        <v>0.11559956896551724</v>
      </c>
      <c r="AE24" s="360">
        <f t="shared" si="14"/>
        <v>0.39600000000000002</v>
      </c>
      <c r="AF24" s="360">
        <f t="shared" si="15"/>
        <v>0</v>
      </c>
      <c r="AG24" s="360">
        <f t="shared" si="16"/>
        <v>0.53488094427953625</v>
      </c>
      <c r="AH24" s="360">
        <f t="shared" si="17"/>
        <v>3.2324357687404173</v>
      </c>
      <c r="AI24" s="360">
        <f t="shared" si="18"/>
        <v>1.8807553798258415E-2</v>
      </c>
      <c r="AJ24" s="360">
        <f t="shared" si="19"/>
        <v>0</v>
      </c>
      <c r="AK24" s="360">
        <f t="shared" si="20"/>
        <v>1.8861474002685449E-2</v>
      </c>
      <c r="AL24" s="360">
        <f t="shared" si="21"/>
        <v>1.9958399999999998E-2</v>
      </c>
      <c r="AM24" s="360">
        <f t="shared" si="22"/>
        <v>4.4549999999999999E-2</v>
      </c>
      <c r="AN24" s="360">
        <f t="shared" si="23"/>
        <v>4.9302523173279371E-2</v>
      </c>
      <c r="AO24" s="360">
        <f t="shared" si="24"/>
        <v>1.5749999999999998E-3</v>
      </c>
      <c r="AP24" s="360">
        <f t="shared" si="25"/>
        <v>0.23760000000000001</v>
      </c>
      <c r="AQ24" s="360">
        <f t="shared" si="26"/>
        <v>0.22704000000000002</v>
      </c>
      <c r="AR24" s="360">
        <f t="shared" si="27"/>
        <v>0.2112</v>
      </c>
      <c r="AS24" s="360">
        <f t="shared" si="28"/>
        <v>0.239175</v>
      </c>
      <c r="AT24" s="360">
        <f t="shared" si="29"/>
        <v>1.2516225105238243</v>
      </c>
      <c r="AU24">
        <f t="shared" si="30"/>
        <v>108</v>
      </c>
      <c r="AV24" s="542">
        <f t="shared" si="47"/>
        <v>0.98854367118984188</v>
      </c>
      <c r="AW24" s="551">
        <f t="shared" si="31"/>
        <v>21.442789882622375</v>
      </c>
      <c r="AX24" s="551">
        <f t="shared" si="32"/>
        <v>1.2753930121020471</v>
      </c>
      <c r="AY24" s="9"/>
      <c r="AZ24" s="4">
        <f t="shared" si="48"/>
        <v>98.854367118984186</v>
      </c>
      <c r="BA24" s="360">
        <f t="shared" si="33"/>
        <v>0.33220815767568762</v>
      </c>
      <c r="BB24" s="360">
        <f t="shared" si="34"/>
        <v>0.59829241828222168</v>
      </c>
      <c r="BC24" s="360">
        <f t="shared" si="35"/>
        <v>0.56428394427953621</v>
      </c>
      <c r="BD24" s="360">
        <f t="shared" si="36"/>
        <v>3.3562974002685451E-2</v>
      </c>
      <c r="BE24" s="360">
        <f t="shared" si="37"/>
        <v>4.9302523173279371E-2</v>
      </c>
      <c r="BK24" s="18"/>
      <c r="BL24" s="19"/>
    </row>
    <row r="25" spans="1:65" x14ac:dyDescent="0.25">
      <c r="A25" s="35" t="s">
        <v>85</v>
      </c>
      <c r="B25" s="40">
        <f>Cout_ESR*1000</f>
        <v>2</v>
      </c>
      <c r="C25" s="442" t="s">
        <v>466</v>
      </c>
      <c r="D25" s="440" t="s">
        <v>482</v>
      </c>
      <c r="G25">
        <v>16</v>
      </c>
      <c r="H25" s="548">
        <f t="shared" si="0"/>
        <v>45</v>
      </c>
      <c r="I25" s="4">
        <f t="shared" si="1"/>
        <v>2</v>
      </c>
      <c r="J25" s="360">
        <f t="shared" si="38"/>
        <v>9.6</v>
      </c>
      <c r="K25" s="360">
        <f t="shared" si="2"/>
        <v>4.8</v>
      </c>
      <c r="L25" s="4">
        <f t="shared" si="3"/>
        <v>2.8444444444444441</v>
      </c>
      <c r="M25" s="360">
        <f t="shared" si="4"/>
        <v>0.53378407200443634</v>
      </c>
      <c r="N25" s="4">
        <f t="shared" si="5"/>
        <v>5.0914848130668968</v>
      </c>
      <c r="O25" s="4">
        <f t="shared" si="39"/>
        <v>7.3457424065334482</v>
      </c>
      <c r="P25" s="4">
        <f t="shared" si="40"/>
        <v>2.2542575934665514</v>
      </c>
      <c r="Q25" s="4">
        <f t="shared" si="6"/>
        <v>0</v>
      </c>
      <c r="R25" s="4">
        <f t="shared" si="41"/>
        <v>5.0199868658667066</v>
      </c>
      <c r="S25" s="360">
        <f t="shared" si="7"/>
        <v>3.5280375386863932E-2</v>
      </c>
      <c r="T25" s="360">
        <f t="shared" si="8"/>
        <v>0.3</v>
      </c>
      <c r="U25" s="360">
        <f t="shared" si="9"/>
        <v>0.33622935922763481</v>
      </c>
      <c r="V25" s="4">
        <f t="shared" si="42"/>
        <v>1.4697850636995322</v>
      </c>
      <c r="W25" s="360">
        <f t="shared" si="10"/>
        <v>4.3205362669484762E-3</v>
      </c>
      <c r="X25" s="360">
        <f t="shared" si="43"/>
        <v>4.3205362669484762E-3</v>
      </c>
      <c r="Y25" s="4">
        <f t="shared" si="44"/>
        <v>2.504257248486371</v>
      </c>
      <c r="Z25" s="360">
        <f t="shared" si="11"/>
        <v>9.4069565498947957E-3</v>
      </c>
      <c r="AA25" s="541">
        <f t="shared" si="45"/>
        <v>9.4069565498947957E-3</v>
      </c>
      <c r="AB25" s="360">
        <f t="shared" si="46"/>
        <v>3.667628898878609</v>
      </c>
      <c r="AC25" s="360">
        <f t="shared" si="12"/>
        <v>2.4212703131801131E-2</v>
      </c>
      <c r="AD25" s="360">
        <f t="shared" si="13"/>
        <v>0.12330620689655171</v>
      </c>
      <c r="AE25" s="360">
        <f t="shared" si="14"/>
        <v>0.39600000000000002</v>
      </c>
      <c r="AF25" s="360">
        <f t="shared" si="15"/>
        <v>0</v>
      </c>
      <c r="AG25" s="360">
        <f t="shared" si="16"/>
        <v>0.54552662852300471</v>
      </c>
      <c r="AH25" s="360">
        <f t="shared" si="17"/>
        <v>3.4276473554881228</v>
      </c>
      <c r="AI25" s="360">
        <f t="shared" si="18"/>
        <v>2.1147779508452497E-2</v>
      </c>
      <c r="AJ25" s="360">
        <f t="shared" si="19"/>
        <v>0</v>
      </c>
      <c r="AK25" s="360">
        <f t="shared" si="20"/>
        <v>2.1215977472125291E-2</v>
      </c>
      <c r="AL25" s="360">
        <f t="shared" si="21"/>
        <v>2.1288959999999996E-2</v>
      </c>
      <c r="AM25" s="360">
        <f t="shared" si="22"/>
        <v>4.4549999999999999E-2</v>
      </c>
      <c r="AN25" s="360">
        <f t="shared" si="23"/>
        <v>5.5440589893643331E-2</v>
      </c>
      <c r="AO25" s="360">
        <f t="shared" si="24"/>
        <v>1.5749999999999998E-3</v>
      </c>
      <c r="AP25" s="360">
        <f t="shared" si="25"/>
        <v>0.23760000000000001</v>
      </c>
      <c r="AQ25" s="360">
        <f t="shared" si="26"/>
        <v>0.22704000000000002</v>
      </c>
      <c r="AR25" s="360">
        <f t="shared" si="27"/>
        <v>0.2112</v>
      </c>
      <c r="AS25" s="360">
        <f t="shared" si="28"/>
        <v>0.239175</v>
      </c>
      <c r="AT25" s="360">
        <f t="shared" si="29"/>
        <v>1.2771540079332515</v>
      </c>
      <c r="AU25">
        <f t="shared" si="30"/>
        <v>115.19999999999999</v>
      </c>
      <c r="AV25" s="542">
        <f t="shared" si="47"/>
        <v>0.98903515441451928</v>
      </c>
      <c r="AW25" s="551">
        <f t="shared" si="31"/>
        <v>21.847325883874177</v>
      </c>
      <c r="AX25" s="551">
        <f t="shared" si="32"/>
        <v>1.3648641439407612</v>
      </c>
      <c r="AY25" s="9"/>
      <c r="AZ25" s="4">
        <f t="shared" si="48"/>
        <v>98.90351544145193</v>
      </c>
      <c r="BA25" s="360">
        <f t="shared" si="33"/>
        <v>0.33622935922763481</v>
      </c>
      <c r="BB25" s="360">
        <f t="shared" si="34"/>
        <v>0.61129260599513002</v>
      </c>
      <c r="BC25" s="360">
        <f t="shared" si="35"/>
        <v>0.57492962852300467</v>
      </c>
      <c r="BD25" s="360">
        <f t="shared" si="36"/>
        <v>3.5917477472125293E-2</v>
      </c>
      <c r="BE25" s="360">
        <f t="shared" si="37"/>
        <v>5.5440589893643331E-2</v>
      </c>
    </row>
    <row r="26" spans="1:65" ht="13" x14ac:dyDescent="0.3">
      <c r="A26" s="24" t="s">
        <v>112</v>
      </c>
      <c r="B26" s="37" t="s">
        <v>111</v>
      </c>
      <c r="C26" s="24" t="s">
        <v>76</v>
      </c>
      <c r="D26" s="17" t="s">
        <v>107</v>
      </c>
      <c r="G26">
        <v>17</v>
      </c>
      <c r="H26" s="548">
        <f t="shared" si="0"/>
        <v>45</v>
      </c>
      <c r="I26" s="4">
        <f t="shared" si="1"/>
        <v>2</v>
      </c>
      <c r="J26" s="360">
        <f t="shared" si="38"/>
        <v>10.199999999999999</v>
      </c>
      <c r="K26" s="360">
        <f t="shared" si="2"/>
        <v>5.0999999999999996</v>
      </c>
      <c r="L26" s="4">
        <f t="shared" si="3"/>
        <v>3.0222222222222221</v>
      </c>
      <c r="M26" s="360">
        <f t="shared" si="4"/>
        <v>0.5338122361491201</v>
      </c>
      <c r="N26" s="4">
        <f t="shared" si="5"/>
        <v>5.0915205197443481</v>
      </c>
      <c r="O26" s="4">
        <f t="shared" si="39"/>
        <v>7.6457602598721737</v>
      </c>
      <c r="P26" s="4">
        <f t="shared" si="40"/>
        <v>2.5542397401278256</v>
      </c>
      <c r="Q26" s="4">
        <f t="shared" si="6"/>
        <v>0</v>
      </c>
      <c r="R26" s="4">
        <f t="shared" si="41"/>
        <v>5.3075699179173776</v>
      </c>
      <c r="S26" s="360">
        <f t="shared" si="7"/>
        <v>3.943841780701407E-2</v>
      </c>
      <c r="T26" s="360">
        <f t="shared" si="8"/>
        <v>0.3</v>
      </c>
      <c r="U26" s="360">
        <f t="shared" si="9"/>
        <v>0.34051276056860802</v>
      </c>
      <c r="V26" s="4">
        <f t="shared" si="42"/>
        <v>1.4697953713294514</v>
      </c>
      <c r="W26" s="360">
        <f t="shared" si="10"/>
        <v>4.3205968671629598E-3</v>
      </c>
      <c r="X26" s="360">
        <f t="shared" si="43"/>
        <v>4.3205968671629598E-3</v>
      </c>
      <c r="Y26" s="4">
        <f t="shared" si="44"/>
        <v>2.6477100345369062</v>
      </c>
      <c r="Z26" s="360">
        <f t="shared" si="11"/>
        <v>1.0515552640481138E-2</v>
      </c>
      <c r="AA26" s="541">
        <f t="shared" si="45"/>
        <v>1.0515552640481138E-2</v>
      </c>
      <c r="AB26" s="360">
        <f t="shared" si="46"/>
        <v>3.8778408940824511</v>
      </c>
      <c r="AC26" s="360">
        <f t="shared" si="12"/>
        <v>2.7067769999672728E-2</v>
      </c>
      <c r="AD26" s="360">
        <f t="shared" si="13"/>
        <v>0.13101284482758618</v>
      </c>
      <c r="AE26" s="360">
        <f t="shared" si="14"/>
        <v>0.39600000000000002</v>
      </c>
      <c r="AF26" s="360">
        <f t="shared" si="15"/>
        <v>0</v>
      </c>
      <c r="AG26" s="360">
        <f t="shared" si="16"/>
        <v>0.55636968720994362</v>
      </c>
      <c r="AH26" s="360">
        <f t="shared" si="17"/>
        <v>3.623899616954545</v>
      </c>
      <c r="AI26" s="360">
        <f t="shared" si="18"/>
        <v>2.3638767180773936E-2</v>
      </c>
      <c r="AJ26" s="360">
        <f t="shared" si="19"/>
        <v>0</v>
      </c>
      <c r="AK26" s="360">
        <f t="shared" si="20"/>
        <v>2.372400974490297E-2</v>
      </c>
      <c r="AL26" s="360">
        <f t="shared" si="21"/>
        <v>2.2619519999999994E-2</v>
      </c>
      <c r="AM26" s="360">
        <f t="shared" si="22"/>
        <v>4.4549999999999999E-2</v>
      </c>
      <c r="AN26" s="360">
        <f t="shared" si="23"/>
        <v>6.1974656553879258E-2</v>
      </c>
      <c r="AO26" s="360">
        <f t="shared" si="24"/>
        <v>1.5749999999999998E-3</v>
      </c>
      <c r="AP26" s="360">
        <f t="shared" si="25"/>
        <v>0.23760000000000001</v>
      </c>
      <c r="AQ26" s="360">
        <f t="shared" si="26"/>
        <v>0.22704000000000002</v>
      </c>
      <c r="AR26" s="360">
        <f t="shared" si="27"/>
        <v>0.2112</v>
      </c>
      <c r="AS26" s="360">
        <f t="shared" si="28"/>
        <v>0.239175</v>
      </c>
      <c r="AT26" s="360">
        <f t="shared" si="29"/>
        <v>1.303761783584978</v>
      </c>
      <c r="AU26">
        <f t="shared" si="30"/>
        <v>122.39999999999999</v>
      </c>
      <c r="AV26" s="542">
        <f t="shared" si="47"/>
        <v>0.98946061328461576</v>
      </c>
      <c r="AW26" s="551">
        <f t="shared" si="31"/>
        <v>22.259362113977858</v>
      </c>
      <c r="AX26" s="551">
        <f t="shared" si="32"/>
        <v>1.4601693703063128</v>
      </c>
      <c r="AY26" s="9"/>
      <c r="AZ26" s="4">
        <f t="shared" si="48"/>
        <v>98.946061328461582</v>
      </c>
      <c r="BA26" s="360">
        <f t="shared" si="33"/>
        <v>0.34051276056860802</v>
      </c>
      <c r="BB26" s="360">
        <f t="shared" si="34"/>
        <v>0.62464369695484656</v>
      </c>
      <c r="BC26" s="360">
        <f t="shared" si="35"/>
        <v>0.58577268720994358</v>
      </c>
      <c r="BD26" s="360">
        <f t="shared" si="36"/>
        <v>3.8425509744902969E-2</v>
      </c>
      <c r="BE26" s="360">
        <f t="shared" si="37"/>
        <v>6.1974656553879258E-2</v>
      </c>
    </row>
    <row r="27" spans="1:65" x14ac:dyDescent="0.25">
      <c r="A27" s="22" t="s">
        <v>61</v>
      </c>
      <c r="B27" s="5">
        <f>RdsonDRT</f>
        <v>1</v>
      </c>
      <c r="C27" s="444" t="s">
        <v>116</v>
      </c>
      <c r="D27" s="440" t="s">
        <v>507</v>
      </c>
      <c r="G27">
        <v>18</v>
      </c>
      <c r="H27" s="548">
        <f t="shared" si="0"/>
        <v>45</v>
      </c>
      <c r="I27" s="4">
        <f t="shared" si="1"/>
        <v>2</v>
      </c>
      <c r="J27" s="360">
        <f t="shared" si="38"/>
        <v>10.8</v>
      </c>
      <c r="K27" s="360">
        <f t="shared" si="2"/>
        <v>5.4</v>
      </c>
      <c r="L27" s="4">
        <f t="shared" si="3"/>
        <v>3.2000000000000006</v>
      </c>
      <c r="M27" s="360">
        <f t="shared" si="4"/>
        <v>0.53384039946787387</v>
      </c>
      <c r="N27" s="4">
        <f t="shared" si="5"/>
        <v>5.0915561939647933</v>
      </c>
      <c r="O27" s="4">
        <f t="shared" si="39"/>
        <v>7.945778096982397</v>
      </c>
      <c r="P27" s="4">
        <f t="shared" si="40"/>
        <v>2.8542219030176037</v>
      </c>
      <c r="Q27" s="4">
        <f t="shared" si="6"/>
        <v>0</v>
      </c>
      <c r="R27" s="4">
        <f t="shared" si="41"/>
        <v>5.5964567992934997</v>
      </c>
      <c r="S27" s="360">
        <f t="shared" si="7"/>
        <v>4.3848460188901817E-2</v>
      </c>
      <c r="T27" s="360">
        <f t="shared" si="8"/>
        <v>0.3</v>
      </c>
      <c r="U27" s="360">
        <f t="shared" si="9"/>
        <v>0.34505888424880665</v>
      </c>
      <c r="V27" s="4">
        <f t="shared" si="42"/>
        <v>1.46980566958984</v>
      </c>
      <c r="W27" s="360">
        <f t="shared" si="10"/>
        <v>4.3206574127168766E-3</v>
      </c>
      <c r="X27" s="360">
        <f t="shared" si="43"/>
        <v>4.3206574127168766E-3</v>
      </c>
      <c r="Y27" s="4">
        <f t="shared" si="44"/>
        <v>2.7918121342955748</v>
      </c>
      <c r="Z27" s="360">
        <f t="shared" si="11"/>
        <v>1.1691322489800021E-2</v>
      </c>
      <c r="AA27" s="541">
        <f t="shared" si="45"/>
        <v>1.1691322489800021E-2</v>
      </c>
      <c r="AB27" s="360">
        <f t="shared" si="46"/>
        <v>4.0890166040342155</v>
      </c>
      <c r="AC27" s="360">
        <f t="shared" si="12"/>
        <v>3.0096102218521516E-2</v>
      </c>
      <c r="AD27" s="360">
        <f t="shared" si="13"/>
        <v>0.1387194827586207</v>
      </c>
      <c r="AE27" s="360">
        <f t="shared" si="14"/>
        <v>0.39600000000000002</v>
      </c>
      <c r="AF27" s="360">
        <f t="shared" si="15"/>
        <v>0</v>
      </c>
      <c r="AG27" s="360">
        <f t="shared" si="16"/>
        <v>0.56741126884429827</v>
      </c>
      <c r="AH27" s="360">
        <f t="shared" si="17"/>
        <v>3.8210302168775025</v>
      </c>
      <c r="AI27" s="360">
        <f t="shared" si="18"/>
        <v>2.6280489452923682E-2</v>
      </c>
      <c r="AJ27" s="360">
        <f t="shared" si="19"/>
        <v>0</v>
      </c>
      <c r="AK27" s="360">
        <f t="shared" si="20"/>
        <v>2.6385891442471179E-2</v>
      </c>
      <c r="AL27" s="360">
        <f t="shared" si="21"/>
        <v>2.3950079999999999E-2</v>
      </c>
      <c r="AM27" s="360">
        <f t="shared" si="22"/>
        <v>4.4549999999999999E-2</v>
      </c>
      <c r="AN27" s="360">
        <f t="shared" si="23"/>
        <v>6.8904723153988573E-2</v>
      </c>
      <c r="AO27" s="360">
        <f t="shared" si="24"/>
        <v>1.5749999999999998E-3</v>
      </c>
      <c r="AP27" s="360">
        <f t="shared" si="25"/>
        <v>0.23760000000000001</v>
      </c>
      <c r="AQ27" s="360">
        <f t="shared" si="26"/>
        <v>0.22704000000000002</v>
      </c>
      <c r="AR27" s="360">
        <f t="shared" si="27"/>
        <v>0.2112</v>
      </c>
      <c r="AS27" s="360">
        <f t="shared" si="28"/>
        <v>0.239175</v>
      </c>
      <c r="AT27" s="360">
        <f t="shared" si="29"/>
        <v>1.3314478275920816</v>
      </c>
      <c r="AU27">
        <f t="shared" si="30"/>
        <v>129.60000000000002</v>
      </c>
      <c r="AV27" s="542">
        <f t="shared" si="47"/>
        <v>0.9898309546737365</v>
      </c>
      <c r="AW27" s="551">
        <f t="shared" si="31"/>
        <v>22.678942216083332</v>
      </c>
      <c r="AX27" s="551">
        <f t="shared" si="32"/>
        <v>1.5613208748139047</v>
      </c>
      <c r="AY27" s="9"/>
      <c r="AZ27" s="4">
        <f t="shared" si="48"/>
        <v>98.983095467373644</v>
      </c>
      <c r="BA27" s="360">
        <f t="shared" si="33"/>
        <v>0.34505888424880665</v>
      </c>
      <c r="BB27" s="360">
        <f t="shared" si="34"/>
        <v>0.63834716028676941</v>
      </c>
      <c r="BC27" s="360">
        <f t="shared" si="35"/>
        <v>0.59681426884429822</v>
      </c>
      <c r="BD27" s="360">
        <f t="shared" si="36"/>
        <v>4.1087391442471179E-2</v>
      </c>
      <c r="BE27" s="360">
        <f t="shared" si="37"/>
        <v>6.8904723153988573E-2</v>
      </c>
    </row>
    <row r="28" spans="1:65" x14ac:dyDescent="0.25">
      <c r="A28" s="22" t="s">
        <v>126</v>
      </c>
      <c r="B28" s="5">
        <f>RdsonDRT2</f>
        <v>0.5</v>
      </c>
      <c r="C28" s="444" t="s">
        <v>116</v>
      </c>
      <c r="D28" s="440" t="s">
        <v>506</v>
      </c>
      <c r="G28">
        <v>19</v>
      </c>
      <c r="H28" s="548">
        <f t="shared" si="0"/>
        <v>45</v>
      </c>
      <c r="I28" s="4">
        <f t="shared" si="1"/>
        <v>2</v>
      </c>
      <c r="J28" s="360">
        <f t="shared" si="38"/>
        <v>11.4</v>
      </c>
      <c r="K28" s="360">
        <f t="shared" si="2"/>
        <v>5.7</v>
      </c>
      <c r="L28" s="4">
        <f t="shared" si="3"/>
        <v>3.3777777777777782</v>
      </c>
      <c r="M28" s="360">
        <f t="shared" si="4"/>
        <v>0.53386856196073362</v>
      </c>
      <c r="N28" s="4">
        <f t="shared" si="5"/>
        <v>5.0915918357296555</v>
      </c>
      <c r="O28" s="4">
        <f t="shared" si="39"/>
        <v>8.2457959178648288</v>
      </c>
      <c r="P28" s="4">
        <f t="shared" si="40"/>
        <v>3.1542040821351724</v>
      </c>
      <c r="Q28" s="4">
        <f t="shared" si="6"/>
        <v>0</v>
      </c>
      <c r="R28" s="4">
        <f t="shared" si="41"/>
        <v>5.8864555508222214</v>
      </c>
      <c r="S28" s="360">
        <f t="shared" si="7"/>
        <v>4.851050253252804E-2</v>
      </c>
      <c r="T28" s="360">
        <f t="shared" si="8"/>
        <v>0.3</v>
      </c>
      <c r="U28" s="360">
        <f t="shared" si="9"/>
        <v>0.3498682854402802</v>
      </c>
      <c r="V28" s="4">
        <f t="shared" si="42"/>
        <v>1.4698159584811088</v>
      </c>
      <c r="W28" s="360">
        <f t="shared" si="10"/>
        <v>4.3207179036114807E-3</v>
      </c>
      <c r="X28" s="360">
        <f t="shared" si="43"/>
        <v>4.3207179036114807E-3</v>
      </c>
      <c r="Y28" s="4">
        <f t="shared" si="44"/>
        <v>2.9364677798166543</v>
      </c>
      <c r="Z28" s="360">
        <f t="shared" si="11"/>
        <v>1.2934264532852027E-2</v>
      </c>
      <c r="AA28" s="541">
        <f t="shared" si="45"/>
        <v>1.2934264532852027E-2</v>
      </c>
      <c r="AB28" s="360">
        <f t="shared" si="46"/>
        <v>4.3010158457071235</v>
      </c>
      <c r="AC28" s="360">
        <f t="shared" si="12"/>
        <v>3.329772714904277E-2</v>
      </c>
      <c r="AD28" s="360">
        <f t="shared" si="13"/>
        <v>0.14642612068965516</v>
      </c>
      <c r="AE28" s="360">
        <f t="shared" si="14"/>
        <v>0.39600000000000002</v>
      </c>
      <c r="AF28" s="360">
        <f t="shared" si="15"/>
        <v>0</v>
      </c>
      <c r="AG28" s="360">
        <f t="shared" si="16"/>
        <v>0.57865255570562335</v>
      </c>
      <c r="AH28" s="360">
        <f t="shared" si="17"/>
        <v>4.018908016710756</v>
      </c>
      <c r="AI28" s="360">
        <f t="shared" si="18"/>
        <v>2.9072918964207568E-2</v>
      </c>
      <c r="AJ28" s="360">
        <f t="shared" si="19"/>
        <v>0</v>
      </c>
      <c r="AK28" s="360">
        <f t="shared" si="20"/>
        <v>2.9201964890754977E-2</v>
      </c>
      <c r="AL28" s="360">
        <f t="shared" si="21"/>
        <v>2.5280639999999997E-2</v>
      </c>
      <c r="AM28" s="360">
        <f t="shared" si="22"/>
        <v>4.4549999999999999E-2</v>
      </c>
      <c r="AN28" s="360">
        <f t="shared" si="23"/>
        <v>7.6230789693972636E-2</v>
      </c>
      <c r="AO28" s="360">
        <f t="shared" si="24"/>
        <v>1.5749999999999998E-3</v>
      </c>
      <c r="AP28" s="360">
        <f t="shared" si="25"/>
        <v>0.23760000000000001</v>
      </c>
      <c r="AQ28" s="360">
        <f t="shared" si="26"/>
        <v>0.22704000000000002</v>
      </c>
      <c r="AR28" s="360">
        <f t="shared" si="27"/>
        <v>0.2112</v>
      </c>
      <c r="AS28" s="360">
        <f t="shared" si="28"/>
        <v>0.239175</v>
      </c>
      <c r="AT28" s="360">
        <f t="shared" si="29"/>
        <v>1.3602142181670946</v>
      </c>
      <c r="AU28">
        <f t="shared" si="30"/>
        <v>136.80000000000001</v>
      </c>
      <c r="AV28" s="542">
        <f t="shared" si="47"/>
        <v>0.99015480523199539</v>
      </c>
      <c r="AW28" s="551">
        <f t="shared" si="31"/>
        <v>23.106111116813686</v>
      </c>
      <c r="AX28" s="551">
        <f t="shared" si="32"/>
        <v>1.6683316658486893</v>
      </c>
      <c r="AY28" s="9"/>
      <c r="AZ28" s="4">
        <f t="shared" si="48"/>
        <v>99.015480523199543</v>
      </c>
      <c r="BA28" s="360">
        <f t="shared" si="33"/>
        <v>0.3498682854402802</v>
      </c>
      <c r="BB28" s="360">
        <f t="shared" si="34"/>
        <v>0.65240452059637832</v>
      </c>
      <c r="BC28" s="360">
        <f t="shared" si="35"/>
        <v>0.60805555570562331</v>
      </c>
      <c r="BD28" s="360">
        <f t="shared" si="36"/>
        <v>4.390346489075498E-2</v>
      </c>
      <c r="BE28" s="360">
        <f t="shared" si="37"/>
        <v>7.6230789693972636E-2</v>
      </c>
    </row>
    <row r="29" spans="1:65" ht="13" x14ac:dyDescent="0.3">
      <c r="A29" s="24" t="s">
        <v>113</v>
      </c>
      <c r="B29" s="15" t="s">
        <v>111</v>
      </c>
      <c r="C29" s="24" t="s">
        <v>76</v>
      </c>
      <c r="D29" s="17" t="s">
        <v>107</v>
      </c>
      <c r="G29">
        <v>20</v>
      </c>
      <c r="H29" s="548">
        <f t="shared" si="0"/>
        <v>45</v>
      </c>
      <c r="I29" s="4">
        <f t="shared" si="1"/>
        <v>2</v>
      </c>
      <c r="J29" s="360">
        <f t="shared" si="38"/>
        <v>12</v>
      </c>
      <c r="K29" s="360">
        <f t="shared" si="2"/>
        <v>6</v>
      </c>
      <c r="L29" s="4">
        <f t="shared" si="3"/>
        <v>3.5555555555555554</v>
      </c>
      <c r="M29" s="360">
        <f t="shared" si="4"/>
        <v>0.53389672362773588</v>
      </c>
      <c r="N29" s="4">
        <f t="shared" si="5"/>
        <v>5.0916274450403645</v>
      </c>
      <c r="O29" s="4">
        <f t="shared" si="39"/>
        <v>8.5458137225201831</v>
      </c>
      <c r="P29" s="4">
        <f t="shared" si="40"/>
        <v>3.4541862774798178</v>
      </c>
      <c r="Q29" s="4">
        <f t="shared" si="6"/>
        <v>0</v>
      </c>
      <c r="R29" s="4">
        <f t="shared" si="41"/>
        <v>6.1774095841156607</v>
      </c>
      <c r="S29" s="360">
        <f t="shared" si="7"/>
        <v>5.342454483789362E-2</v>
      </c>
      <c r="T29" s="360">
        <f t="shared" si="8"/>
        <v>0.3</v>
      </c>
      <c r="U29" s="360">
        <f t="shared" si="9"/>
        <v>0.35494155210712386</v>
      </c>
      <c r="V29" s="4">
        <f t="shared" si="42"/>
        <v>1.4698262380036706</v>
      </c>
      <c r="W29" s="360">
        <f t="shared" si="10"/>
        <v>4.3207783398480464E-3</v>
      </c>
      <c r="X29" s="360">
        <f t="shared" si="43"/>
        <v>4.3207783398480464E-3</v>
      </c>
      <c r="Y29" s="4">
        <f t="shared" si="44"/>
        <v>3.0815988493162827</v>
      </c>
      <c r="Z29" s="360">
        <f t="shared" si="11"/>
        <v>1.4244377202161157E-2</v>
      </c>
      <c r="AA29" s="541">
        <f t="shared" si="45"/>
        <v>1.4244377202161157E-2</v>
      </c>
      <c r="AB29" s="360">
        <f t="shared" si="46"/>
        <v>4.513724266078043</v>
      </c>
      <c r="AC29" s="360">
        <f t="shared" si="12"/>
        <v>3.6672672150327178E-2</v>
      </c>
      <c r="AD29" s="360">
        <f t="shared" si="13"/>
        <v>0.15413275862068965</v>
      </c>
      <c r="AE29" s="360">
        <f t="shared" si="14"/>
        <v>0.39600000000000002</v>
      </c>
      <c r="AF29" s="360">
        <f t="shared" si="15"/>
        <v>0</v>
      </c>
      <c r="AG29" s="360">
        <f t="shared" si="16"/>
        <v>0.59009476424870833</v>
      </c>
      <c r="AH29" s="360">
        <f t="shared" si="17"/>
        <v>4.2174260420002927</v>
      </c>
      <c r="AI29" s="360">
        <f t="shared" si="18"/>
        <v>3.2016028355536061E-2</v>
      </c>
      <c r="AJ29" s="360">
        <f t="shared" si="19"/>
        <v>0</v>
      </c>
      <c r="AK29" s="360">
        <f t="shared" si="20"/>
        <v>3.2172594236315896E-2</v>
      </c>
      <c r="AL29" s="360">
        <f t="shared" si="21"/>
        <v>2.6611199999999995E-2</v>
      </c>
      <c r="AM29" s="360">
        <f t="shared" si="22"/>
        <v>4.4549999999999999E-2</v>
      </c>
      <c r="AN29" s="360">
        <f t="shared" si="23"/>
        <v>8.3952856173832843E-2</v>
      </c>
      <c r="AO29" s="360">
        <f t="shared" si="24"/>
        <v>1.5749999999999998E-3</v>
      </c>
      <c r="AP29" s="360">
        <f t="shared" si="25"/>
        <v>0.23760000000000001</v>
      </c>
      <c r="AQ29" s="360">
        <f t="shared" si="26"/>
        <v>0.22704000000000002</v>
      </c>
      <c r="AR29" s="360">
        <f t="shared" si="27"/>
        <v>0.2112</v>
      </c>
      <c r="AS29" s="360">
        <f t="shared" si="28"/>
        <v>0.239175</v>
      </c>
      <c r="AT29" s="360">
        <f t="shared" si="29"/>
        <v>1.39006312230799</v>
      </c>
      <c r="AU29">
        <f t="shared" si="30"/>
        <v>144</v>
      </c>
      <c r="AV29" s="542">
        <f t="shared" si="47"/>
        <v>0.99043907752389782</v>
      </c>
      <c r="AW29" s="551">
        <f t="shared" si="31"/>
        <v>23.540915041450916</v>
      </c>
      <c r="AX29" s="551">
        <f t="shared" si="32"/>
        <v>1.7812155809800041</v>
      </c>
      <c r="AY29" s="9"/>
      <c r="AZ29" s="4">
        <f t="shared" si="48"/>
        <v>99.043907752389785</v>
      </c>
      <c r="BA29" s="360">
        <f t="shared" si="33"/>
        <v>0.35494155210712386</v>
      </c>
      <c r="BB29" s="360">
        <f t="shared" si="34"/>
        <v>0.66681735848502421</v>
      </c>
      <c r="BC29" s="360">
        <f t="shared" si="35"/>
        <v>0.61949776424870828</v>
      </c>
      <c r="BD29" s="360">
        <f t="shared" si="36"/>
        <v>4.6874094236315896E-2</v>
      </c>
      <c r="BE29" s="360">
        <f t="shared" si="37"/>
        <v>8.3952856173832843E-2</v>
      </c>
    </row>
    <row r="30" spans="1:65" x14ac:dyDescent="0.25">
      <c r="A30" s="22" t="s">
        <v>60</v>
      </c>
      <c r="B30" s="27">
        <f>RdsonDRB</f>
        <v>1</v>
      </c>
      <c r="C30" s="444" t="s">
        <v>116</v>
      </c>
      <c r="D30" s="440" t="s">
        <v>505</v>
      </c>
      <c r="G30">
        <v>21</v>
      </c>
      <c r="H30" s="548">
        <f t="shared" si="0"/>
        <v>45</v>
      </c>
      <c r="I30" s="4">
        <f t="shared" si="1"/>
        <v>2</v>
      </c>
      <c r="J30" s="360">
        <f t="shared" si="38"/>
        <v>12.6</v>
      </c>
      <c r="K30" s="360">
        <f t="shared" si="2"/>
        <v>6.3</v>
      </c>
      <c r="L30" s="4">
        <f t="shared" si="3"/>
        <v>3.7333333333333329</v>
      </c>
      <c r="M30" s="360">
        <f t="shared" si="4"/>
        <v>0.53392488446891695</v>
      </c>
      <c r="N30" s="4">
        <f t="shared" si="5"/>
        <v>5.0916630218983467</v>
      </c>
      <c r="O30" s="4">
        <f t="shared" si="39"/>
        <v>8.8458315109491732</v>
      </c>
      <c r="P30" s="4">
        <f t="shared" si="40"/>
        <v>3.7541684890508265</v>
      </c>
      <c r="Q30" s="4">
        <f t="shared" si="6"/>
        <v>0</v>
      </c>
      <c r="R30" s="4">
        <f t="shared" si="41"/>
        <v>6.4691900080855493</v>
      </c>
      <c r="S30" s="360">
        <f t="shared" si="7"/>
        <v>5.8590587104999467E-2</v>
      </c>
      <c r="T30" s="360">
        <f t="shared" si="8"/>
        <v>0.3</v>
      </c>
      <c r="U30" s="360">
        <f t="shared" si="9"/>
        <v>0.36027930518600981</v>
      </c>
      <c r="V30" s="4">
        <f t="shared" si="42"/>
        <v>1.469836508157937</v>
      </c>
      <c r="W30" s="360">
        <f t="shared" si="10"/>
        <v>4.3208387214278346E-3</v>
      </c>
      <c r="X30" s="360">
        <f t="shared" si="43"/>
        <v>4.3208387214278346E-3</v>
      </c>
      <c r="Y30" s="4">
        <f t="shared" si="44"/>
        <v>3.2271410389357733</v>
      </c>
      <c r="Z30" s="360">
        <f t="shared" si="11"/>
        <v>1.5621658927775194E-2</v>
      </c>
      <c r="AA30" s="541">
        <f t="shared" si="45"/>
        <v>1.5621658927775194E-2</v>
      </c>
      <c r="AB30" s="360">
        <f t="shared" si="46"/>
        <v>4.7270477385091958</v>
      </c>
      <c r="AC30" s="360">
        <f t="shared" si="12"/>
        <v>4.0220964579860824E-2</v>
      </c>
      <c r="AD30" s="360">
        <f t="shared" si="13"/>
        <v>0.16183939655172414</v>
      </c>
      <c r="AE30" s="360">
        <f t="shared" si="14"/>
        <v>0.39600000000000002</v>
      </c>
      <c r="AF30" s="360">
        <f t="shared" si="15"/>
        <v>0</v>
      </c>
      <c r="AG30" s="360">
        <f t="shared" si="16"/>
        <v>0.60173914551803076</v>
      </c>
      <c r="AH30" s="360">
        <f t="shared" si="17"/>
        <v>4.4164962400718757</v>
      </c>
      <c r="AI30" s="360">
        <f t="shared" si="18"/>
        <v>3.5109790269424228E-2</v>
      </c>
      <c r="AJ30" s="360">
        <f t="shared" si="19"/>
        <v>0</v>
      </c>
      <c r="AK30" s="360">
        <f t="shared" si="20"/>
        <v>3.5298165570314739E-2</v>
      </c>
      <c r="AL30" s="360">
        <f t="shared" si="21"/>
        <v>2.7941759999999996E-2</v>
      </c>
      <c r="AM30" s="360">
        <f t="shared" si="22"/>
        <v>4.4549999999999999E-2</v>
      </c>
      <c r="AN30" s="360">
        <f t="shared" si="23"/>
        <v>9.2070922593570595E-2</v>
      </c>
      <c r="AO30" s="360">
        <f t="shared" si="24"/>
        <v>1.5749999999999998E-3</v>
      </c>
      <c r="AP30" s="360">
        <f t="shared" si="25"/>
        <v>0.23760000000000001</v>
      </c>
      <c r="AQ30" s="360">
        <f t="shared" si="26"/>
        <v>0.22704000000000002</v>
      </c>
      <c r="AR30" s="360">
        <f t="shared" si="27"/>
        <v>0.2112</v>
      </c>
      <c r="AS30" s="360">
        <f t="shared" si="28"/>
        <v>0.239175</v>
      </c>
      <c r="AT30" s="360">
        <f t="shared" si="29"/>
        <v>1.4209967965171291</v>
      </c>
      <c r="AU30">
        <f t="shared" si="30"/>
        <v>151.19999999999999</v>
      </c>
      <c r="AV30" s="542">
        <f t="shared" si="47"/>
        <v>0.99068937547032476</v>
      </c>
      <c r="AW30" s="551">
        <f t="shared" si="31"/>
        <v>23.983401529685167</v>
      </c>
      <c r="AX30" s="551">
        <f t="shared" si="32"/>
        <v>1.89998729167196</v>
      </c>
      <c r="AY30" s="9"/>
      <c r="AZ30" s="4">
        <f t="shared" si="48"/>
        <v>99.068937547032476</v>
      </c>
      <c r="BA30" s="360">
        <f t="shared" si="33"/>
        <v>0.36027930518600981</v>
      </c>
      <c r="BB30" s="360">
        <f t="shared" si="34"/>
        <v>0.68158731108834547</v>
      </c>
      <c r="BC30" s="360">
        <f t="shared" si="35"/>
        <v>0.63114214551803072</v>
      </c>
      <c r="BD30" s="360">
        <f t="shared" si="36"/>
        <v>4.9999665570314739E-2</v>
      </c>
      <c r="BE30" s="360">
        <f t="shared" si="37"/>
        <v>9.2070922593570595E-2</v>
      </c>
    </row>
    <row r="31" spans="1:65" x14ac:dyDescent="0.25">
      <c r="A31" s="22" t="s">
        <v>125</v>
      </c>
      <c r="B31" s="27">
        <v>1</v>
      </c>
      <c r="C31" s="444" t="s">
        <v>116</v>
      </c>
      <c r="D31" s="440" t="s">
        <v>504</v>
      </c>
      <c r="G31">
        <v>22</v>
      </c>
      <c r="H31" s="548">
        <f t="shared" si="0"/>
        <v>45</v>
      </c>
      <c r="I31" s="4">
        <f t="shared" si="1"/>
        <v>2</v>
      </c>
      <c r="J31" s="360">
        <f t="shared" si="38"/>
        <v>13.2</v>
      </c>
      <c r="K31" s="360">
        <f t="shared" si="2"/>
        <v>6.6</v>
      </c>
      <c r="L31" s="4">
        <f t="shared" si="3"/>
        <v>3.9111111111111105</v>
      </c>
      <c r="M31" s="360">
        <f t="shared" si="4"/>
        <v>0.53395304448431313</v>
      </c>
      <c r="N31" s="4">
        <f t="shared" si="5"/>
        <v>5.0916985663050296</v>
      </c>
      <c r="O31" s="4">
        <f t="shared" si="39"/>
        <v>9.1458492831525149</v>
      </c>
      <c r="P31" s="4">
        <f t="shared" si="40"/>
        <v>4.0541507168474844</v>
      </c>
      <c r="Q31" s="4">
        <f t="shared" si="6"/>
        <v>0</v>
      </c>
      <c r="R31" s="4">
        <f t="shared" si="41"/>
        <v>6.7616898423527276</v>
      </c>
      <c r="S31" s="360">
        <f t="shared" si="7"/>
        <v>6.4008629333846476E-2</v>
      </c>
      <c r="T31" s="360">
        <f t="shared" si="8"/>
        <v>0.3</v>
      </c>
      <c r="U31" s="360">
        <f t="shared" si="9"/>
        <v>0.36588219877715683</v>
      </c>
      <c r="V31" s="4">
        <f t="shared" si="42"/>
        <v>1.4698467689443202</v>
      </c>
      <c r="W31" s="360">
        <f t="shared" si="10"/>
        <v>4.3208990483521162E-3</v>
      </c>
      <c r="X31" s="360">
        <f t="shared" si="43"/>
        <v>4.3208990483521162E-3</v>
      </c>
      <c r="Y31" s="4">
        <f t="shared" si="44"/>
        <v>3.373040975861997</v>
      </c>
      <c r="Z31" s="360">
        <f t="shared" si="11"/>
        <v>1.706610813726608E-2</v>
      </c>
      <c r="AA31" s="541">
        <f t="shared" si="45"/>
        <v>1.706610813726608E-2</v>
      </c>
      <c r="AB31" s="360">
        <f t="shared" si="46"/>
        <v>4.9409081370356578</v>
      </c>
      <c r="AC31" s="360">
        <f t="shared" si="12"/>
        <v>4.3942631793525311E-2</v>
      </c>
      <c r="AD31" s="360">
        <f t="shared" si="13"/>
        <v>0.1695460344827586</v>
      </c>
      <c r="AE31" s="360">
        <f t="shared" si="14"/>
        <v>0.39600000000000002</v>
      </c>
      <c r="AF31" s="360">
        <f t="shared" si="15"/>
        <v>0</v>
      </c>
      <c r="AG31" s="360">
        <f t="shared" si="16"/>
        <v>0.6135869855773235</v>
      </c>
      <c r="AH31" s="360">
        <f t="shared" si="17"/>
        <v>4.6160455268065634</v>
      </c>
      <c r="AI31" s="360">
        <f t="shared" si="18"/>
        <v>3.8354177349991588E-2</v>
      </c>
      <c r="AJ31" s="360">
        <f t="shared" si="19"/>
        <v>0</v>
      </c>
      <c r="AK31" s="360">
        <f t="shared" si="20"/>
        <v>3.8579087060352846E-2</v>
      </c>
      <c r="AL31" s="360">
        <f t="shared" si="21"/>
        <v>2.9272319999999994E-2</v>
      </c>
      <c r="AM31" s="360">
        <f t="shared" si="22"/>
        <v>4.4549999999999999E-2</v>
      </c>
      <c r="AN31" s="360">
        <f t="shared" si="23"/>
        <v>0.10058498895318732</v>
      </c>
      <c r="AO31" s="360">
        <f t="shared" si="24"/>
        <v>1.5749999999999998E-3</v>
      </c>
      <c r="AP31" s="360">
        <f t="shared" si="25"/>
        <v>0.23760000000000001</v>
      </c>
      <c r="AQ31" s="360">
        <f t="shared" si="26"/>
        <v>0.22704000000000002</v>
      </c>
      <c r="AR31" s="360">
        <f t="shared" si="27"/>
        <v>0.2112</v>
      </c>
      <c r="AS31" s="360">
        <f t="shared" si="28"/>
        <v>0.239175</v>
      </c>
      <c r="AT31" s="360">
        <f t="shared" si="29"/>
        <v>1.4530175875536386</v>
      </c>
      <c r="AU31">
        <f t="shared" si="30"/>
        <v>158.39999999999998</v>
      </c>
      <c r="AV31" s="542">
        <f t="shared" si="47"/>
        <v>0.99091028990580177</v>
      </c>
      <c r="AW31" s="551">
        <f t="shared" si="31"/>
        <v>24.433619451938291</v>
      </c>
      <c r="AX31" s="551">
        <f t="shared" si="32"/>
        <v>2.0246623082934083</v>
      </c>
      <c r="AY31" s="9"/>
      <c r="AZ31" s="4">
        <f t="shared" si="48"/>
        <v>99.09102899058017</v>
      </c>
      <c r="BA31" s="360">
        <f t="shared" si="33"/>
        <v>0.36588219877715683</v>
      </c>
      <c r="BB31" s="360">
        <f t="shared" si="34"/>
        <v>0.69671607263767632</v>
      </c>
      <c r="BC31" s="360">
        <f t="shared" si="35"/>
        <v>0.64298998557732345</v>
      </c>
      <c r="BD31" s="360">
        <f t="shared" si="36"/>
        <v>5.3280587060352845E-2</v>
      </c>
      <c r="BE31" s="360">
        <f t="shared" si="37"/>
        <v>0.10058498895318732</v>
      </c>
    </row>
    <row r="32" spans="1:65" ht="13" x14ac:dyDescent="0.3">
      <c r="A32" s="24" t="s">
        <v>62</v>
      </c>
      <c r="B32" s="15" t="s">
        <v>111</v>
      </c>
      <c r="C32" s="24" t="s">
        <v>76</v>
      </c>
      <c r="D32" s="17" t="s">
        <v>107</v>
      </c>
      <c r="G32">
        <v>23</v>
      </c>
      <c r="H32" s="548">
        <f t="shared" si="0"/>
        <v>45</v>
      </c>
      <c r="I32" s="4">
        <f t="shared" si="1"/>
        <v>2</v>
      </c>
      <c r="J32" s="360">
        <f t="shared" si="38"/>
        <v>13.8</v>
      </c>
      <c r="K32" s="360">
        <f t="shared" si="2"/>
        <v>6.9</v>
      </c>
      <c r="L32" s="4">
        <f t="shared" si="3"/>
        <v>4.0888888888888895</v>
      </c>
      <c r="M32" s="360">
        <f t="shared" si="4"/>
        <v>0.53398120367396062</v>
      </c>
      <c r="N32" s="4">
        <f t="shared" si="5"/>
        <v>5.0917340782618403</v>
      </c>
      <c r="O32" s="4">
        <f t="shared" si="39"/>
        <v>9.4458670391309205</v>
      </c>
      <c r="P32" s="4">
        <f t="shared" si="40"/>
        <v>4.3541329608690802</v>
      </c>
      <c r="Q32" s="4">
        <f t="shared" si="6"/>
        <v>0</v>
      </c>
      <c r="R32" s="4">
        <f t="shared" si="41"/>
        <v>7.0548196050863758</v>
      </c>
      <c r="S32" s="360">
        <f t="shared" si="7"/>
        <v>6.967867152443552E-2</v>
      </c>
      <c r="T32" s="360">
        <f t="shared" si="8"/>
        <v>0.3</v>
      </c>
      <c r="U32" s="360">
        <f t="shared" si="9"/>
        <v>0.37175092034585033</v>
      </c>
      <c r="V32" s="4">
        <f t="shared" si="42"/>
        <v>1.4698570203632324</v>
      </c>
      <c r="W32" s="360">
        <f t="shared" si="10"/>
        <v>4.3209593206221591E-3</v>
      </c>
      <c r="X32" s="360">
        <f t="shared" si="43"/>
        <v>4.3209593206221591E-3</v>
      </c>
      <c r="Y32" s="4">
        <f t="shared" si="44"/>
        <v>3.519254017139644</v>
      </c>
      <c r="Z32" s="360">
        <f t="shared" si="11"/>
        <v>1.8577723255730285E-2</v>
      </c>
      <c r="AA32" s="541">
        <f t="shared" si="45"/>
        <v>1.8577723255730285E-2</v>
      </c>
      <c r="AB32" s="360">
        <f t="shared" si="46"/>
        <v>5.1552401143344708</v>
      </c>
      <c r="AC32" s="360">
        <f t="shared" si="12"/>
        <v>4.7837701145597919E-2</v>
      </c>
      <c r="AD32" s="360">
        <f t="shared" si="13"/>
        <v>0.17725267241379308</v>
      </c>
      <c r="AE32" s="360">
        <f t="shared" si="14"/>
        <v>0.39600000000000002</v>
      </c>
      <c r="AF32" s="360">
        <f t="shared" si="15"/>
        <v>0</v>
      </c>
      <c r="AG32" s="360">
        <f t="shared" si="16"/>
        <v>0.62563960595455559</v>
      </c>
      <c r="AH32" s="360">
        <f t="shared" si="17"/>
        <v>4.8160127723945871</v>
      </c>
      <c r="AI32" s="360">
        <f t="shared" si="18"/>
        <v>4.1749162242962032E-2</v>
      </c>
      <c r="AJ32" s="360">
        <f t="shared" si="19"/>
        <v>0</v>
      </c>
      <c r="AK32" s="360">
        <f t="shared" si="20"/>
        <v>4.2015789090277436E-2</v>
      </c>
      <c r="AL32" s="360">
        <f t="shared" si="21"/>
        <v>3.0602879999999999E-2</v>
      </c>
      <c r="AM32" s="360">
        <f t="shared" si="22"/>
        <v>4.4549999999999999E-2</v>
      </c>
      <c r="AN32" s="360">
        <f t="shared" si="23"/>
        <v>0.10949505525268441</v>
      </c>
      <c r="AO32" s="360">
        <f t="shared" si="24"/>
        <v>1.5749999999999998E-3</v>
      </c>
      <c r="AP32" s="360">
        <f t="shared" si="25"/>
        <v>0.23760000000000001</v>
      </c>
      <c r="AQ32" s="360">
        <f t="shared" si="26"/>
        <v>0.22704000000000002</v>
      </c>
      <c r="AR32" s="360">
        <f t="shared" si="27"/>
        <v>0.2112</v>
      </c>
      <c r="AS32" s="360">
        <f t="shared" si="28"/>
        <v>0.239175</v>
      </c>
      <c r="AT32" s="360">
        <f t="shared" si="29"/>
        <v>1.4861279332197201</v>
      </c>
      <c r="AU32">
        <f t="shared" si="30"/>
        <v>165.60000000000002</v>
      </c>
      <c r="AV32" s="542">
        <f t="shared" si="47"/>
        <v>0.99110561749438764</v>
      </c>
      <c r="AW32" s="551">
        <f t="shared" si="31"/>
        <v>24.891619026273112</v>
      </c>
      <c r="AX32" s="551">
        <f t="shared" si="32"/>
        <v>2.1552569854305426</v>
      </c>
      <c r="AY32" s="9"/>
      <c r="AZ32" s="4">
        <f t="shared" si="48"/>
        <v>99.110561749438759</v>
      </c>
      <c r="BA32" s="360">
        <f t="shared" si="33"/>
        <v>0.37175092034585033</v>
      </c>
      <c r="BB32" s="360">
        <f t="shared" si="34"/>
        <v>0.71220539504483305</v>
      </c>
      <c r="BC32" s="360">
        <f t="shared" si="35"/>
        <v>0.65504260595455555</v>
      </c>
      <c r="BD32" s="360">
        <f t="shared" si="36"/>
        <v>5.6717289090277435E-2</v>
      </c>
      <c r="BE32" s="360">
        <f t="shared" si="37"/>
        <v>0.10949505525268441</v>
      </c>
    </row>
    <row r="33" spans="1:57" x14ac:dyDescent="0.25">
      <c r="A33" s="22" t="s">
        <v>62</v>
      </c>
      <c r="B33" s="5">
        <f>Deadtime*1000000000</f>
        <v>14</v>
      </c>
      <c r="C33" s="440" t="s">
        <v>75</v>
      </c>
      <c r="D33" s="21" t="s">
        <v>98</v>
      </c>
      <c r="G33">
        <v>24</v>
      </c>
      <c r="H33" s="548">
        <f t="shared" si="0"/>
        <v>45</v>
      </c>
      <c r="I33" s="4">
        <f t="shared" si="1"/>
        <v>2</v>
      </c>
      <c r="J33" s="360">
        <f t="shared" si="38"/>
        <v>14.4</v>
      </c>
      <c r="K33" s="360">
        <f t="shared" si="2"/>
        <v>7.2</v>
      </c>
      <c r="L33" s="4">
        <f t="shared" si="3"/>
        <v>4.2666666666666666</v>
      </c>
      <c r="M33" s="360">
        <f t="shared" si="4"/>
        <v>0.53400936203789595</v>
      </c>
      <c r="N33" s="4">
        <f t="shared" si="5"/>
        <v>5.0917695577702089</v>
      </c>
      <c r="O33" s="4">
        <f t="shared" si="39"/>
        <v>9.7458847788851042</v>
      </c>
      <c r="P33" s="4">
        <f t="shared" si="40"/>
        <v>4.6541152211148962</v>
      </c>
      <c r="Q33" s="4">
        <f t="shared" si="6"/>
        <v>0</v>
      </c>
      <c r="R33" s="4">
        <f t="shared" si="41"/>
        <v>7.3485039136629453</v>
      </c>
      <c r="S33" s="360">
        <f t="shared" si="7"/>
        <v>7.5600713676767475E-2</v>
      </c>
      <c r="T33" s="360">
        <f t="shared" si="8"/>
        <v>0.3</v>
      </c>
      <c r="U33" s="360">
        <f t="shared" si="9"/>
        <v>0.37788619093462766</v>
      </c>
      <c r="V33" s="4">
        <f t="shared" si="42"/>
        <v>1.4698672624150859</v>
      </c>
      <c r="W33" s="360">
        <f t="shared" si="10"/>
        <v>4.3210195382392376E-3</v>
      </c>
      <c r="X33" s="360">
        <f t="shared" si="43"/>
        <v>4.3210195382392376E-3</v>
      </c>
      <c r="Y33" s="4">
        <f t="shared" si="44"/>
        <v>3.6657425537708042</v>
      </c>
      <c r="Z33" s="360">
        <f t="shared" si="11"/>
        <v>2.0156502705789146E-2</v>
      </c>
      <c r="AA33" s="541">
        <f t="shared" si="45"/>
        <v>2.0156502705789146E-2</v>
      </c>
      <c r="AB33" s="360">
        <f t="shared" si="46"/>
        <v>5.3699886193109139</v>
      </c>
      <c r="AC33" s="360">
        <f t="shared" si="12"/>
        <v>5.1906199988751719E-2</v>
      </c>
      <c r="AD33" s="360">
        <f t="shared" si="13"/>
        <v>0.18495931034482757</v>
      </c>
      <c r="AE33" s="360">
        <f t="shared" si="14"/>
        <v>0.39600000000000002</v>
      </c>
      <c r="AF33" s="360">
        <f t="shared" si="15"/>
        <v>0</v>
      </c>
      <c r="AG33" s="360">
        <f t="shared" si="16"/>
        <v>0.63789836410263989</v>
      </c>
      <c r="AH33" s="360">
        <f t="shared" si="17"/>
        <v>5.0163464790214487</v>
      </c>
      <c r="AI33" s="360">
        <f t="shared" si="18"/>
        <v>4.5294717595663593E-2</v>
      </c>
      <c r="AJ33" s="360">
        <f t="shared" si="19"/>
        <v>0</v>
      </c>
      <c r="AK33" s="360">
        <f t="shared" si="20"/>
        <v>4.5608724408041618E-2</v>
      </c>
      <c r="AL33" s="360">
        <f t="shared" si="21"/>
        <v>3.1933439999999993E-2</v>
      </c>
      <c r="AM33" s="360">
        <f t="shared" si="22"/>
        <v>4.4549999999999999E-2</v>
      </c>
      <c r="AN33" s="360">
        <f t="shared" si="23"/>
        <v>0.11880112149206318</v>
      </c>
      <c r="AO33" s="360">
        <f t="shared" si="24"/>
        <v>1.5749999999999998E-3</v>
      </c>
      <c r="AP33" s="360">
        <f t="shared" si="25"/>
        <v>0.23760000000000001</v>
      </c>
      <c r="AQ33" s="360">
        <f t="shared" si="26"/>
        <v>0.22704000000000002</v>
      </c>
      <c r="AR33" s="360">
        <f t="shared" si="27"/>
        <v>0.2112</v>
      </c>
      <c r="AS33" s="360">
        <f t="shared" si="28"/>
        <v>0.239175</v>
      </c>
      <c r="AT33" s="360">
        <f t="shared" si="29"/>
        <v>1.5203303631814007</v>
      </c>
      <c r="AU33">
        <f t="shared" si="30"/>
        <v>172.8</v>
      </c>
      <c r="AV33" s="542">
        <f t="shared" si="47"/>
        <v>0.99127852522988047</v>
      </c>
      <c r="AW33" s="551">
        <f t="shared" si="31"/>
        <v>25.357451835900314</v>
      </c>
      <c r="AX33" s="551">
        <f t="shared" si="32"/>
        <v>2.2917885275055814</v>
      </c>
      <c r="AY33" s="9"/>
      <c r="AZ33" s="4">
        <f t="shared" si="48"/>
        <v>99.12785252298805</v>
      </c>
      <c r="BA33" s="360">
        <f t="shared" si="33"/>
        <v>0.37788619093462766</v>
      </c>
      <c r="BB33" s="360">
        <f t="shared" si="34"/>
        <v>0.72805708851068152</v>
      </c>
      <c r="BC33" s="360">
        <f t="shared" si="35"/>
        <v>0.66730136410263985</v>
      </c>
      <c r="BD33" s="360">
        <f t="shared" si="36"/>
        <v>6.0310224408041617E-2</v>
      </c>
      <c r="BE33" s="360">
        <f t="shared" si="37"/>
        <v>0.11880112149206318</v>
      </c>
    </row>
    <row r="34" spans="1:57" ht="13" x14ac:dyDescent="0.3">
      <c r="A34" s="24" t="s">
        <v>52</v>
      </c>
      <c r="B34" s="15" t="s">
        <v>111</v>
      </c>
      <c r="C34" s="24" t="s">
        <v>76</v>
      </c>
      <c r="D34" s="17" t="s">
        <v>107</v>
      </c>
      <c r="G34">
        <v>25</v>
      </c>
      <c r="H34" s="548">
        <f t="shared" si="0"/>
        <v>45</v>
      </c>
      <c r="I34" s="4">
        <f t="shared" si="1"/>
        <v>2</v>
      </c>
      <c r="J34" s="360">
        <f t="shared" si="38"/>
        <v>15</v>
      </c>
      <c r="K34" s="360">
        <f t="shared" si="2"/>
        <v>7.5</v>
      </c>
      <c r="L34" s="4">
        <f t="shared" si="3"/>
        <v>4.4444444444444446</v>
      </c>
      <c r="M34" s="360">
        <f t="shared" si="4"/>
        <v>0.53403751957615542</v>
      </c>
      <c r="N34" s="4">
        <f t="shared" si="5"/>
        <v>5.0918050048315608</v>
      </c>
      <c r="O34" s="4">
        <f t="shared" si="39"/>
        <v>10.04590250241578</v>
      </c>
      <c r="P34" s="4">
        <f t="shared" si="40"/>
        <v>4.95409749758422</v>
      </c>
      <c r="Q34" s="4">
        <f t="shared" si="6"/>
        <v>0</v>
      </c>
      <c r="R34" s="4">
        <f t="shared" si="41"/>
        <v>7.6426788399488768</v>
      </c>
      <c r="S34" s="360">
        <f t="shared" si="7"/>
        <v>8.1774755790843229E-2</v>
      </c>
      <c r="T34" s="360">
        <f t="shared" si="8"/>
        <v>0.3</v>
      </c>
      <c r="U34" s="360">
        <f t="shared" si="9"/>
        <v>0.38428876538625323</v>
      </c>
      <c r="V34" s="4">
        <f t="shared" si="42"/>
        <v>1.4698774951002929</v>
      </c>
      <c r="W34" s="360">
        <f t="shared" si="10"/>
        <v>4.3210797012046233E-3</v>
      </c>
      <c r="X34" s="360">
        <f t="shared" si="43"/>
        <v>4.3210797012046233E-3</v>
      </c>
      <c r="Y34" s="4">
        <f t="shared" si="44"/>
        <v>3.8124746912899234</v>
      </c>
      <c r="Z34" s="360">
        <f t="shared" si="11"/>
        <v>2.1802444907589296E-2</v>
      </c>
      <c r="AA34" s="541">
        <f t="shared" si="45"/>
        <v>2.1802444907589296E-2</v>
      </c>
      <c r="AB34" s="360">
        <f t="shared" si="46"/>
        <v>5.5851069657545356</v>
      </c>
      <c r="AC34" s="360">
        <f t="shared" si="12"/>
        <v>5.6148155674055705E-2</v>
      </c>
      <c r="AD34" s="360">
        <f t="shared" si="13"/>
        <v>0.19266594827586206</v>
      </c>
      <c r="AE34" s="360">
        <f t="shared" si="14"/>
        <v>0.39600000000000002</v>
      </c>
      <c r="AF34" s="360">
        <f t="shared" si="15"/>
        <v>0</v>
      </c>
      <c r="AG34" s="360">
        <f t="shared" si="16"/>
        <v>0.6503646538761908</v>
      </c>
      <c r="AH34" s="360">
        <f t="shared" si="17"/>
        <v>5.2170029740917796</v>
      </c>
      <c r="AI34" s="360">
        <f t="shared" si="18"/>
        <v>4.8990816057028451E-2</v>
      </c>
      <c r="AJ34" s="360">
        <f t="shared" si="19"/>
        <v>0</v>
      </c>
      <c r="AK34" s="360">
        <f t="shared" si="20"/>
        <v>4.9358368281715873E-2</v>
      </c>
      <c r="AL34" s="360">
        <f t="shared" si="21"/>
        <v>3.3263999999999995E-2</v>
      </c>
      <c r="AM34" s="360">
        <f t="shared" si="22"/>
        <v>4.4549999999999999E-2</v>
      </c>
      <c r="AN34" s="360">
        <f t="shared" si="23"/>
        <v>0.12850318767132507</v>
      </c>
      <c r="AO34" s="360">
        <f t="shared" si="24"/>
        <v>1.5749999999999998E-3</v>
      </c>
      <c r="AP34" s="360">
        <f t="shared" si="25"/>
        <v>0.23760000000000001</v>
      </c>
      <c r="AQ34" s="360">
        <f t="shared" si="26"/>
        <v>0.22704000000000002</v>
      </c>
      <c r="AR34" s="360">
        <f t="shared" si="27"/>
        <v>0.2112</v>
      </c>
      <c r="AS34" s="360">
        <f t="shared" si="28"/>
        <v>0.239175</v>
      </c>
      <c r="AT34" s="360">
        <f t="shared" si="29"/>
        <v>1.5556274998242787</v>
      </c>
      <c r="AU34">
        <f t="shared" si="30"/>
        <v>180</v>
      </c>
      <c r="AV34" s="542">
        <f t="shared" si="47"/>
        <v>0.99143167567292401</v>
      </c>
      <c r="AW34" s="551">
        <f t="shared" si="31"/>
        <v>25.831170847295247</v>
      </c>
      <c r="AX34" s="551">
        <f t="shared" si="32"/>
        <v>2.4342749947052034</v>
      </c>
      <c r="AY34" s="9"/>
      <c r="AZ34" s="4">
        <f t="shared" si="48"/>
        <v>99.143167567292394</v>
      </c>
      <c r="BA34" s="360">
        <f t="shared" si="33"/>
        <v>0.38428876538625323</v>
      </c>
      <c r="BB34" s="360">
        <f t="shared" si="34"/>
        <v>0.74427302215790669</v>
      </c>
      <c r="BC34" s="360">
        <f t="shared" si="35"/>
        <v>0.67976765387619076</v>
      </c>
      <c r="BD34" s="360">
        <f t="shared" si="36"/>
        <v>6.4059868281715879E-2</v>
      </c>
      <c r="BE34" s="360">
        <f t="shared" si="37"/>
        <v>0.12850318767132507</v>
      </c>
    </row>
    <row r="35" spans="1:57" x14ac:dyDescent="0.25">
      <c r="A35" s="22" t="s">
        <v>128</v>
      </c>
      <c r="B35" s="5">
        <f>Iq*1000</f>
        <v>3.4999999999999996E-2</v>
      </c>
      <c r="C35" s="440" t="s">
        <v>64</v>
      </c>
      <c r="D35" s="21" t="s">
        <v>131</v>
      </c>
      <c r="G35">
        <v>26</v>
      </c>
      <c r="H35" s="548">
        <f t="shared" si="0"/>
        <v>45</v>
      </c>
      <c r="I35" s="4">
        <f t="shared" si="1"/>
        <v>2</v>
      </c>
      <c r="J35" s="360">
        <f t="shared" si="38"/>
        <v>15.6</v>
      </c>
      <c r="K35" s="360">
        <f t="shared" si="2"/>
        <v>7.8</v>
      </c>
      <c r="L35" s="4">
        <f t="shared" si="3"/>
        <v>4.6222222222222218</v>
      </c>
      <c r="M35" s="360">
        <f t="shared" si="4"/>
        <v>0.53406567628877522</v>
      </c>
      <c r="N35" s="4">
        <f t="shared" si="5"/>
        <v>5.0918404194473235</v>
      </c>
      <c r="O35" s="4">
        <f t="shared" si="39"/>
        <v>10.345920209723662</v>
      </c>
      <c r="P35" s="4">
        <f t="shared" si="40"/>
        <v>5.2540797902763376</v>
      </c>
      <c r="Q35" s="4">
        <f t="shared" si="6"/>
        <v>0</v>
      </c>
      <c r="R35" s="4">
        <f t="shared" si="41"/>
        <v>7.9372898337379478</v>
      </c>
      <c r="S35" s="360">
        <f t="shared" si="7"/>
        <v>8.8200797866663683E-2</v>
      </c>
      <c r="T35" s="360">
        <f t="shared" si="8"/>
        <v>0.3</v>
      </c>
      <c r="U35" s="360">
        <f t="shared" si="9"/>
        <v>0.39095943257761112</v>
      </c>
      <c r="V35" s="4">
        <f t="shared" si="42"/>
        <v>1.4698877184192647</v>
      </c>
      <c r="W35" s="360">
        <f t="shared" si="10"/>
        <v>4.3211398095195832E-3</v>
      </c>
      <c r="X35" s="360">
        <f t="shared" si="43"/>
        <v>4.3211398095195832E-3</v>
      </c>
      <c r="Y35" s="4">
        <f t="shared" si="44"/>
        <v>3.9594232137861525</v>
      </c>
      <c r="Z35" s="360">
        <f t="shared" si="11"/>
        <v>2.3515548278802995E-2</v>
      </c>
      <c r="AA35" s="541">
        <f t="shared" si="45"/>
        <v>2.3515548278802995E-2</v>
      </c>
      <c r="AB35" s="360">
        <f t="shared" si="46"/>
        <v>5.8005553158955214</v>
      </c>
      <c r="AC35" s="360">
        <f t="shared" si="12"/>
        <v>6.0563595550974819E-2</v>
      </c>
      <c r="AD35" s="360">
        <f t="shared" si="13"/>
        <v>0.20037258620689655</v>
      </c>
      <c r="AE35" s="360">
        <f t="shared" si="14"/>
        <v>0.39600000000000002</v>
      </c>
      <c r="AF35" s="360">
        <f t="shared" si="15"/>
        <v>0</v>
      </c>
      <c r="AG35" s="360">
        <f t="shared" si="16"/>
        <v>0.66303990602467189</v>
      </c>
      <c r="AH35" s="360">
        <f t="shared" si="17"/>
        <v>5.4179449915993052</v>
      </c>
      <c r="AI35" s="360">
        <f t="shared" si="18"/>
        <v>5.2837430277592794E-2</v>
      </c>
      <c r="AJ35" s="360">
        <f t="shared" si="19"/>
        <v>0</v>
      </c>
      <c r="AK35" s="360">
        <f t="shared" si="20"/>
        <v>5.3265218663752542E-2</v>
      </c>
      <c r="AL35" s="360">
        <f t="shared" si="21"/>
        <v>3.4594559999999996E-2</v>
      </c>
      <c r="AM35" s="360">
        <f t="shared" si="22"/>
        <v>4.4549999999999999E-2</v>
      </c>
      <c r="AN35" s="360">
        <f t="shared" si="23"/>
        <v>0.13860125379047153</v>
      </c>
      <c r="AO35" s="360">
        <f t="shared" si="24"/>
        <v>1.5749999999999998E-3</v>
      </c>
      <c r="AP35" s="360">
        <f t="shared" si="25"/>
        <v>0.23760000000000001</v>
      </c>
      <c r="AQ35" s="360">
        <f t="shared" si="26"/>
        <v>0.22704000000000002</v>
      </c>
      <c r="AR35" s="360">
        <f t="shared" si="27"/>
        <v>0.2112</v>
      </c>
      <c r="AS35" s="360">
        <f t="shared" si="28"/>
        <v>0.239175</v>
      </c>
      <c r="AT35" s="360">
        <f t="shared" si="29"/>
        <v>1.5920220591448295</v>
      </c>
      <c r="AU35">
        <f t="shared" si="30"/>
        <v>187.2</v>
      </c>
      <c r="AV35" s="542">
        <f t="shared" si="47"/>
        <v>0.99156732343993814</v>
      </c>
      <c r="AW35" s="551">
        <f t="shared" si="31"/>
        <v>26.312830428937531</v>
      </c>
      <c r="AX35" s="551">
        <f t="shared" si="32"/>
        <v>2.5827353092225969</v>
      </c>
      <c r="AY35" s="9"/>
      <c r="AZ35" s="4">
        <f t="shared" si="48"/>
        <v>99.156732343993809</v>
      </c>
      <c r="BA35" s="360">
        <f t="shared" si="33"/>
        <v>0.39095943257761112</v>
      </c>
      <c r="BB35" s="360">
        <f t="shared" si="34"/>
        <v>0.76085512468842442</v>
      </c>
      <c r="BC35" s="360">
        <f t="shared" si="35"/>
        <v>0.69244290602467184</v>
      </c>
      <c r="BD35" s="360">
        <f t="shared" si="36"/>
        <v>6.7966718663752548E-2</v>
      </c>
      <c r="BE35" s="360">
        <f t="shared" si="37"/>
        <v>0.13860125379047153</v>
      </c>
    </row>
    <row r="36" spans="1:57" ht="13" x14ac:dyDescent="0.3">
      <c r="A36" s="24" t="s">
        <v>525</v>
      </c>
      <c r="B36" s="15" t="s">
        <v>111</v>
      </c>
      <c r="C36" s="24" t="s">
        <v>76</v>
      </c>
      <c r="D36" s="17" t="s">
        <v>107</v>
      </c>
      <c r="G36">
        <v>27</v>
      </c>
      <c r="H36" s="548">
        <f t="shared" si="0"/>
        <v>45</v>
      </c>
      <c r="I36" s="4">
        <f t="shared" si="1"/>
        <v>2</v>
      </c>
      <c r="J36" s="360">
        <f t="shared" si="38"/>
        <v>16.2</v>
      </c>
      <c r="K36" s="360">
        <f t="shared" si="2"/>
        <v>8.1</v>
      </c>
      <c r="L36" s="4">
        <f t="shared" si="3"/>
        <v>4.8</v>
      </c>
      <c r="M36" s="360">
        <f t="shared" si="4"/>
        <v>0.53409383217579176</v>
      </c>
      <c r="N36" s="4">
        <f t="shared" si="5"/>
        <v>5.0918758016189232</v>
      </c>
      <c r="O36" s="4">
        <f t="shared" si="39"/>
        <v>10.645937900809461</v>
      </c>
      <c r="P36" s="4">
        <f t="shared" si="40"/>
        <v>5.5540620991905385</v>
      </c>
      <c r="Q36" s="4">
        <f t="shared" si="6"/>
        <v>0</v>
      </c>
      <c r="R36" s="4">
        <f t="shared" si="41"/>
        <v>8.2322900781977246</v>
      </c>
      <c r="S36" s="360">
        <f t="shared" si="7"/>
        <v>9.4878839904229781E-2</v>
      </c>
      <c r="T36" s="360">
        <f t="shared" si="8"/>
        <v>0.3</v>
      </c>
      <c r="U36" s="360">
        <f t="shared" si="9"/>
        <v>0.39789901566465352</v>
      </c>
      <c r="V36" s="4">
        <f t="shared" si="42"/>
        <v>1.4698979323724135</v>
      </c>
      <c r="W36" s="360">
        <f t="shared" si="10"/>
        <v>4.3211998631853925E-3</v>
      </c>
      <c r="X36" s="360">
        <f t="shared" si="43"/>
        <v>4.3211998631853925E-3</v>
      </c>
      <c r="Y36" s="4">
        <f t="shared" si="44"/>
        <v>4.1065647634511988</v>
      </c>
      <c r="Z36" s="360">
        <f t="shared" si="11"/>
        <v>2.5295811234628502E-2</v>
      </c>
      <c r="AA36" s="541">
        <f t="shared" si="45"/>
        <v>2.5295811234628502E-2</v>
      </c>
      <c r="AB36" s="360">
        <f t="shared" si="46"/>
        <v>6.0162994794405638</v>
      </c>
      <c r="AC36" s="360">
        <f t="shared" si="12"/>
        <v>6.5152546967370245E-2</v>
      </c>
      <c r="AD36" s="360">
        <f t="shared" si="13"/>
        <v>0.20807922413793101</v>
      </c>
      <c r="AE36" s="360">
        <f t="shared" si="14"/>
        <v>0.39600000000000002</v>
      </c>
      <c r="AF36" s="360">
        <f t="shared" si="15"/>
        <v>0</v>
      </c>
      <c r="AG36" s="360">
        <f t="shared" si="16"/>
        <v>0.67592558870228603</v>
      </c>
      <c r="AH36" s="360">
        <f t="shared" si="17"/>
        <v>5.6191405486316057</v>
      </c>
      <c r="AI36" s="360">
        <f t="shared" si="18"/>
        <v>5.6834532909496624E-2</v>
      </c>
      <c r="AJ36" s="360">
        <f t="shared" si="19"/>
        <v>0</v>
      </c>
      <c r="AK36" s="360">
        <f t="shared" si="20"/>
        <v>5.7329796363611234E-2</v>
      </c>
      <c r="AL36" s="360">
        <f t="shared" si="21"/>
        <v>3.5925119999999991E-2</v>
      </c>
      <c r="AM36" s="360">
        <f t="shared" si="22"/>
        <v>4.4549999999999999E-2</v>
      </c>
      <c r="AN36" s="360">
        <f t="shared" si="23"/>
        <v>0.14909531984950394</v>
      </c>
      <c r="AO36" s="360">
        <f t="shared" si="24"/>
        <v>1.5749999999999998E-3</v>
      </c>
      <c r="AP36" s="360">
        <f t="shared" si="25"/>
        <v>0.23760000000000001</v>
      </c>
      <c r="AQ36" s="360">
        <f t="shared" si="26"/>
        <v>0.22704000000000002</v>
      </c>
      <c r="AR36" s="360">
        <f t="shared" si="27"/>
        <v>0.2112</v>
      </c>
      <c r="AS36" s="360">
        <f t="shared" si="28"/>
        <v>0.239175</v>
      </c>
      <c r="AT36" s="360">
        <f t="shared" si="29"/>
        <v>1.6295168516778686</v>
      </c>
      <c r="AU36">
        <f t="shared" si="30"/>
        <v>194.39999999999998</v>
      </c>
      <c r="AV36" s="542">
        <f t="shared" si="47"/>
        <v>0.99168739035912223</v>
      </c>
      <c r="AW36" s="551">
        <f t="shared" si="31"/>
        <v>26.802486370686868</v>
      </c>
      <c r="AX36" s="551">
        <f t="shared" si="32"/>
        <v>2.7371892618172269</v>
      </c>
      <c r="AY36" s="9"/>
      <c r="AZ36" s="4">
        <f t="shared" si="48"/>
        <v>99.168739035912225</v>
      </c>
      <c r="BA36" s="360">
        <f t="shared" si="33"/>
        <v>0.39789901566465352</v>
      </c>
      <c r="BB36" s="360">
        <f t="shared" si="34"/>
        <v>0.77780538506589725</v>
      </c>
      <c r="BC36" s="360">
        <f t="shared" si="35"/>
        <v>0.70532858870228599</v>
      </c>
      <c r="BD36" s="360">
        <f t="shared" si="36"/>
        <v>7.2031296363611233E-2</v>
      </c>
      <c r="BE36" s="360">
        <f t="shared" si="37"/>
        <v>0.14909531984950394</v>
      </c>
    </row>
    <row r="37" spans="1:57" x14ac:dyDescent="0.25">
      <c r="A37" s="23" t="s">
        <v>71</v>
      </c>
      <c r="B37" s="5">
        <f>Rdson1*1000</f>
        <v>1.8</v>
      </c>
      <c r="C37" s="442" t="s">
        <v>466</v>
      </c>
      <c r="D37" s="440" t="s">
        <v>528</v>
      </c>
      <c r="G37">
        <v>28</v>
      </c>
      <c r="H37" s="548">
        <f t="shared" si="0"/>
        <v>45</v>
      </c>
      <c r="I37" s="4">
        <f t="shared" si="1"/>
        <v>2</v>
      </c>
      <c r="J37" s="360">
        <f t="shared" si="38"/>
        <v>16.8</v>
      </c>
      <c r="K37" s="360">
        <f t="shared" si="2"/>
        <v>8.4</v>
      </c>
      <c r="L37" s="4">
        <f t="shared" si="3"/>
        <v>4.9777777777777787</v>
      </c>
      <c r="M37" s="360">
        <f t="shared" si="4"/>
        <v>0.53412198723724125</v>
      </c>
      <c r="N37" s="4">
        <f t="shared" si="5"/>
        <v>5.0919111513477855</v>
      </c>
      <c r="O37" s="4">
        <f t="shared" si="39"/>
        <v>10.945955575673892</v>
      </c>
      <c r="P37" s="4">
        <f t="shared" si="40"/>
        <v>5.8540444243261076</v>
      </c>
      <c r="Q37" s="4">
        <f t="shared" si="6"/>
        <v>0</v>
      </c>
      <c r="R37" s="4">
        <f t="shared" si="41"/>
        <v>8.5276391768825253</v>
      </c>
      <c r="S37" s="360">
        <f t="shared" si="7"/>
        <v>0.10180888190354234</v>
      </c>
      <c r="T37" s="360">
        <f t="shared" si="8"/>
        <v>0.3</v>
      </c>
      <c r="U37" s="360">
        <f t="shared" si="9"/>
        <v>0.40510837233854646</v>
      </c>
      <c r="V37" s="4">
        <f t="shared" si="42"/>
        <v>1.4699081369601508</v>
      </c>
      <c r="W37" s="360">
        <f t="shared" si="10"/>
        <v>4.3212598622033227E-3</v>
      </c>
      <c r="X37" s="360">
        <f t="shared" si="43"/>
        <v>4.3212598622033227E-3</v>
      </c>
      <c r="Y37" s="4">
        <f t="shared" si="44"/>
        <v>4.2538791855427238</v>
      </c>
      <c r="Z37" s="360">
        <f t="shared" si="11"/>
        <v>2.7143232187790439E-2</v>
      </c>
      <c r="AA37" s="541">
        <f t="shared" si="45"/>
        <v>2.7143232187790439E-2</v>
      </c>
      <c r="AB37" s="360">
        <f t="shared" si="46"/>
        <v>6.2323099547394163</v>
      </c>
      <c r="AC37" s="360">
        <f t="shared" si="12"/>
        <v>6.9915037269499242E-2</v>
      </c>
      <c r="AD37" s="360">
        <f t="shared" si="13"/>
        <v>0.21578586206896549</v>
      </c>
      <c r="AE37" s="360">
        <f t="shared" si="14"/>
        <v>0.39600000000000002</v>
      </c>
      <c r="AF37" s="360">
        <f t="shared" si="15"/>
        <v>0</v>
      </c>
      <c r="AG37" s="360">
        <f t="shared" si="16"/>
        <v>0.68902320799497563</v>
      </c>
      <c r="AH37" s="360">
        <f t="shared" si="17"/>
        <v>5.82056204838997</v>
      </c>
      <c r="AI37" s="360">
        <f t="shared" si="18"/>
        <v>6.0982096606483759E-2</v>
      </c>
      <c r="AJ37" s="360">
        <f t="shared" si="19"/>
        <v>0</v>
      </c>
      <c r="AK37" s="360">
        <f t="shared" si="20"/>
        <v>6.1552645228858852E-2</v>
      </c>
      <c r="AL37" s="360">
        <f t="shared" si="21"/>
        <v>3.7255679999999999E-2</v>
      </c>
      <c r="AM37" s="360">
        <f t="shared" si="22"/>
        <v>4.4549999999999999E-2</v>
      </c>
      <c r="AN37" s="360">
        <f t="shared" si="23"/>
        <v>0.15998538584842367</v>
      </c>
      <c r="AO37" s="360">
        <f t="shared" si="24"/>
        <v>1.5749999999999998E-3</v>
      </c>
      <c r="AP37" s="360">
        <f t="shared" si="25"/>
        <v>0.23760000000000001</v>
      </c>
      <c r="AQ37" s="360">
        <f t="shared" si="26"/>
        <v>0.22704000000000002</v>
      </c>
      <c r="AR37" s="360">
        <f t="shared" si="27"/>
        <v>0.2112</v>
      </c>
      <c r="AS37" s="360">
        <f t="shared" si="28"/>
        <v>0.239175</v>
      </c>
      <c r="AT37" s="360">
        <f t="shared" si="29"/>
        <v>1.6681147834607983</v>
      </c>
      <c r="AU37">
        <f t="shared" si="30"/>
        <v>201.60000000000002</v>
      </c>
      <c r="AV37" s="542">
        <f t="shared" si="47"/>
        <v>0.99179352460056114</v>
      </c>
      <c r="AW37" s="551">
        <f t="shared" si="31"/>
        <v>27.300195903809072</v>
      </c>
      <c r="AX37" s="551">
        <f t="shared" si="32"/>
        <v>2.8976575186966365</v>
      </c>
      <c r="AY37" s="9"/>
      <c r="AZ37" s="4">
        <f t="shared" si="48"/>
        <v>99.179352460056108</v>
      </c>
      <c r="BA37" s="360">
        <f t="shared" si="33"/>
        <v>0.40510837233854646</v>
      </c>
      <c r="BB37" s="360">
        <f t="shared" si="34"/>
        <v>0.79512585322383444</v>
      </c>
      <c r="BC37" s="360">
        <f t="shared" si="35"/>
        <v>0.71842620799497559</v>
      </c>
      <c r="BD37" s="360">
        <f t="shared" si="36"/>
        <v>7.6254145228858858E-2</v>
      </c>
      <c r="BE37" s="360">
        <f t="shared" si="37"/>
        <v>0.15998538584842367</v>
      </c>
    </row>
    <row r="38" spans="1:57" x14ac:dyDescent="0.25">
      <c r="A38" s="22" t="s">
        <v>79</v>
      </c>
      <c r="B38" s="5">
        <f>RdsonTopTc*1000000</f>
        <v>4000</v>
      </c>
      <c r="C38" s="440" t="s">
        <v>81</v>
      </c>
      <c r="D38" s="21" t="s">
        <v>109</v>
      </c>
      <c r="G38">
        <v>29</v>
      </c>
      <c r="H38" s="548">
        <f t="shared" si="0"/>
        <v>45</v>
      </c>
      <c r="I38" s="4">
        <f t="shared" si="1"/>
        <v>2</v>
      </c>
      <c r="J38" s="360">
        <f t="shared" si="38"/>
        <v>17.399999999999999</v>
      </c>
      <c r="K38" s="360">
        <f t="shared" si="2"/>
        <v>8.6999999999999993</v>
      </c>
      <c r="L38" s="4">
        <f t="shared" si="3"/>
        <v>5.155555555555555</v>
      </c>
      <c r="M38" s="360">
        <f t="shared" si="4"/>
        <v>0.53415014147316009</v>
      </c>
      <c r="N38" s="4">
        <f t="shared" si="5"/>
        <v>5.0919464686353413</v>
      </c>
      <c r="O38" s="4">
        <f t="shared" si="39"/>
        <v>11.24597323431767</v>
      </c>
      <c r="P38" s="4">
        <f t="shared" si="40"/>
        <v>6.1540267656823282</v>
      </c>
      <c r="Q38" s="4">
        <f t="shared" si="6"/>
        <v>0</v>
      </c>
      <c r="R38" s="4">
        <f t="shared" si="41"/>
        <v>8.8233020974738992</v>
      </c>
      <c r="S38" s="360">
        <f t="shared" si="7"/>
        <v>0.10899092386460223</v>
      </c>
      <c r="T38" s="360">
        <f t="shared" si="8"/>
        <v>0.3</v>
      </c>
      <c r="U38" s="360">
        <f t="shared" si="9"/>
        <v>0.41258839509316364</v>
      </c>
      <c r="V38" s="4">
        <f t="shared" si="42"/>
        <v>1.4699183321828895</v>
      </c>
      <c r="W38" s="360">
        <f t="shared" si="10"/>
        <v>4.3213198065746548E-3</v>
      </c>
      <c r="X38" s="360">
        <f t="shared" si="43"/>
        <v>4.3213198065746548E-3</v>
      </c>
      <c r="Y38" s="4">
        <f t="shared" si="44"/>
        <v>4.401349001426734</v>
      </c>
      <c r="Z38" s="360">
        <f t="shared" si="11"/>
        <v>2.9057809548540165E-2</v>
      </c>
      <c r="AA38" s="541">
        <f t="shared" si="45"/>
        <v>2.9057809548540165E-2</v>
      </c>
      <c r="AB38" s="360">
        <f t="shared" si="46"/>
        <v>6.4485611574303752</v>
      </c>
      <c r="AC38" s="360">
        <f t="shared" si="12"/>
        <v>7.48510938020156E-2</v>
      </c>
      <c r="AD38" s="360">
        <f t="shared" si="13"/>
        <v>0.22349249999999996</v>
      </c>
      <c r="AE38" s="360">
        <f t="shared" si="14"/>
        <v>0.39600000000000002</v>
      </c>
      <c r="AF38" s="360">
        <f t="shared" si="15"/>
        <v>0</v>
      </c>
      <c r="AG38" s="360">
        <f t="shared" si="16"/>
        <v>0.7023343084649144</v>
      </c>
      <c r="AH38" s="360">
        <f t="shared" si="17"/>
        <v>6.0221855585964406</v>
      </c>
      <c r="AI38" s="360">
        <f t="shared" si="18"/>
        <v>6.5280094023901544E-2</v>
      </c>
      <c r="AJ38" s="360">
        <f t="shared" si="19"/>
        <v>0</v>
      </c>
      <c r="AK38" s="360">
        <f t="shared" si="20"/>
        <v>6.5934332334863441E-2</v>
      </c>
      <c r="AL38" s="360">
        <f t="shared" si="21"/>
        <v>3.8586239999999994E-2</v>
      </c>
      <c r="AM38" s="360">
        <f t="shared" si="22"/>
        <v>4.4549999999999999E-2</v>
      </c>
      <c r="AN38" s="360">
        <f t="shared" si="23"/>
        <v>0.17127145178723208</v>
      </c>
      <c r="AO38" s="360">
        <f t="shared" si="24"/>
        <v>1.5749999999999998E-3</v>
      </c>
      <c r="AP38" s="360">
        <f t="shared" si="25"/>
        <v>0.23760000000000001</v>
      </c>
      <c r="AQ38" s="360">
        <f t="shared" si="26"/>
        <v>0.22704000000000002</v>
      </c>
      <c r="AR38" s="360">
        <f t="shared" si="27"/>
        <v>0.2112</v>
      </c>
      <c r="AS38" s="360">
        <f t="shared" si="28"/>
        <v>0.239175</v>
      </c>
      <c r="AT38" s="360">
        <f t="shared" si="29"/>
        <v>1.7078188570352881</v>
      </c>
      <c r="AU38">
        <f t="shared" si="30"/>
        <v>208.79999999999998</v>
      </c>
      <c r="AV38" s="542">
        <f t="shared" si="47"/>
        <v>0.99188714763039221</v>
      </c>
      <c r="AW38" s="551">
        <f t="shared" si="31"/>
        <v>27.806017721666745</v>
      </c>
      <c r="AX38" s="551">
        <f t="shared" si="32"/>
        <v>3.0641616287248108</v>
      </c>
      <c r="AY38" s="9"/>
      <c r="AZ38" s="4">
        <f t="shared" si="48"/>
        <v>99.188714763039215</v>
      </c>
      <c r="BA38" s="360">
        <f t="shared" si="33"/>
        <v>0.41258839509316364</v>
      </c>
      <c r="BB38" s="360">
        <f t="shared" si="34"/>
        <v>0.81281864079977784</v>
      </c>
      <c r="BC38" s="360">
        <f t="shared" si="35"/>
        <v>0.73173730846491436</v>
      </c>
      <c r="BD38" s="360">
        <f t="shared" si="36"/>
        <v>8.0635832334863447E-2</v>
      </c>
      <c r="BE38" s="360">
        <f t="shared" si="37"/>
        <v>0.17127145178723208</v>
      </c>
    </row>
    <row r="39" spans="1:57" x14ac:dyDescent="0.25">
      <c r="A39" s="23" t="s">
        <v>70</v>
      </c>
      <c r="B39" s="5">
        <f>Qg_Q1*1000000000</f>
        <v>12</v>
      </c>
      <c r="C39" s="440" t="s">
        <v>65</v>
      </c>
      <c r="D39" s="21" t="s">
        <v>99</v>
      </c>
      <c r="G39">
        <v>30</v>
      </c>
      <c r="H39" s="548">
        <f t="shared" si="0"/>
        <v>45</v>
      </c>
      <c r="I39" s="4">
        <f t="shared" si="1"/>
        <v>2</v>
      </c>
      <c r="J39" s="360">
        <f t="shared" si="38"/>
        <v>18</v>
      </c>
      <c r="K39" s="360">
        <f t="shared" si="2"/>
        <v>9</v>
      </c>
      <c r="L39" s="4">
        <f t="shared" si="3"/>
        <v>5.333333333333333</v>
      </c>
      <c r="M39" s="360">
        <f t="shared" si="4"/>
        <v>0.53417829488358459</v>
      </c>
      <c r="N39" s="4">
        <f t="shared" si="5"/>
        <v>5.0919817534830134</v>
      </c>
      <c r="O39" s="4">
        <f t="shared" si="39"/>
        <v>11.545990876741506</v>
      </c>
      <c r="P39" s="4">
        <f t="shared" si="40"/>
        <v>6.4540091232584933</v>
      </c>
      <c r="Q39" s="4">
        <f t="shared" si="6"/>
        <v>0</v>
      </c>
      <c r="R39" s="4">
        <f t="shared" si="41"/>
        <v>9.1192483159606041</v>
      </c>
      <c r="S39" s="360">
        <f t="shared" si="7"/>
        <v>0.11642496578741043</v>
      </c>
      <c r="T39" s="360">
        <f t="shared" si="8"/>
        <v>0.3</v>
      </c>
      <c r="U39" s="360">
        <f t="shared" si="9"/>
        <v>0.42034001150408584</v>
      </c>
      <c r="V39" s="4">
        <f t="shared" si="42"/>
        <v>1.4699285180410402</v>
      </c>
      <c r="W39" s="360">
        <f t="shared" si="10"/>
        <v>4.3213796963006579E-3</v>
      </c>
      <c r="X39" s="360">
        <f t="shared" si="43"/>
        <v>4.3213796963006579E-3</v>
      </c>
      <c r="Y39" s="4">
        <f t="shared" si="44"/>
        <v>4.5489589816173837</v>
      </c>
      <c r="Z39" s="360">
        <f t="shared" si="11"/>
        <v>3.1039541724656197E-2</v>
      </c>
      <c r="AA39" s="541">
        <f t="shared" si="45"/>
        <v>3.1039541724656197E-2</v>
      </c>
      <c r="AB39" s="360">
        <f t="shared" si="46"/>
        <v>6.6650307954598054</v>
      </c>
      <c r="AC39" s="360">
        <f t="shared" si="12"/>
        <v>7.9960743907969617E-2</v>
      </c>
      <c r="AD39" s="360">
        <f t="shared" si="13"/>
        <v>0.23119913793103447</v>
      </c>
      <c r="AE39" s="360">
        <f t="shared" si="14"/>
        <v>0.39600000000000002</v>
      </c>
      <c r="AF39" s="360">
        <f t="shared" si="15"/>
        <v>0</v>
      </c>
      <c r="AG39" s="360">
        <f t="shared" si="16"/>
        <v>0.71586047371288797</v>
      </c>
      <c r="AH39" s="360">
        <f t="shared" si="17"/>
        <v>6.2239902268338083</v>
      </c>
      <c r="AI39" s="360">
        <f t="shared" si="18"/>
        <v>6.9728497818700969E-2</v>
      </c>
      <c r="AJ39" s="360">
        <f t="shared" si="19"/>
        <v>0</v>
      </c>
      <c r="AK39" s="360">
        <f t="shared" si="20"/>
        <v>7.0475448183208014E-2</v>
      </c>
      <c r="AL39" s="360">
        <f t="shared" si="21"/>
        <v>3.9916799999999995E-2</v>
      </c>
      <c r="AM39" s="360">
        <f t="shared" si="22"/>
        <v>4.4549999999999999E-2</v>
      </c>
      <c r="AN39" s="360">
        <f t="shared" si="23"/>
        <v>0.18295351766593071</v>
      </c>
      <c r="AO39" s="360">
        <f t="shared" si="24"/>
        <v>1.5749999999999998E-3</v>
      </c>
      <c r="AP39" s="360">
        <f t="shared" si="25"/>
        <v>0.23760000000000001</v>
      </c>
      <c r="AQ39" s="360">
        <f t="shared" si="26"/>
        <v>0.22704000000000002</v>
      </c>
      <c r="AR39" s="360">
        <f t="shared" si="27"/>
        <v>0.2112</v>
      </c>
      <c r="AS39" s="360">
        <f t="shared" si="28"/>
        <v>0.239175</v>
      </c>
      <c r="AT39" s="360">
        <f t="shared" si="29"/>
        <v>1.7486321724870693</v>
      </c>
      <c r="AU39">
        <f t="shared" si="30"/>
        <v>216</v>
      </c>
      <c r="AV39" s="542">
        <f t="shared" si="47"/>
        <v>0.99196949181705119</v>
      </c>
      <c r="AW39" s="551">
        <f t="shared" si="31"/>
        <v>28.32001200108974</v>
      </c>
      <c r="AX39" s="551">
        <f t="shared" si="32"/>
        <v>3.2367240309619048</v>
      </c>
      <c r="AY39" s="9"/>
      <c r="AZ39" s="4">
        <f t="shared" si="48"/>
        <v>99.196949181705122</v>
      </c>
      <c r="BA39" s="360">
        <f t="shared" si="33"/>
        <v>0.42034001150408584</v>
      </c>
      <c r="BB39" s="360">
        <f t="shared" si="34"/>
        <v>0.830885921896096</v>
      </c>
      <c r="BC39" s="360">
        <f t="shared" si="35"/>
        <v>0.74526347371288792</v>
      </c>
      <c r="BD39" s="360">
        <f t="shared" si="36"/>
        <v>8.5176948183208021E-2</v>
      </c>
      <c r="BE39" s="360">
        <f t="shared" si="37"/>
        <v>0.18295351766593071</v>
      </c>
    </row>
    <row r="40" spans="1:57" x14ac:dyDescent="0.25">
      <c r="A40" s="23" t="s">
        <v>120</v>
      </c>
      <c r="B40" s="5">
        <f>Qgd_Q1*1000000000</f>
        <v>3.1</v>
      </c>
      <c r="C40" s="440" t="s">
        <v>65</v>
      </c>
      <c r="D40" s="21" t="s">
        <v>121</v>
      </c>
      <c r="G40">
        <v>31</v>
      </c>
      <c r="H40" s="548">
        <f t="shared" si="0"/>
        <v>45</v>
      </c>
      <c r="I40" s="4">
        <f t="shared" si="1"/>
        <v>2</v>
      </c>
      <c r="J40" s="360">
        <f t="shared" si="38"/>
        <v>18.600000000000001</v>
      </c>
      <c r="K40" s="360">
        <f t="shared" si="2"/>
        <v>9.3000000000000007</v>
      </c>
      <c r="L40" s="4">
        <f t="shared" si="3"/>
        <v>5.511111111111112</v>
      </c>
      <c r="M40" s="360">
        <f t="shared" si="4"/>
        <v>0.53420644746855095</v>
      </c>
      <c r="N40" s="4">
        <f t="shared" si="5"/>
        <v>5.0920170058922292</v>
      </c>
      <c r="O40" s="4">
        <f t="shared" si="39"/>
        <v>11.846008502946116</v>
      </c>
      <c r="P40" s="4">
        <f t="shared" si="40"/>
        <v>6.7539914970538861</v>
      </c>
      <c r="Q40" s="4">
        <f t="shared" si="6"/>
        <v>0</v>
      </c>
      <c r="R40" s="4">
        <f t="shared" si="41"/>
        <v>9.4154511185439933</v>
      </c>
      <c r="S40" s="360">
        <f t="shared" si="7"/>
        <v>0.12411100767196787</v>
      </c>
      <c r="T40" s="360">
        <f t="shared" si="8"/>
        <v>0.3</v>
      </c>
      <c r="U40" s="360">
        <f t="shared" si="9"/>
        <v>0.42836418451926922</v>
      </c>
      <c r="V40" s="4">
        <f t="shared" si="42"/>
        <v>1.4699386945350155</v>
      </c>
      <c r="W40" s="360">
        <f t="shared" si="10"/>
        <v>4.3214395313826105E-3</v>
      </c>
      <c r="X40" s="360">
        <f t="shared" si="43"/>
        <v>4.3214395313826105E-3</v>
      </c>
      <c r="Y40" s="4">
        <f t="shared" si="44"/>
        <v>4.6966957975044874</v>
      </c>
      <c r="Z40" s="360">
        <f t="shared" si="11"/>
        <v>3.3088427121444469E-2</v>
      </c>
      <c r="AA40" s="541">
        <f t="shared" si="45"/>
        <v>3.3088427121444469E-2</v>
      </c>
      <c r="AB40" s="360">
        <f t="shared" si="46"/>
        <v>6.8816993592832887</v>
      </c>
      <c r="AC40" s="360">
        <f t="shared" si="12"/>
        <v>8.5244014928808051E-2</v>
      </c>
      <c r="AD40" s="360">
        <f t="shared" si="13"/>
        <v>0.23890577586206899</v>
      </c>
      <c r="AE40" s="360">
        <f t="shared" si="14"/>
        <v>0.39600000000000002</v>
      </c>
      <c r="AF40" s="360">
        <f t="shared" si="15"/>
        <v>0</v>
      </c>
      <c r="AG40" s="360">
        <f t="shared" si="16"/>
        <v>0.72960332695897767</v>
      </c>
      <c r="AH40" s="360">
        <f t="shared" si="17"/>
        <v>6.425957803637627</v>
      </c>
      <c r="AI40" s="360">
        <f t="shared" si="18"/>
        <v>7.4327280649436361E-2</v>
      </c>
      <c r="AJ40" s="360">
        <f t="shared" si="19"/>
        <v>0</v>
      </c>
      <c r="AK40" s="360">
        <f t="shared" si="20"/>
        <v>7.5176606908955487E-2</v>
      </c>
      <c r="AL40" s="360">
        <f t="shared" si="21"/>
        <v>4.1247359999999997E-2</v>
      </c>
      <c r="AM40" s="360">
        <f t="shared" si="22"/>
        <v>4.4549999999999999E-2</v>
      </c>
      <c r="AN40" s="360">
        <f t="shared" si="23"/>
        <v>0.19503158348452096</v>
      </c>
      <c r="AO40" s="360">
        <f t="shared" si="24"/>
        <v>1.5749999999999998E-3</v>
      </c>
      <c r="AP40" s="360">
        <f t="shared" si="25"/>
        <v>0.23760000000000001</v>
      </c>
      <c r="AQ40" s="360">
        <f t="shared" si="26"/>
        <v>0.22704000000000002</v>
      </c>
      <c r="AR40" s="360">
        <f t="shared" si="27"/>
        <v>0.2112</v>
      </c>
      <c r="AS40" s="360">
        <f t="shared" si="28"/>
        <v>0.239175</v>
      </c>
      <c r="AT40" s="360">
        <f t="shared" si="29"/>
        <v>1.7905579285245503</v>
      </c>
      <c r="AU40">
        <f t="shared" si="30"/>
        <v>223.20000000000002</v>
      </c>
      <c r="AV40" s="542">
        <f t="shared" si="47"/>
        <v>0.99204163079104246</v>
      </c>
      <c r="AW40" s="551">
        <f t="shared" si="31"/>
        <v>28.842240424441151</v>
      </c>
      <c r="AX40" s="551">
        <f t="shared" si="32"/>
        <v>3.4153680625403089</v>
      </c>
      <c r="AY40" s="9"/>
      <c r="AZ40" s="4">
        <f t="shared" si="48"/>
        <v>99.204163079104248</v>
      </c>
      <c r="BA40" s="360">
        <f t="shared" si="33"/>
        <v>0.42836418451926922</v>
      </c>
      <c r="BB40" s="360">
        <f t="shared" si="34"/>
        <v>0.8493299338679331</v>
      </c>
      <c r="BC40" s="360">
        <f t="shared" si="35"/>
        <v>0.75900632695897763</v>
      </c>
      <c r="BD40" s="360">
        <f t="shared" si="36"/>
        <v>8.9878106908955493E-2</v>
      </c>
      <c r="BE40" s="360">
        <f t="shared" si="37"/>
        <v>0.19503158348452096</v>
      </c>
    </row>
    <row r="41" spans="1:57" x14ac:dyDescent="0.25">
      <c r="A41" s="23" t="s">
        <v>124</v>
      </c>
      <c r="B41" s="5">
        <f>Qgs_Q1*1000000000</f>
        <v>3.6</v>
      </c>
      <c r="C41" s="440" t="s">
        <v>65</v>
      </c>
      <c r="D41" s="21"/>
      <c r="G41">
        <v>32</v>
      </c>
      <c r="H41" s="548">
        <f t="shared" ref="H41:H72" si="49">Vin</f>
        <v>45</v>
      </c>
      <c r="I41" s="4">
        <f t="shared" ref="I41:I72" si="50">MODE</f>
        <v>2</v>
      </c>
      <c r="J41" s="360">
        <f t="shared" si="38"/>
        <v>19.2</v>
      </c>
      <c r="K41" s="360">
        <f t="shared" ref="K41:K72" si="51">Iout*G41/100/Number_of_Phases</f>
        <v>9.6</v>
      </c>
      <c r="L41" s="4">
        <f t="shared" ref="L41:L72" si="52">Vout*K41/(Vin*Efficiency)</f>
        <v>5.6888888888888882</v>
      </c>
      <c r="M41" s="360">
        <f t="shared" ref="M41:M72" si="53">(Vout+(Rdson2+Rs+Rdcr)*K41)/(Vin+(Rs+Rdson2-Rdson1)*K41)</f>
        <v>0.53423459922809557</v>
      </c>
      <c r="N41" s="4">
        <f t="shared" ref="N41:N72" si="54">(Vin-(Rdson1+Rdcr)*K41-Vout)*M41/(Fsw*Lf)</f>
        <v>5.0920522258644167</v>
      </c>
      <c r="O41" s="4">
        <f t="shared" si="39"/>
        <v>12.146026112932208</v>
      </c>
      <c r="P41" s="4">
        <f t="shared" si="40"/>
        <v>7.0539738870677908</v>
      </c>
      <c r="Q41" s="4">
        <f t="shared" ref="Q41:Q72" si="55">IF(MIN(Vin, -P41/(Coss_Q1+Coss_Q2)*0.00000002)&lt;0, 0, MIN(Vin, -P41/(Coss_Q1+Coss_Q2)*0.00000002))</f>
        <v>0</v>
      </c>
      <c r="R41" s="4">
        <f t="shared" si="41"/>
        <v>9.7118870285805361</v>
      </c>
      <c r="S41" s="360">
        <f t="shared" ref="S41:S72" si="56">R41^2*Rdcr</f>
        <v>0.13204904951827523</v>
      </c>
      <c r="T41" s="360">
        <f t="shared" ref="T41:T72" si="57">Core_Loss_Ch1</f>
        <v>0.3</v>
      </c>
      <c r="U41" s="360">
        <f t="shared" ref="U41:U72" si="58">(T41+S41*(1+Ltc*(Ta-25)))/(1-S41*Ltc*ThetaCa)</f>
        <v>0.43666191276155486</v>
      </c>
      <c r="V41" s="4">
        <f t="shared" si="42"/>
        <v>1.4699488616652272</v>
      </c>
      <c r="W41" s="360">
        <f t="shared" si="10"/>
        <v>4.3214993118217944E-3</v>
      </c>
      <c r="X41" s="360">
        <f t="shared" si="43"/>
        <v>4.3214993118217944E-3</v>
      </c>
      <c r="Y41" s="4">
        <f t="shared" si="44"/>
        <v>4.8445477354608855</v>
      </c>
      <c r="Z41" s="360">
        <f t="shared" si="11"/>
        <v>3.5204464141738792E-2</v>
      </c>
      <c r="AA41" s="541">
        <f t="shared" si="45"/>
        <v>3.5204464141738792E-2</v>
      </c>
      <c r="AB41" s="360">
        <f t="shared" si="46"/>
        <v>7.0985497033773797</v>
      </c>
      <c r="AC41" s="360">
        <f t="shared" ref="AC41:AC72" si="59">Rdson1*AB41^2</f>
        <v>9.0700934204374362E-2</v>
      </c>
      <c r="AD41" s="360">
        <f t="shared" ref="AD41:AD72" si="60">(Vin*K41/2)*Fsw*(Tr_buck+Tf_buck)</f>
        <v>0.24661241379310342</v>
      </c>
      <c r="AE41" s="360">
        <f t="shared" ref="AE41:AE72" si="61">(0.5*Coss_Q1*(Vin-Q41)^2-0.5*Coss_Q2*(Vin-Q41)^2+(Qoss_Q2*(Vin-Q41)/Vin)*Vin)*Fsw</f>
        <v>0.39600000000000002</v>
      </c>
      <c r="AF41" s="360">
        <f t="shared" ref="AF41:AF72" si="62">IF(K41&gt;N41/2,0,ABS(K41-N41/2)*Vsd_Q1*Deadtime*Fsw)</f>
        <v>0</v>
      </c>
      <c r="AG41" s="360">
        <f t="shared" ref="AG41:AG72" si="63">(AF41+AE41+AD41+AC41*(1+RdsonTopTc*Ta-RdsonTopTc*25))/(1-AC41*RdsonTopTc*ThetaJA_Q1)</f>
        <v>0.743564531641975</v>
      </c>
      <c r="AH41" s="360">
        <f t="shared" ref="AH41:AH72" si="64">SQRT((1-M41))*SQRT(K41^2+(N41^2)/12)</f>
        <v>6.6280722510087191</v>
      </c>
      <c r="AI41" s="360">
        <f t="shared" ref="AI41:AI72" si="65">Rdson2*AH41^2</f>
        <v>7.9076415176265208E-2</v>
      </c>
      <c r="AJ41" s="360">
        <f t="shared" ref="AJ41:AJ72" si="66">IF(K41&lt;N41/2,Deadtime*Fsw*IF(VfdSky_Q2&gt;0,0,Vsd_Q2)*(K41+N41/2),2*Deadtime*Fsw*IF(VfdSky_Q2&gt;0,0,Vsd_Q2)*K41)</f>
        <v>0</v>
      </c>
      <c r="AK41" s="360">
        <f t="shared" ref="AK41:AK72" si="67">(AJ41+AI41*(1+RdsonBotTc*Ta-RdsonBotTc*25))/(1-AI41*RdsonBotTc*ThetaJA_Q2)</f>
        <v>8.0038446496903573E-2</v>
      </c>
      <c r="AL41" s="360">
        <f t="shared" ref="AL41:AL72" si="68">2*Deadtime*Fsw*IF(VfdSky_Q2&gt;0,VfdSky_Q2,Vsd_Q2)*K41</f>
        <v>4.2577919999999991E-2</v>
      </c>
      <c r="AM41" s="360">
        <f t="shared" ref="AM41:AM72" si="69">IF(QrrSky_Q2&gt;0,QrrSky_Q2,Qrr_Q2*K41/(Iout/Number_of_Phases))*Fsw*Vin</f>
        <v>4.4549999999999999E-2</v>
      </c>
      <c r="AN41" s="360">
        <f t="shared" ref="AN41:AN72" si="70">CHOOSE(SENSING_TYPE, Rs*R41^2, 0)</f>
        <v>0.20750564924300394</v>
      </c>
      <c r="AO41" s="360">
        <f t="shared" ref="AO41:AO72" si="71">Iq*Vin</f>
        <v>1.5749999999999998E-3</v>
      </c>
      <c r="AP41" s="360">
        <f t="shared" ref="AP41:AP72" si="72">IF(Ext_VCC=1,  (Qg_Q1+Qg_Q2)*Fsw*VCC, (Qg_Q1+Qg_Q2)*Fsw*Vin)</f>
        <v>0.23760000000000001</v>
      </c>
      <c r="AQ41" s="360">
        <f t="shared" si="26"/>
        <v>0.22704000000000002</v>
      </c>
      <c r="AR41" s="360">
        <f t="shared" ref="AR41:AR72" si="73">(Qg_Q1+Qg_Q2)*Fsw*(Vin-VCC)</f>
        <v>0.2112</v>
      </c>
      <c r="AS41" s="360">
        <f t="shared" ref="AS41:AS74" si="74">SUM(AO41:AP41)</f>
        <v>0.239175</v>
      </c>
      <c r="AT41" s="360">
        <f t="shared" ref="AT41:AT72" si="75" xml:space="preserve"> SUM(U41,X41,AA41,AG41,AK41,AL41,AM41,AS41,AN41)</f>
        <v>1.8335994235969979</v>
      </c>
      <c r="AU41">
        <f t="shared" ref="AU41:AU72" si="76">Vout*K41</f>
        <v>230.39999999999998</v>
      </c>
      <c r="AV41" s="542">
        <f t="shared" si="47"/>
        <v>0.99210450413657625</v>
      </c>
      <c r="AW41" s="551">
        <f t="shared" ref="AW41:AW72" si="77">ThetaJA_Q1*BC41</f>
        <v>29.372766202395049</v>
      </c>
      <c r="AX41" s="551">
        <f t="shared" ref="AX41:AX72" si="78">ThetaJA_Q2*BD41</f>
        <v>3.600117966882336</v>
      </c>
      <c r="AY41" s="9"/>
      <c r="AZ41" s="4">
        <f t="shared" si="48"/>
        <v>99.210450413657625</v>
      </c>
      <c r="BA41" s="360">
        <f t="shared" ref="BA41:BA72" si="79">U41</f>
        <v>0.43666191276155486</v>
      </c>
      <c r="BB41" s="360">
        <f t="shared" ref="BB41:BB73" si="80">AG41+AK41+AM41</f>
        <v>0.86815297813887859</v>
      </c>
      <c r="BC41" s="360">
        <f t="shared" ref="BC41:BC73" si="81">AG41+AM41*0.66</f>
        <v>0.77296753164197496</v>
      </c>
      <c r="BD41" s="360">
        <f t="shared" ref="BD41:BD73" si="82">AK41+AM41*0.33</f>
        <v>9.4739946496903579E-2</v>
      </c>
      <c r="BE41" s="360">
        <f t="shared" ref="BE41:BE73" si="83">AN41</f>
        <v>0.20750564924300394</v>
      </c>
    </row>
    <row r="42" spans="1:57" x14ac:dyDescent="0.25">
      <c r="A42" s="23" t="s">
        <v>90</v>
      </c>
      <c r="B42" s="5">
        <f>Rgate1</f>
        <v>0.5</v>
      </c>
      <c r="C42" s="444" t="s">
        <v>116</v>
      </c>
      <c r="D42" s="21" t="s">
        <v>100</v>
      </c>
      <c r="G42">
        <v>33</v>
      </c>
      <c r="H42" s="548">
        <f t="shared" si="49"/>
        <v>45</v>
      </c>
      <c r="I42" s="4">
        <f t="shared" si="50"/>
        <v>2</v>
      </c>
      <c r="J42" s="360">
        <f t="shared" ref="J42:J73" si="84">Iout*G42/100</f>
        <v>19.8</v>
      </c>
      <c r="K42" s="360">
        <f t="shared" si="51"/>
        <v>9.9</v>
      </c>
      <c r="L42" s="4">
        <f t="shared" si="52"/>
        <v>5.8666666666666671</v>
      </c>
      <c r="M42" s="360">
        <f t="shared" si="53"/>
        <v>0.53426275016225488</v>
      </c>
      <c r="N42" s="4">
        <f t="shared" si="54"/>
        <v>5.0920874134010052</v>
      </c>
      <c r="O42" s="4">
        <f t="shared" si="39"/>
        <v>12.446043706700504</v>
      </c>
      <c r="P42" s="4">
        <f t="shared" si="40"/>
        <v>7.3539562932994977</v>
      </c>
      <c r="Q42" s="4">
        <f t="shared" si="55"/>
        <v>0</v>
      </c>
      <c r="R42" s="4">
        <f t="shared" si="41"/>
        <v>10.008535333344723</v>
      </c>
      <c r="S42" s="360">
        <f t="shared" si="56"/>
        <v>0.14023909132633366</v>
      </c>
      <c r="T42" s="360">
        <f t="shared" si="57"/>
        <v>0.3</v>
      </c>
      <c r="U42" s="360">
        <f t="shared" si="58"/>
        <v>0.44523423084320002</v>
      </c>
      <c r="V42" s="4">
        <f t="shared" si="42"/>
        <v>1.469959019432088</v>
      </c>
      <c r="W42" s="360">
        <f t="shared" si="10"/>
        <v>4.3215590376194917E-3</v>
      </c>
      <c r="X42" s="360">
        <f t="shared" si="43"/>
        <v>4.3215590376194917E-3</v>
      </c>
      <c r="Y42" s="4">
        <f t="shared" si="44"/>
        <v>4.9925044607492159</v>
      </c>
      <c r="Z42" s="360">
        <f t="shared" si="11"/>
        <v>3.7387651185901233E-2</v>
      </c>
      <c r="AA42" s="541">
        <f t="shared" si="45"/>
        <v>3.7387651185901233E-2</v>
      </c>
      <c r="AB42" s="360">
        <f t="shared" si="46"/>
        <v>7.3155667006470653</v>
      </c>
      <c r="AC42" s="360">
        <f t="shared" si="59"/>
        <v>9.6331529072909136E-2</v>
      </c>
      <c r="AD42" s="360">
        <f t="shared" si="60"/>
        <v>0.25431905172413793</v>
      </c>
      <c r="AE42" s="360">
        <f t="shared" si="61"/>
        <v>0.39600000000000002</v>
      </c>
      <c r="AF42" s="360">
        <f t="shared" si="62"/>
        <v>0</v>
      </c>
      <c r="AG42" s="360">
        <f t="shared" si="63"/>
        <v>0.75774579203797532</v>
      </c>
      <c r="AH42" s="360">
        <f t="shared" si="64"/>
        <v>6.8303194191189611</v>
      </c>
      <c r="AI42" s="360">
        <f t="shared" si="65"/>
        <v>8.3975874060948447E-2</v>
      </c>
      <c r="AJ42" s="360">
        <f t="shared" si="66"/>
        <v>0</v>
      </c>
      <c r="AK42" s="360">
        <f t="shared" si="67"/>
        <v>8.5061629006974587E-2</v>
      </c>
      <c r="AL42" s="360">
        <f t="shared" si="68"/>
        <v>4.3908479999999993E-2</v>
      </c>
      <c r="AM42" s="360">
        <f t="shared" si="69"/>
        <v>4.4549999999999999E-2</v>
      </c>
      <c r="AN42" s="360">
        <f t="shared" si="70"/>
        <v>0.22037571494138147</v>
      </c>
      <c r="AO42" s="360">
        <f t="shared" si="71"/>
        <v>1.5749999999999998E-3</v>
      </c>
      <c r="AP42" s="360">
        <f t="shared" si="72"/>
        <v>0.23760000000000001</v>
      </c>
      <c r="AQ42" s="360">
        <f t="shared" si="26"/>
        <v>0.22704000000000002</v>
      </c>
      <c r="AR42" s="360">
        <f t="shared" si="73"/>
        <v>0.2112</v>
      </c>
      <c r="AS42" s="360">
        <f t="shared" si="74"/>
        <v>0.239175</v>
      </c>
      <c r="AT42" s="360">
        <f t="shared" si="75"/>
        <v>1.8777600570530522</v>
      </c>
      <c r="AU42">
        <f t="shared" si="76"/>
        <v>237.60000000000002</v>
      </c>
      <c r="AV42" s="542">
        <f t="shared" si="47"/>
        <v>0.99215893761238749</v>
      </c>
      <c r="AW42" s="551">
        <f t="shared" si="77"/>
        <v>29.911654097443062</v>
      </c>
      <c r="AX42" s="551">
        <f t="shared" si="78"/>
        <v>3.7909989022650343</v>
      </c>
      <c r="AY42" s="9"/>
      <c r="AZ42" s="4">
        <f t="shared" si="48"/>
        <v>99.215893761238746</v>
      </c>
      <c r="BA42" s="360">
        <f t="shared" si="79"/>
        <v>0.44523423084320002</v>
      </c>
      <c r="BB42" s="360">
        <f t="shared" si="80"/>
        <v>0.88735742104494986</v>
      </c>
      <c r="BC42" s="360">
        <f t="shared" si="81"/>
        <v>0.78714879203797528</v>
      </c>
      <c r="BD42" s="360">
        <f t="shared" si="82"/>
        <v>9.9763129006974594E-2</v>
      </c>
      <c r="BE42" s="360">
        <f t="shared" si="83"/>
        <v>0.22037571494138147</v>
      </c>
    </row>
    <row r="43" spans="1:57" x14ac:dyDescent="0.25">
      <c r="A43" s="23" t="s">
        <v>69</v>
      </c>
      <c r="B43" s="5">
        <f>Gfs_Q1</f>
        <v>300</v>
      </c>
      <c r="C43" s="440" t="s">
        <v>66</v>
      </c>
      <c r="D43" s="21" t="s">
        <v>101</v>
      </c>
      <c r="G43">
        <v>34</v>
      </c>
      <c r="H43" s="548">
        <f t="shared" si="49"/>
        <v>45</v>
      </c>
      <c r="I43" s="4">
        <f t="shared" si="50"/>
        <v>2</v>
      </c>
      <c r="J43" s="360">
        <f t="shared" si="84"/>
        <v>20.399999999999999</v>
      </c>
      <c r="K43" s="360">
        <f t="shared" si="51"/>
        <v>10.199999999999999</v>
      </c>
      <c r="L43" s="4">
        <f t="shared" si="52"/>
        <v>6.0444444444444443</v>
      </c>
      <c r="M43" s="360">
        <f t="shared" si="53"/>
        <v>0.53429090027106485</v>
      </c>
      <c r="N43" s="4">
        <f t="shared" si="54"/>
        <v>5.0921225685034157</v>
      </c>
      <c r="O43" s="4">
        <f t="shared" si="39"/>
        <v>12.746061284251708</v>
      </c>
      <c r="P43" s="4">
        <f t="shared" si="40"/>
        <v>7.653938715748291</v>
      </c>
      <c r="Q43" s="4">
        <f t="shared" si="55"/>
        <v>0</v>
      </c>
      <c r="R43" s="4">
        <f t="shared" si="41"/>
        <v>10.305377691011062</v>
      </c>
      <c r="S43" s="360">
        <f t="shared" si="56"/>
        <v>0.14868113309614386</v>
      </c>
      <c r="T43" s="360">
        <f t="shared" si="57"/>
        <v>0.3</v>
      </c>
      <c r="U43" s="360">
        <f t="shared" si="58"/>
        <v>0.45408220969261581</v>
      </c>
      <c r="V43" s="4">
        <f t="shared" si="42"/>
        <v>1.4699691678360078</v>
      </c>
      <c r="W43" s="360">
        <f t="shared" si="10"/>
        <v>4.3216187087769704E-3</v>
      </c>
      <c r="X43" s="360">
        <f t="shared" si="43"/>
        <v>4.3216187087769704E-3</v>
      </c>
      <c r="Y43" s="4">
        <f t="shared" si="44"/>
        <v>5.1405568214492332</v>
      </c>
      <c r="Z43" s="360">
        <f t="shared" si="11"/>
        <v>3.9637986651822367E-2</v>
      </c>
      <c r="AA43" s="541">
        <f t="shared" si="45"/>
        <v>3.9637986651822367E-2</v>
      </c>
      <c r="AB43" s="360">
        <f t="shared" si="46"/>
        <v>7.5327369554148085</v>
      </c>
      <c r="AC43" s="360">
        <f t="shared" si="59"/>
        <v>0.10213582687104952</v>
      </c>
      <c r="AD43" s="360">
        <f t="shared" si="60"/>
        <v>0.26202568965517237</v>
      </c>
      <c r="AE43" s="360">
        <f t="shared" si="61"/>
        <v>0.39600000000000002</v>
      </c>
      <c r="AF43" s="360">
        <f t="shared" si="62"/>
        <v>0</v>
      </c>
      <c r="AG43" s="360">
        <f t="shared" si="63"/>
        <v>0.77214885389861299</v>
      </c>
      <c r="AH43" s="360">
        <f t="shared" si="64"/>
        <v>7.0326867778194506</v>
      </c>
      <c r="AI43" s="360">
        <f t="shared" si="65"/>
        <v>8.9025629966849748E-2</v>
      </c>
      <c r="AJ43" s="360">
        <f t="shared" si="66"/>
        <v>0</v>
      </c>
      <c r="AK43" s="360">
        <f t="shared" si="67"/>
        <v>9.0246840808890227E-2</v>
      </c>
      <c r="AL43" s="360">
        <f t="shared" si="68"/>
        <v>4.5239039999999987E-2</v>
      </c>
      <c r="AM43" s="360">
        <f t="shared" si="69"/>
        <v>4.4549999999999999E-2</v>
      </c>
      <c r="AN43" s="360">
        <f t="shared" si="70"/>
        <v>0.23364178057965468</v>
      </c>
      <c r="AO43" s="360">
        <f t="shared" si="71"/>
        <v>1.5749999999999998E-3</v>
      </c>
      <c r="AP43" s="360">
        <f t="shared" si="72"/>
        <v>0.23760000000000001</v>
      </c>
      <c r="AQ43" s="360">
        <f t="shared" si="26"/>
        <v>0.22704000000000002</v>
      </c>
      <c r="AR43" s="360">
        <f t="shared" si="73"/>
        <v>0.2112</v>
      </c>
      <c r="AS43" s="360">
        <f t="shared" si="74"/>
        <v>0.239175</v>
      </c>
      <c r="AT43" s="360">
        <f t="shared" si="75"/>
        <v>1.9230433303403729</v>
      </c>
      <c r="AU43">
        <f t="shared" si="76"/>
        <v>244.79999999999998</v>
      </c>
      <c r="AV43" s="542">
        <f t="shared" si="47"/>
        <v>0.99220565981846465</v>
      </c>
      <c r="AW43" s="551">
        <f t="shared" si="77"/>
        <v>30.458970448147291</v>
      </c>
      <c r="AX43" s="551">
        <f t="shared" si="78"/>
        <v>3.988036950737829</v>
      </c>
      <c r="AY43" s="9"/>
      <c r="AZ43" s="4">
        <f t="shared" si="48"/>
        <v>99.220565981846462</v>
      </c>
      <c r="BA43" s="360">
        <f t="shared" si="79"/>
        <v>0.45408220969261581</v>
      </c>
      <c r="BB43" s="360">
        <f t="shared" si="80"/>
        <v>0.90694569470750319</v>
      </c>
      <c r="BC43" s="360">
        <f t="shared" si="81"/>
        <v>0.80155185389861294</v>
      </c>
      <c r="BD43" s="360">
        <f t="shared" si="82"/>
        <v>0.10494834080889023</v>
      </c>
      <c r="BE43" s="360">
        <f t="shared" si="83"/>
        <v>0.23364178057965468</v>
      </c>
    </row>
    <row r="44" spans="1:57" x14ac:dyDescent="0.25">
      <c r="A44" s="23" t="s">
        <v>92</v>
      </c>
      <c r="B44" s="5">
        <f>Vth_Q1</f>
        <v>2.8</v>
      </c>
      <c r="C44" s="440" t="s">
        <v>0</v>
      </c>
      <c r="D44" s="21" t="s">
        <v>102</v>
      </c>
      <c r="G44">
        <v>35</v>
      </c>
      <c r="H44" s="548">
        <f t="shared" si="49"/>
        <v>45</v>
      </c>
      <c r="I44" s="4">
        <f t="shared" si="50"/>
        <v>2</v>
      </c>
      <c r="J44" s="360">
        <f t="shared" si="84"/>
        <v>21</v>
      </c>
      <c r="K44" s="360">
        <f t="shared" si="51"/>
        <v>10.5</v>
      </c>
      <c r="L44" s="4">
        <f t="shared" si="52"/>
        <v>6.2222222222222223</v>
      </c>
      <c r="M44" s="360">
        <f t="shared" si="53"/>
        <v>0.534319049554562</v>
      </c>
      <c r="N44" s="4">
        <f t="shared" si="54"/>
        <v>5.0921576911730764</v>
      </c>
      <c r="O44" s="4">
        <f t="shared" si="39"/>
        <v>13.046078845586539</v>
      </c>
      <c r="P44" s="4">
        <f t="shared" si="40"/>
        <v>7.9539211544134618</v>
      </c>
      <c r="Q44" s="4">
        <f t="shared" si="55"/>
        <v>0</v>
      </c>
      <c r="R44" s="4">
        <f t="shared" si="41"/>
        <v>10.602397802509005</v>
      </c>
      <c r="S44" s="360">
        <f t="shared" si="56"/>
        <v>0.15737517482770688</v>
      </c>
      <c r="T44" s="360">
        <f t="shared" si="57"/>
        <v>0.3</v>
      </c>
      <c r="U44" s="360">
        <f t="shared" si="58"/>
        <v>0.46320695689350888</v>
      </c>
      <c r="V44" s="4">
        <f t="shared" si="42"/>
        <v>1.4699793068773994</v>
      </c>
      <c r="W44" s="360">
        <f t="shared" si="10"/>
        <v>4.3216783252955186E-3</v>
      </c>
      <c r="X44" s="360">
        <f t="shared" si="43"/>
        <v>4.3216783252955186E-3</v>
      </c>
      <c r="Y44" s="4">
        <f t="shared" si="44"/>
        <v>5.2886966847495813</v>
      </c>
      <c r="Z44" s="360">
        <f t="shared" si="11"/>
        <v>4.1955468934921823E-2</v>
      </c>
      <c r="AA44" s="541">
        <f t="shared" si="45"/>
        <v>4.1955468934921823E-2</v>
      </c>
      <c r="AB44" s="360">
        <f t="shared" si="46"/>
        <v>7.7500485637844037</v>
      </c>
      <c r="AC44" s="360">
        <f t="shared" si="59"/>
        <v>0.10811385493383005</v>
      </c>
      <c r="AD44" s="360">
        <f t="shared" si="60"/>
        <v>0.26973232758620685</v>
      </c>
      <c r="AE44" s="360">
        <f t="shared" si="61"/>
        <v>0.39600000000000002</v>
      </c>
      <c r="AF44" s="360">
        <f t="shared" si="62"/>
        <v>0</v>
      </c>
      <c r="AG44" s="360">
        <f t="shared" si="63"/>
        <v>0.78677550510942029</v>
      </c>
      <c r="AH44" s="360">
        <f t="shared" si="64"/>
        <v>7.2351631924671249</v>
      </c>
      <c r="AI44" s="360">
        <f t="shared" si="65"/>
        <v>9.4225655558935945E-2</v>
      </c>
      <c r="AJ44" s="360">
        <f t="shared" si="66"/>
        <v>0</v>
      </c>
      <c r="AK44" s="360">
        <f t="shared" si="67"/>
        <v>9.5594792826291797E-2</v>
      </c>
      <c r="AL44" s="360">
        <f t="shared" si="68"/>
        <v>4.6569599999999996E-2</v>
      </c>
      <c r="AM44" s="360">
        <f t="shared" si="69"/>
        <v>4.4549999999999999E-2</v>
      </c>
      <c r="AN44" s="360">
        <f t="shared" si="70"/>
        <v>0.24730384615782511</v>
      </c>
      <c r="AO44" s="360">
        <f t="shared" si="71"/>
        <v>1.5749999999999998E-3</v>
      </c>
      <c r="AP44" s="360">
        <f t="shared" si="72"/>
        <v>0.23760000000000001</v>
      </c>
      <c r="AQ44" s="360">
        <f t="shared" si="26"/>
        <v>0.22704000000000002</v>
      </c>
      <c r="AR44" s="360">
        <f t="shared" si="73"/>
        <v>0.2112</v>
      </c>
      <c r="AS44" s="360">
        <f t="shared" si="74"/>
        <v>0.239175</v>
      </c>
      <c r="AT44" s="360">
        <f t="shared" si="75"/>
        <v>1.9694528482472637</v>
      </c>
      <c r="AU44">
        <f t="shared" si="76"/>
        <v>252</v>
      </c>
      <c r="AV44" s="542">
        <f t="shared" si="47"/>
        <v>0.99224531601670984</v>
      </c>
      <c r="AW44" s="551">
        <f t="shared" si="77"/>
        <v>31.014783194157971</v>
      </c>
      <c r="AX44" s="551">
        <f t="shared" si="78"/>
        <v>4.1912591273990882</v>
      </c>
      <c r="AY44" s="9"/>
      <c r="AZ44" s="4">
        <f t="shared" si="48"/>
        <v>99.224531601670989</v>
      </c>
      <c r="BA44" s="360">
        <f t="shared" si="79"/>
        <v>0.46320695689350888</v>
      </c>
      <c r="BB44" s="360">
        <f t="shared" si="80"/>
        <v>0.92692029793571207</v>
      </c>
      <c r="BC44" s="360">
        <f t="shared" si="81"/>
        <v>0.81617850510942025</v>
      </c>
      <c r="BD44" s="360">
        <f t="shared" si="82"/>
        <v>0.1102962928262918</v>
      </c>
      <c r="BE44" s="360">
        <f t="shared" si="83"/>
        <v>0.24730384615782511</v>
      </c>
    </row>
    <row r="45" spans="1:57" x14ac:dyDescent="0.25">
      <c r="A45" s="28" t="s">
        <v>123</v>
      </c>
      <c r="B45" s="447">
        <f>Vsp_Q1</f>
        <v>2.9</v>
      </c>
      <c r="C45" s="445" t="s">
        <v>0</v>
      </c>
      <c r="G45">
        <v>36</v>
      </c>
      <c r="H45" s="548">
        <f t="shared" si="49"/>
        <v>45</v>
      </c>
      <c r="I45" s="4">
        <f t="shared" si="50"/>
        <v>2</v>
      </c>
      <c r="J45" s="360">
        <f t="shared" si="84"/>
        <v>21.6</v>
      </c>
      <c r="K45" s="360">
        <f t="shared" si="51"/>
        <v>10.8</v>
      </c>
      <c r="L45" s="4">
        <f t="shared" si="52"/>
        <v>6.4000000000000012</v>
      </c>
      <c r="M45" s="360">
        <f t="shared" si="53"/>
        <v>0.53434719801278252</v>
      </c>
      <c r="N45" s="4">
        <f t="shared" si="54"/>
        <v>5.0921927814114136</v>
      </c>
      <c r="O45" s="4">
        <f t="shared" si="39"/>
        <v>13.346096390705707</v>
      </c>
      <c r="P45" s="4">
        <f t="shared" si="40"/>
        <v>8.2539036092942943</v>
      </c>
      <c r="Q45" s="4">
        <f t="shared" si="55"/>
        <v>0</v>
      </c>
      <c r="R45" s="4">
        <f t="shared" si="41"/>
        <v>10.899581136153271</v>
      </c>
      <c r="S45" s="360">
        <f t="shared" si="56"/>
        <v>0.16632121652102352</v>
      </c>
      <c r="T45" s="360">
        <f t="shared" si="57"/>
        <v>0.3</v>
      </c>
      <c r="U45" s="360">
        <f t="shared" si="58"/>
        <v>0.4726096170366289</v>
      </c>
      <c r="V45" s="4">
        <f t="shared" si="42"/>
        <v>1.4699894365566746</v>
      </c>
      <c r="W45" s="360">
        <f t="shared" si="10"/>
        <v>4.3217378871764191E-3</v>
      </c>
      <c r="X45" s="360">
        <f t="shared" si="43"/>
        <v>4.3217378871764191E-3</v>
      </c>
      <c r="Y45" s="4">
        <f t="shared" si="44"/>
        <v>5.4369167995686958</v>
      </c>
      <c r="Z45" s="360">
        <f t="shared" si="11"/>
        <v>4.4340096428148471E-2</v>
      </c>
      <c r="AA45" s="541">
        <f t="shared" si="45"/>
        <v>4.4340096428148471E-2</v>
      </c>
      <c r="AB45" s="360">
        <f t="shared" si="46"/>
        <v>7.9674909125451894</v>
      </c>
      <c r="AC45" s="360">
        <f t="shared" si="59"/>
        <v>0.11426564059468231</v>
      </c>
      <c r="AD45" s="360">
        <f t="shared" si="60"/>
        <v>0.2774389655172414</v>
      </c>
      <c r="AE45" s="360">
        <f t="shared" si="61"/>
        <v>0.39600000000000002</v>
      </c>
      <c r="AF45" s="360">
        <f t="shared" si="62"/>
        <v>0</v>
      </c>
      <c r="AG45" s="360">
        <f t="shared" si="63"/>
        <v>0.80162757636880977</v>
      </c>
      <c r="AH45" s="360">
        <f t="shared" si="64"/>
        <v>7.4377387358052625</v>
      </c>
      <c r="AI45" s="360">
        <f t="shared" si="65"/>
        <v>9.9575923503776517E-2</v>
      </c>
      <c r="AJ45" s="360">
        <f t="shared" si="66"/>
        <v>0</v>
      </c>
      <c r="AK45" s="360">
        <f t="shared" si="67"/>
        <v>0.10110622079046905</v>
      </c>
      <c r="AL45" s="360">
        <f t="shared" si="68"/>
        <v>4.7900159999999997E-2</v>
      </c>
      <c r="AM45" s="360">
        <f t="shared" si="69"/>
        <v>4.4549999999999999E-2</v>
      </c>
      <c r="AN45" s="360">
        <f t="shared" si="70"/>
        <v>0.26136191167589412</v>
      </c>
      <c r="AO45" s="360">
        <f t="shared" si="71"/>
        <v>1.5749999999999998E-3</v>
      </c>
      <c r="AP45" s="360">
        <f t="shared" si="72"/>
        <v>0.23760000000000001</v>
      </c>
      <c r="AQ45" s="360">
        <f t="shared" si="26"/>
        <v>0.22704000000000002</v>
      </c>
      <c r="AR45" s="360">
        <f t="shared" si="73"/>
        <v>0.2112</v>
      </c>
      <c r="AS45" s="360">
        <f t="shared" si="74"/>
        <v>0.239175</v>
      </c>
      <c r="AT45" s="360">
        <f t="shared" si="75"/>
        <v>2.0169923201871267</v>
      </c>
      <c r="AU45">
        <f t="shared" si="76"/>
        <v>259.20000000000005</v>
      </c>
      <c r="AV45" s="542">
        <f t="shared" si="47"/>
        <v>0.99227847965681049</v>
      </c>
      <c r="AW45" s="551">
        <f t="shared" si="77"/>
        <v>31.579161902014768</v>
      </c>
      <c r="AX45" s="551">
        <f t="shared" si="78"/>
        <v>4.4006933900378238</v>
      </c>
      <c r="AY45" s="9"/>
      <c r="AZ45" s="4">
        <f t="shared" si="48"/>
        <v>99.22784796568105</v>
      </c>
      <c r="BA45" s="360">
        <f t="shared" si="79"/>
        <v>0.4726096170366289</v>
      </c>
      <c r="BB45" s="360">
        <f t="shared" si="80"/>
        <v>0.9472837971592788</v>
      </c>
      <c r="BC45" s="360">
        <f t="shared" si="81"/>
        <v>0.83103057636880973</v>
      </c>
      <c r="BD45" s="360">
        <f t="shared" si="82"/>
        <v>0.11580772079046905</v>
      </c>
      <c r="BE45" s="360">
        <f t="shared" si="83"/>
        <v>0.26136191167589412</v>
      </c>
    </row>
    <row r="46" spans="1:57" x14ac:dyDescent="0.25">
      <c r="A46" s="77" t="s">
        <v>203</v>
      </c>
      <c r="B46" s="5">
        <f>Vsd_Q1</f>
        <v>0</v>
      </c>
      <c r="C46" s="445" t="s">
        <v>0</v>
      </c>
      <c r="G46">
        <v>37</v>
      </c>
      <c r="H46" s="548">
        <f t="shared" si="49"/>
        <v>45</v>
      </c>
      <c r="I46" s="4">
        <f t="shared" si="50"/>
        <v>2</v>
      </c>
      <c r="J46" s="360">
        <f t="shared" si="84"/>
        <v>22.2</v>
      </c>
      <c r="K46" s="360">
        <f t="shared" si="51"/>
        <v>11.1</v>
      </c>
      <c r="L46" s="4">
        <f t="shared" si="52"/>
        <v>6.5777777777777775</v>
      </c>
      <c r="M46" s="360">
        <f t="shared" si="53"/>
        <v>0.53437534564576294</v>
      </c>
      <c r="N46" s="4">
        <f t="shared" si="54"/>
        <v>5.0922278392198566</v>
      </c>
      <c r="O46" s="4">
        <f t="shared" si="39"/>
        <v>13.646113919609927</v>
      </c>
      <c r="P46" s="4">
        <f t="shared" si="40"/>
        <v>8.5538860803900718</v>
      </c>
      <c r="Q46" s="4">
        <f t="shared" si="55"/>
        <v>0</v>
      </c>
      <c r="R46" s="4">
        <f t="shared" si="41"/>
        <v>11.196914695451174</v>
      </c>
      <c r="S46" s="360">
        <f t="shared" si="56"/>
        <v>0.17551925817609462</v>
      </c>
      <c r="T46" s="360">
        <f t="shared" si="57"/>
        <v>0.3</v>
      </c>
      <c r="U46" s="360">
        <f t="shared" si="58"/>
        <v>0.48229137208433248</v>
      </c>
      <c r="V46" s="4">
        <f t="shared" si="42"/>
        <v>1.4699995568742454</v>
      </c>
      <c r="W46" s="360">
        <f t="shared" si="10"/>
        <v>4.3217973944209556E-3</v>
      </c>
      <c r="X46" s="360">
        <f t="shared" si="43"/>
        <v>4.3217973944209556E-3</v>
      </c>
      <c r="Y46" s="4">
        <f t="shared" si="44"/>
        <v>5.5852106807162833</v>
      </c>
      <c r="Z46" s="360">
        <f t="shared" si="11"/>
        <v>4.6791867521980876E-2</v>
      </c>
      <c r="AA46" s="541">
        <f t="shared" si="45"/>
        <v>4.6791867521980876E-2</v>
      </c>
      <c r="AB46" s="360">
        <f t="shared" si="46"/>
        <v>8.1850545096072373</v>
      </c>
      <c r="AC46" s="360">
        <f t="shared" si="59"/>
        <v>0.1205912111854352</v>
      </c>
      <c r="AD46" s="360">
        <f t="shared" si="60"/>
        <v>0.28514560344827583</v>
      </c>
      <c r="AE46" s="360">
        <f t="shared" si="61"/>
        <v>0.39600000000000002</v>
      </c>
      <c r="AF46" s="360">
        <f t="shared" si="62"/>
        <v>0</v>
      </c>
      <c r="AG46" s="360">
        <f t="shared" si="63"/>
        <v>0.81670694188820048</v>
      </c>
      <c r="AH46" s="360">
        <f t="shared" si="64"/>
        <v>7.6404045293406213</v>
      </c>
      <c r="AI46" s="360">
        <f t="shared" si="65"/>
        <v>0.10507640646954362</v>
      </c>
      <c r="AJ46" s="360">
        <f t="shared" si="66"/>
        <v>0</v>
      </c>
      <c r="AK46" s="360">
        <f t="shared" si="67"/>
        <v>0.10678188550387156</v>
      </c>
      <c r="AL46" s="360">
        <f t="shared" si="68"/>
        <v>4.9230719999999992E-2</v>
      </c>
      <c r="AM46" s="360">
        <f t="shared" si="69"/>
        <v>4.4549999999999999E-2</v>
      </c>
      <c r="AN46" s="360">
        <f t="shared" si="70"/>
        <v>0.27581597713386302</v>
      </c>
      <c r="AO46" s="360">
        <f t="shared" si="71"/>
        <v>1.5749999999999998E-3</v>
      </c>
      <c r="AP46" s="360">
        <f t="shared" si="72"/>
        <v>0.23760000000000001</v>
      </c>
      <c r="AQ46" s="360">
        <f t="shared" si="26"/>
        <v>0.22704000000000002</v>
      </c>
      <c r="AR46" s="360">
        <f t="shared" si="73"/>
        <v>0.2112</v>
      </c>
      <c r="AS46" s="360">
        <f t="shared" si="74"/>
        <v>0.239175</v>
      </c>
      <c r="AT46" s="360">
        <f t="shared" si="75"/>
        <v>2.0656655615266692</v>
      </c>
      <c r="AU46">
        <f t="shared" si="76"/>
        <v>266.39999999999998</v>
      </c>
      <c r="AV46" s="542">
        <f t="shared" si="47"/>
        <v>0.99230566203985127</v>
      </c>
      <c r="AW46" s="551">
        <f t="shared" si="77"/>
        <v>32.152177791751619</v>
      </c>
      <c r="AX46" s="551">
        <f t="shared" si="78"/>
        <v>4.6163686491471196</v>
      </c>
      <c r="AY46" s="9"/>
      <c r="AZ46" s="4">
        <f t="shared" si="48"/>
        <v>99.23056620398512</v>
      </c>
      <c r="BA46" s="360">
        <f t="shared" si="79"/>
        <v>0.48229137208433248</v>
      </c>
      <c r="BB46" s="360">
        <f t="shared" si="80"/>
        <v>0.96803882739207203</v>
      </c>
      <c r="BC46" s="360">
        <f t="shared" si="81"/>
        <v>0.84610994188820043</v>
      </c>
      <c r="BD46" s="360">
        <f t="shared" si="82"/>
        <v>0.12148338550387157</v>
      </c>
      <c r="BE46" s="360">
        <f t="shared" si="83"/>
        <v>0.27581597713386302</v>
      </c>
    </row>
    <row r="47" spans="1:57" ht="15.5" x14ac:dyDescent="0.4">
      <c r="A47" s="446" t="s">
        <v>472</v>
      </c>
      <c r="B47" s="5">
        <f>ThetaJA_Q1</f>
        <v>38</v>
      </c>
      <c r="C47" s="441" t="s">
        <v>205</v>
      </c>
      <c r="D47" s="21" t="s">
        <v>103</v>
      </c>
      <c r="G47">
        <v>38</v>
      </c>
      <c r="H47" s="548">
        <f t="shared" si="49"/>
        <v>45</v>
      </c>
      <c r="I47" s="4">
        <f t="shared" si="50"/>
        <v>2</v>
      </c>
      <c r="J47" s="360">
        <f t="shared" si="84"/>
        <v>22.8</v>
      </c>
      <c r="K47" s="360">
        <f t="shared" si="51"/>
        <v>11.4</v>
      </c>
      <c r="L47" s="4">
        <f t="shared" si="52"/>
        <v>6.7555555555555564</v>
      </c>
      <c r="M47" s="360">
        <f t="shared" si="53"/>
        <v>0.53440349245353924</v>
      </c>
      <c r="N47" s="4">
        <f t="shared" si="54"/>
        <v>5.0922628645998271</v>
      </c>
      <c r="O47" s="4">
        <f t="shared" si="39"/>
        <v>13.946131432299914</v>
      </c>
      <c r="P47" s="4">
        <f t="shared" si="40"/>
        <v>8.8538685677000863</v>
      </c>
      <c r="Q47" s="4">
        <f t="shared" si="55"/>
        <v>0</v>
      </c>
      <c r="R47" s="4">
        <f t="shared" si="41"/>
        <v>11.494386822424032</v>
      </c>
      <c r="S47" s="360">
        <f t="shared" si="56"/>
        <v>0.18496929979292134</v>
      </c>
      <c r="T47" s="360">
        <f t="shared" si="57"/>
        <v>0.3</v>
      </c>
      <c r="U47" s="360">
        <f t="shared" si="58"/>
        <v>0.49225344174818675</v>
      </c>
      <c r="V47" s="4">
        <f t="shared" si="42"/>
        <v>1.4700096678305226</v>
      </c>
      <c r="W47" s="360">
        <f t="shared" si="10"/>
        <v>4.3218568470304065E-3</v>
      </c>
      <c r="X47" s="360">
        <f t="shared" si="43"/>
        <v>4.3218568470304065E-3</v>
      </c>
      <c r="Y47" s="4">
        <f t="shared" si="44"/>
        <v>5.733572510772424</v>
      </c>
      <c r="Z47" s="360">
        <f t="shared" si="11"/>
        <v>4.9310780604427798E-2</v>
      </c>
      <c r="AA47" s="541">
        <f t="shared" si="45"/>
        <v>4.9310780604427798E-2</v>
      </c>
      <c r="AB47" s="360">
        <f t="shared" si="46"/>
        <v>8.4027308403715164</v>
      </c>
      <c r="AC47" s="360">
        <f t="shared" si="59"/>
        <v>0.12709059403631509</v>
      </c>
      <c r="AD47" s="360">
        <f t="shared" si="60"/>
        <v>0.29285224137931032</v>
      </c>
      <c r="AE47" s="360">
        <f t="shared" si="61"/>
        <v>0.39600000000000002</v>
      </c>
      <c r="AF47" s="360">
        <f t="shared" si="62"/>
        <v>0</v>
      </c>
      <c r="AG47" s="360">
        <f t="shared" si="63"/>
        <v>0.83201552011382784</v>
      </c>
      <c r="AH47" s="360">
        <f t="shared" si="64"/>
        <v>7.843152608982221</v>
      </c>
      <c r="AI47" s="360">
        <f t="shared" si="65"/>
        <v>0.11072707712601232</v>
      </c>
      <c r="AJ47" s="360">
        <f t="shared" si="66"/>
        <v>0</v>
      </c>
      <c r="AK47" s="360">
        <f t="shared" si="67"/>
        <v>0.11262257311358251</v>
      </c>
      <c r="AL47" s="360">
        <f t="shared" si="68"/>
        <v>5.0561279999999993E-2</v>
      </c>
      <c r="AM47" s="360">
        <f t="shared" si="69"/>
        <v>4.4549999999999999E-2</v>
      </c>
      <c r="AN47" s="360">
        <f t="shared" si="70"/>
        <v>0.29066604253173356</v>
      </c>
      <c r="AO47" s="360">
        <f t="shared" si="71"/>
        <v>1.5749999999999998E-3</v>
      </c>
      <c r="AP47" s="360">
        <f t="shared" si="72"/>
        <v>0.23760000000000001</v>
      </c>
      <c r="AQ47" s="360">
        <f t="shared" si="26"/>
        <v>0.22704000000000002</v>
      </c>
      <c r="AR47" s="360">
        <f t="shared" si="73"/>
        <v>0.2112</v>
      </c>
      <c r="AS47" s="360">
        <f t="shared" si="74"/>
        <v>0.239175</v>
      </c>
      <c r="AT47" s="360">
        <f t="shared" si="75"/>
        <v>2.1154764949587888</v>
      </c>
      <c r="AU47">
        <f t="shared" si="76"/>
        <v>273.60000000000002</v>
      </c>
      <c r="AV47" s="542">
        <f t="shared" si="47"/>
        <v>0.99232732046147054</v>
      </c>
      <c r="AW47" s="551">
        <f t="shared" si="77"/>
        <v>32.733903764325454</v>
      </c>
      <c r="AX47" s="551">
        <f t="shared" si="78"/>
        <v>4.8383147783161355</v>
      </c>
      <c r="AY47" s="9"/>
      <c r="AZ47" s="4">
        <f t="shared" si="48"/>
        <v>99.232732046147049</v>
      </c>
      <c r="BA47" s="360">
        <f t="shared" si="79"/>
        <v>0.49225344174818675</v>
      </c>
      <c r="BB47" s="360">
        <f t="shared" si="80"/>
        <v>0.9891880932274103</v>
      </c>
      <c r="BC47" s="360">
        <f t="shared" si="81"/>
        <v>0.8614185201138278</v>
      </c>
      <c r="BD47" s="360">
        <f t="shared" si="82"/>
        <v>0.12732407311358251</v>
      </c>
      <c r="BE47" s="360">
        <f t="shared" si="83"/>
        <v>0.29066604253173356</v>
      </c>
    </row>
    <row r="48" spans="1:57" ht="13" x14ac:dyDescent="0.3">
      <c r="A48" s="24" t="s">
        <v>526</v>
      </c>
      <c r="B48" s="15" t="s">
        <v>111</v>
      </c>
      <c r="C48" s="24" t="s">
        <v>76</v>
      </c>
      <c r="D48" s="17" t="s">
        <v>107</v>
      </c>
      <c r="G48">
        <v>39</v>
      </c>
      <c r="H48" s="548">
        <f t="shared" si="49"/>
        <v>45</v>
      </c>
      <c r="I48" s="4">
        <f t="shared" si="50"/>
        <v>2</v>
      </c>
      <c r="J48" s="360">
        <f t="shared" si="84"/>
        <v>23.4</v>
      </c>
      <c r="K48" s="360">
        <f t="shared" si="51"/>
        <v>11.7</v>
      </c>
      <c r="L48" s="4">
        <f t="shared" si="52"/>
        <v>6.9333333333333318</v>
      </c>
      <c r="M48" s="360">
        <f t="shared" si="53"/>
        <v>0.53443163843614783</v>
      </c>
      <c r="N48" s="4">
        <f t="shared" si="54"/>
        <v>5.0922978575527527</v>
      </c>
      <c r="O48" s="4">
        <f t="shared" si="39"/>
        <v>14.246148928776375</v>
      </c>
      <c r="P48" s="4">
        <f t="shared" si="40"/>
        <v>9.1538510712236238</v>
      </c>
      <c r="Q48" s="4">
        <f t="shared" si="55"/>
        <v>0</v>
      </c>
      <c r="R48" s="4">
        <f t="shared" si="41"/>
        <v>11.791987030288958</v>
      </c>
      <c r="S48" s="360">
        <f t="shared" si="56"/>
        <v>0.19467134137150421</v>
      </c>
      <c r="T48" s="360">
        <f t="shared" si="57"/>
        <v>0.3</v>
      </c>
      <c r="U48" s="360">
        <f t="shared" si="58"/>
        <v>0.50249708387983671</v>
      </c>
      <c r="V48" s="4">
        <f t="shared" si="42"/>
        <v>1.4700197694259183</v>
      </c>
      <c r="W48" s="360">
        <f t="shared" si="10"/>
        <v>4.32191624500606E-3</v>
      </c>
      <c r="X48" s="360">
        <f t="shared" si="43"/>
        <v>4.32191624500606E-3</v>
      </c>
      <c r="Y48" s="4">
        <f t="shared" si="44"/>
        <v>5.881997056614261</v>
      </c>
      <c r="Z48" s="360">
        <f t="shared" si="11"/>
        <v>5.1896834061028241E-2</v>
      </c>
      <c r="AA48" s="541">
        <f t="shared" si="45"/>
        <v>5.1896834061028241E-2</v>
      </c>
      <c r="AB48" s="360">
        <f t="shared" si="46"/>
        <v>8.6205122455411818</v>
      </c>
      <c r="AC48" s="360">
        <f t="shared" si="59"/>
        <v>0.13376381647594582</v>
      </c>
      <c r="AD48" s="360">
        <f t="shared" si="60"/>
        <v>0.30055887931034481</v>
      </c>
      <c r="AE48" s="360">
        <f t="shared" si="61"/>
        <v>0.39600000000000002</v>
      </c>
      <c r="AF48" s="360">
        <f t="shared" si="62"/>
        <v>0</v>
      </c>
      <c r="AG48" s="360">
        <f t="shared" si="63"/>
        <v>0.84755527447079526</v>
      </c>
      <c r="AH48" s="360">
        <f t="shared" si="64"/>
        <v>8.045975810737783</v>
      </c>
      <c r="AI48" s="360">
        <f t="shared" si="65"/>
        <v>0.11652790814455954</v>
      </c>
      <c r="AJ48" s="360">
        <f t="shared" si="66"/>
        <v>0</v>
      </c>
      <c r="AK48" s="360">
        <f t="shared" si="67"/>
        <v>0.11862909539494053</v>
      </c>
      <c r="AL48" s="360">
        <f t="shared" si="68"/>
        <v>5.1891839999999988E-2</v>
      </c>
      <c r="AM48" s="360">
        <f t="shared" si="69"/>
        <v>4.4549999999999999E-2</v>
      </c>
      <c r="AN48" s="360">
        <f t="shared" si="70"/>
        <v>0.30591210786950662</v>
      </c>
      <c r="AO48" s="360">
        <f t="shared" si="71"/>
        <v>1.5749999999999998E-3</v>
      </c>
      <c r="AP48" s="360">
        <f t="shared" si="72"/>
        <v>0.23760000000000001</v>
      </c>
      <c r="AQ48" s="360">
        <f t="shared" si="26"/>
        <v>0.22704000000000002</v>
      </c>
      <c r="AR48" s="360">
        <f t="shared" si="73"/>
        <v>0.2112</v>
      </c>
      <c r="AS48" s="360">
        <f t="shared" si="74"/>
        <v>0.239175</v>
      </c>
      <c r="AT48" s="360">
        <f t="shared" si="75"/>
        <v>2.1664291519211134</v>
      </c>
      <c r="AU48">
        <f t="shared" si="76"/>
        <v>280.79999999999995</v>
      </c>
      <c r="AV48" s="542">
        <f t="shared" si="47"/>
        <v>0.99234386510649286</v>
      </c>
      <c r="AW48" s="551">
        <f t="shared" si="77"/>
        <v>33.324414429890219</v>
      </c>
      <c r="AX48" s="551">
        <f t="shared" si="78"/>
        <v>5.06656262500774</v>
      </c>
      <c r="AY48" s="9"/>
      <c r="AZ48" s="4">
        <f t="shared" si="48"/>
        <v>99.234386510649287</v>
      </c>
      <c r="BA48" s="360">
        <f t="shared" si="79"/>
        <v>0.50249708387983671</v>
      </c>
      <c r="BB48" s="360">
        <f t="shared" si="80"/>
        <v>1.0107343698657358</v>
      </c>
      <c r="BC48" s="360">
        <f t="shared" si="81"/>
        <v>0.87695827447079522</v>
      </c>
      <c r="BD48" s="360">
        <f t="shared" si="82"/>
        <v>0.13333059539494052</v>
      </c>
      <c r="BE48" s="360">
        <f t="shared" si="83"/>
        <v>0.30591210786950662</v>
      </c>
    </row>
    <row r="49" spans="1:64" x14ac:dyDescent="0.25">
      <c r="A49" s="23" t="s">
        <v>68</v>
      </c>
      <c r="B49" s="5">
        <f>Rdson2*1000</f>
        <v>1.8</v>
      </c>
      <c r="C49" s="442" t="s">
        <v>466</v>
      </c>
      <c r="D49" s="440" t="s">
        <v>527</v>
      </c>
      <c r="G49">
        <v>40</v>
      </c>
      <c r="H49" s="548">
        <f t="shared" si="49"/>
        <v>45</v>
      </c>
      <c r="I49" s="4">
        <f t="shared" si="50"/>
        <v>2</v>
      </c>
      <c r="J49" s="360">
        <f t="shared" si="84"/>
        <v>24</v>
      </c>
      <c r="K49" s="360">
        <f t="shared" si="51"/>
        <v>12</v>
      </c>
      <c r="L49" s="4">
        <f t="shared" si="52"/>
        <v>7.1111111111111107</v>
      </c>
      <c r="M49" s="360">
        <f t="shared" si="53"/>
        <v>0.53445978359362512</v>
      </c>
      <c r="N49" s="4">
        <f t="shared" si="54"/>
        <v>5.0923328180800587</v>
      </c>
      <c r="O49" s="4">
        <f t="shared" si="39"/>
        <v>14.54616640904003</v>
      </c>
      <c r="P49" s="4">
        <f t="shared" si="40"/>
        <v>9.4538335909599702</v>
      </c>
      <c r="Q49" s="4">
        <f t="shared" si="55"/>
        <v>0</v>
      </c>
      <c r="R49" s="4">
        <f t="shared" si="41"/>
        <v>12.089705860531703</v>
      </c>
      <c r="S49" s="360">
        <f t="shared" si="56"/>
        <v>0.20462538291184446</v>
      </c>
      <c r="T49" s="360">
        <f t="shared" si="57"/>
        <v>0.3</v>
      </c>
      <c r="U49" s="360">
        <f t="shared" si="58"/>
        <v>0.5130235948753793</v>
      </c>
      <c r="V49" s="4">
        <f t="shared" si="42"/>
        <v>1.4700298616608438</v>
      </c>
      <c r="W49" s="360">
        <f t="shared" si="10"/>
        <v>4.3219755883491988E-3</v>
      </c>
      <c r="X49" s="360">
        <f t="shared" si="43"/>
        <v>4.3219755883491988E-3</v>
      </c>
      <c r="Y49" s="4">
        <f t="shared" si="44"/>
        <v>6.0304795981111488</v>
      </c>
      <c r="Z49" s="360">
        <f t="shared" si="11"/>
        <v>5.4550026274852205E-2</v>
      </c>
      <c r="AA49" s="541">
        <f t="shared" si="45"/>
        <v>5.4550026274852205E-2</v>
      </c>
      <c r="AB49" s="360">
        <f t="shared" si="46"/>
        <v>8.8383918167450037</v>
      </c>
      <c r="AC49" s="360">
        <f t="shared" si="59"/>
        <v>0.14061090583134908</v>
      </c>
      <c r="AD49" s="360">
        <f t="shared" si="60"/>
        <v>0.30826551724137929</v>
      </c>
      <c r="AE49" s="360">
        <f t="shared" si="61"/>
        <v>0.39600000000000002</v>
      </c>
      <c r="AF49" s="360">
        <f t="shared" si="62"/>
        <v>0</v>
      </c>
      <c r="AG49" s="360">
        <f t="shared" si="63"/>
        <v>0.86332821412995153</v>
      </c>
      <c r="AH49" s="360">
        <f t="shared" si="64"/>
        <v>8.2488676730730486</v>
      </c>
      <c r="AI49" s="360">
        <f t="shared" si="65"/>
        <v>0.12247887219816521</v>
      </c>
      <c r="AJ49" s="360">
        <f t="shared" si="66"/>
        <v>0</v>
      </c>
      <c r="AK49" s="360">
        <f t="shared" si="67"/>
        <v>0.12480229004550858</v>
      </c>
      <c r="AL49" s="360">
        <f t="shared" si="68"/>
        <v>5.3222399999999989E-2</v>
      </c>
      <c r="AM49" s="360">
        <f t="shared" si="69"/>
        <v>4.4549999999999999E-2</v>
      </c>
      <c r="AN49" s="360">
        <f t="shared" si="70"/>
        <v>0.32155417314718415</v>
      </c>
      <c r="AO49" s="360">
        <f t="shared" si="71"/>
        <v>1.5749999999999998E-3</v>
      </c>
      <c r="AP49" s="360">
        <f t="shared" si="72"/>
        <v>0.23760000000000001</v>
      </c>
      <c r="AQ49" s="360">
        <f t="shared" si="26"/>
        <v>0.22704000000000002</v>
      </c>
      <c r="AR49" s="360">
        <f t="shared" si="73"/>
        <v>0.2112</v>
      </c>
      <c r="AS49" s="360">
        <f t="shared" si="74"/>
        <v>0.239175</v>
      </c>
      <c r="AT49" s="360">
        <f t="shared" si="75"/>
        <v>2.218527674061225</v>
      </c>
      <c r="AU49">
        <f t="shared" si="76"/>
        <v>288</v>
      </c>
      <c r="AV49" s="542">
        <f t="shared" si="47"/>
        <v>0.99235566491277627</v>
      </c>
      <c r="AW49" s="551">
        <f t="shared" si="77"/>
        <v>33.923786136938155</v>
      </c>
      <c r="AX49" s="551">
        <f t="shared" si="78"/>
        <v>5.3011440217293266</v>
      </c>
      <c r="AY49" s="9"/>
      <c r="AZ49" s="4">
        <f t="shared" si="48"/>
        <v>99.235566491277623</v>
      </c>
      <c r="BA49" s="360">
        <f t="shared" si="79"/>
        <v>0.5130235948753793</v>
      </c>
      <c r="BB49" s="360">
        <f t="shared" si="80"/>
        <v>1.0326805041754601</v>
      </c>
      <c r="BC49" s="360">
        <f t="shared" si="81"/>
        <v>0.89273121412995149</v>
      </c>
      <c r="BD49" s="360">
        <f t="shared" si="82"/>
        <v>0.13950379004550859</v>
      </c>
      <c r="BE49" s="360">
        <f t="shared" si="83"/>
        <v>0.32155417314718415</v>
      </c>
    </row>
    <row r="50" spans="1:64" x14ac:dyDescent="0.25">
      <c r="A50" s="23" t="s">
        <v>80</v>
      </c>
      <c r="B50" s="5">
        <f>RdsonBotTc*1000000</f>
        <v>4000</v>
      </c>
      <c r="C50" s="440" t="s">
        <v>81</v>
      </c>
      <c r="D50" s="21" t="s">
        <v>104</v>
      </c>
      <c r="G50">
        <v>41</v>
      </c>
      <c r="H50" s="548">
        <f t="shared" si="49"/>
        <v>45</v>
      </c>
      <c r="I50" s="4">
        <f t="shared" si="50"/>
        <v>2</v>
      </c>
      <c r="J50" s="360">
        <f t="shared" si="84"/>
        <v>24.6</v>
      </c>
      <c r="K50" s="360">
        <f t="shared" si="51"/>
        <v>12.3</v>
      </c>
      <c r="L50" s="4">
        <f t="shared" si="52"/>
        <v>7.2888888888888896</v>
      </c>
      <c r="M50" s="360">
        <f t="shared" si="53"/>
        <v>0.53448792792600719</v>
      </c>
      <c r="N50" s="4">
        <f t="shared" si="54"/>
        <v>5.0923677461831733</v>
      </c>
      <c r="O50" s="4">
        <f t="shared" si="39"/>
        <v>14.846183873091586</v>
      </c>
      <c r="P50" s="4">
        <f t="shared" si="40"/>
        <v>9.7538161269084149</v>
      </c>
      <c r="Q50" s="4">
        <f t="shared" si="55"/>
        <v>0</v>
      </c>
      <c r="R50" s="4">
        <f t="shared" si="41"/>
        <v>12.387534760335916</v>
      </c>
      <c r="S50" s="360">
        <f t="shared" si="56"/>
        <v>0.21483142441394282</v>
      </c>
      <c r="T50" s="360">
        <f t="shared" si="57"/>
        <v>0.3</v>
      </c>
      <c r="U50" s="360">
        <f t="shared" si="58"/>
        <v>0.52383431009348513</v>
      </c>
      <c r="V50" s="4">
        <f t="shared" si="42"/>
        <v>1.4700399445357115</v>
      </c>
      <c r="W50" s="360">
        <f t="shared" si="10"/>
        <v>4.3220348770611153E-3</v>
      </c>
      <c r="X50" s="360">
        <f t="shared" si="43"/>
        <v>4.3220348770611153E-3</v>
      </c>
      <c r="Y50" s="4">
        <f t="shared" si="44"/>
        <v>6.1790158669754032</v>
      </c>
      <c r="Z50" s="360">
        <f t="shared" si="11"/>
        <v>5.7270355626500694E-2</v>
      </c>
      <c r="AA50" s="541">
        <f t="shared" si="45"/>
        <v>5.7270355626500694E-2</v>
      </c>
      <c r="AB50" s="360">
        <f t="shared" si="46"/>
        <v>9.0563633070266025</v>
      </c>
      <c r="AC50" s="360">
        <f t="shared" si="59"/>
        <v>0.14763188942794406</v>
      </c>
      <c r="AD50" s="360">
        <f t="shared" si="60"/>
        <v>0.31597215517241378</v>
      </c>
      <c r="AE50" s="360">
        <f t="shared" si="61"/>
        <v>0.39600000000000002</v>
      </c>
      <c r="AF50" s="360">
        <f t="shared" si="62"/>
        <v>0</v>
      </c>
      <c r="AG50" s="360">
        <f t="shared" si="63"/>
        <v>0.87933639479819359</v>
      </c>
      <c r="AH50" s="360">
        <f t="shared" si="64"/>
        <v>8.4518223531776133</v>
      </c>
      <c r="AI50" s="360">
        <f t="shared" si="65"/>
        <v>0.12857994196141098</v>
      </c>
      <c r="AJ50" s="360">
        <f t="shared" si="66"/>
        <v>0</v>
      </c>
      <c r="AK50" s="360">
        <f t="shared" si="67"/>
        <v>0.13114302098958877</v>
      </c>
      <c r="AL50" s="360">
        <f t="shared" si="68"/>
        <v>5.4552959999999998E-2</v>
      </c>
      <c r="AM50" s="360">
        <f t="shared" si="69"/>
        <v>4.4549999999999999E-2</v>
      </c>
      <c r="AN50" s="360">
        <f t="shared" si="70"/>
        <v>0.33759223836476732</v>
      </c>
      <c r="AO50" s="360">
        <f t="shared" si="71"/>
        <v>1.5749999999999998E-3</v>
      </c>
      <c r="AP50" s="360">
        <f t="shared" si="72"/>
        <v>0.23760000000000001</v>
      </c>
      <c r="AQ50" s="360">
        <f t="shared" si="26"/>
        <v>0.22704000000000002</v>
      </c>
      <c r="AR50" s="360">
        <f t="shared" si="73"/>
        <v>0.2112</v>
      </c>
      <c r="AS50" s="360">
        <f t="shared" si="74"/>
        <v>0.239175</v>
      </c>
      <c r="AT50" s="360">
        <f t="shared" si="75"/>
        <v>2.2717763147495966</v>
      </c>
      <c r="AU50">
        <f t="shared" si="76"/>
        <v>295.20000000000005</v>
      </c>
      <c r="AV50" s="542">
        <f t="shared" si="47"/>
        <v>0.99236305257966428</v>
      </c>
      <c r="AW50" s="551">
        <f t="shared" si="77"/>
        <v>34.532097002331355</v>
      </c>
      <c r="AX50" s="551">
        <f t="shared" si="78"/>
        <v>5.5420917976043738</v>
      </c>
      <c r="AY50" s="9"/>
      <c r="AZ50" s="4">
        <f t="shared" si="48"/>
        <v>99.236305257966421</v>
      </c>
      <c r="BA50" s="360">
        <f t="shared" si="79"/>
        <v>0.52383431009348513</v>
      </c>
      <c r="BB50" s="360">
        <f t="shared" si="80"/>
        <v>1.0550294157877824</v>
      </c>
      <c r="BC50" s="360">
        <f t="shared" si="81"/>
        <v>0.90873939479819354</v>
      </c>
      <c r="BD50" s="360">
        <f t="shared" si="82"/>
        <v>0.14584452098958878</v>
      </c>
      <c r="BE50" s="360">
        <f t="shared" si="83"/>
        <v>0.33759223836476732</v>
      </c>
    </row>
    <row r="51" spans="1:64" x14ac:dyDescent="0.25">
      <c r="A51" s="23" t="s">
        <v>67</v>
      </c>
      <c r="B51" s="5">
        <f>Qg_Q2*1000000000</f>
        <v>12</v>
      </c>
      <c r="C51" s="440" t="s">
        <v>65</v>
      </c>
      <c r="D51" s="21" t="s">
        <v>99</v>
      </c>
      <c r="G51">
        <v>42</v>
      </c>
      <c r="H51" s="548">
        <f t="shared" si="49"/>
        <v>45</v>
      </c>
      <c r="I51" s="4">
        <f t="shared" si="50"/>
        <v>2</v>
      </c>
      <c r="J51" s="360">
        <f t="shared" si="84"/>
        <v>25.2</v>
      </c>
      <c r="K51" s="360">
        <f t="shared" si="51"/>
        <v>12.6</v>
      </c>
      <c r="L51" s="4">
        <f t="shared" si="52"/>
        <v>7.4666666666666659</v>
      </c>
      <c r="M51" s="360">
        <f t="shared" si="53"/>
        <v>0.53451607143333035</v>
      </c>
      <c r="N51" s="4">
        <f t="shared" si="54"/>
        <v>5.0924026418635204</v>
      </c>
      <c r="O51" s="4">
        <f t="shared" si="39"/>
        <v>15.146201320931759</v>
      </c>
      <c r="P51" s="4">
        <f t="shared" si="40"/>
        <v>10.05379867906824</v>
      </c>
      <c r="Q51" s="4">
        <f t="shared" si="55"/>
        <v>0</v>
      </c>
      <c r="R51" s="4">
        <f t="shared" si="41"/>
        <v>12.68546597707674</v>
      </c>
      <c r="S51" s="360">
        <f t="shared" si="56"/>
        <v>0.22528946587780013</v>
      </c>
      <c r="T51" s="360">
        <f t="shared" si="57"/>
        <v>0.3</v>
      </c>
      <c r="U51" s="360">
        <f t="shared" si="58"/>
        <v>0.53493060428753025</v>
      </c>
      <c r="V51" s="4">
        <f t="shared" si="42"/>
        <v>1.4700500180509326</v>
      </c>
      <c r="W51" s="360">
        <f t="shared" si="10"/>
        <v>4.322094111143095E-3</v>
      </c>
      <c r="X51" s="360">
        <f t="shared" si="43"/>
        <v>4.322094111143095E-3</v>
      </c>
      <c r="Y51" s="4">
        <f t="shared" si="44"/>
        <v>6.3276019941262795</v>
      </c>
      <c r="Z51" s="360">
        <f t="shared" si="11"/>
        <v>6.0057820494106309E-2</v>
      </c>
      <c r="AA51" s="541">
        <f t="shared" si="45"/>
        <v>6.0057820494106309E-2</v>
      </c>
      <c r="AB51" s="360">
        <f t="shared" si="46"/>
        <v>9.2744210537953364</v>
      </c>
      <c r="AC51" s="360">
        <f t="shared" si="59"/>
        <v>0.15482679458954796</v>
      </c>
      <c r="AD51" s="360">
        <f t="shared" si="60"/>
        <v>0.32367879310344827</v>
      </c>
      <c r="AE51" s="360">
        <f t="shared" si="61"/>
        <v>0.39600000000000002</v>
      </c>
      <c r="AF51" s="360">
        <f t="shared" si="62"/>
        <v>0</v>
      </c>
      <c r="AG51" s="360">
        <f t="shared" si="63"/>
        <v>0.89558191953282684</v>
      </c>
      <c r="AH51" s="360">
        <f t="shared" si="64"/>
        <v>8.6548345548883461</v>
      </c>
      <c r="AI51" s="360">
        <f t="shared" si="65"/>
        <v>0.13483109011048086</v>
      </c>
      <c r="AJ51" s="360">
        <f t="shared" si="66"/>
        <v>0</v>
      </c>
      <c r="AK51" s="360">
        <f t="shared" si="67"/>
        <v>0.13765217869349858</v>
      </c>
      <c r="AL51" s="360">
        <f t="shared" si="68"/>
        <v>5.5883519999999992E-2</v>
      </c>
      <c r="AM51" s="360">
        <f t="shared" si="69"/>
        <v>4.4549999999999999E-2</v>
      </c>
      <c r="AN51" s="360">
        <f t="shared" si="70"/>
        <v>0.35402630352225739</v>
      </c>
      <c r="AO51" s="360">
        <f t="shared" si="71"/>
        <v>1.5749999999999998E-3</v>
      </c>
      <c r="AP51" s="360">
        <f t="shared" si="72"/>
        <v>0.23760000000000001</v>
      </c>
      <c r="AQ51" s="360">
        <f t="shared" si="26"/>
        <v>0.22704000000000002</v>
      </c>
      <c r="AR51" s="360">
        <f t="shared" si="73"/>
        <v>0.2112</v>
      </c>
      <c r="AS51" s="360">
        <f t="shared" si="74"/>
        <v>0.239175</v>
      </c>
      <c r="AT51" s="360">
        <f t="shared" si="75"/>
        <v>2.3261794406413627</v>
      </c>
      <c r="AU51">
        <f t="shared" si="76"/>
        <v>302.39999999999998</v>
      </c>
      <c r="AV51" s="542">
        <f t="shared" si="47"/>
        <v>0.99236632886314102</v>
      </c>
      <c r="AW51" s="551">
        <f t="shared" si="77"/>
        <v>35.149426942247416</v>
      </c>
      <c r="AX51" s="551">
        <f t="shared" si="78"/>
        <v>5.7894397903529464</v>
      </c>
      <c r="AY51" s="9"/>
      <c r="AZ51" s="4">
        <f t="shared" si="48"/>
        <v>99.236632886314098</v>
      </c>
      <c r="BA51" s="360">
        <f t="shared" si="79"/>
        <v>0.53493060428753025</v>
      </c>
      <c r="BB51" s="360">
        <f t="shared" si="80"/>
        <v>1.0777840982263256</v>
      </c>
      <c r="BC51" s="360">
        <f t="shared" si="81"/>
        <v>0.9249849195328268</v>
      </c>
      <c r="BD51" s="360">
        <f t="shared" si="82"/>
        <v>0.15235367869349858</v>
      </c>
      <c r="BE51" s="360">
        <f t="shared" si="83"/>
        <v>0.35402630352225739</v>
      </c>
    </row>
    <row r="52" spans="1:64" x14ac:dyDescent="0.25">
      <c r="A52" s="23" t="s">
        <v>91</v>
      </c>
      <c r="B52" s="5">
        <f>Rgate2</f>
        <v>0.5</v>
      </c>
      <c r="C52" s="444" t="s">
        <v>116</v>
      </c>
      <c r="D52" s="21" t="s">
        <v>100</v>
      </c>
      <c r="G52">
        <v>43</v>
      </c>
      <c r="H52" s="548">
        <f t="shared" si="49"/>
        <v>45</v>
      </c>
      <c r="I52" s="4">
        <f t="shared" si="50"/>
        <v>2</v>
      </c>
      <c r="J52" s="360">
        <f t="shared" si="84"/>
        <v>25.8</v>
      </c>
      <c r="K52" s="360">
        <f t="shared" si="51"/>
        <v>12.9</v>
      </c>
      <c r="L52" s="4">
        <f t="shared" si="52"/>
        <v>7.6444444444444448</v>
      </c>
      <c r="M52" s="360">
        <f t="shared" si="53"/>
        <v>0.53454421411563102</v>
      </c>
      <c r="N52" s="4">
        <f t="shared" si="54"/>
        <v>5.0924375051225264</v>
      </c>
      <c r="O52" s="4">
        <f t="shared" si="39"/>
        <v>15.446218752561263</v>
      </c>
      <c r="P52" s="4">
        <f t="shared" si="40"/>
        <v>10.353781247438738</v>
      </c>
      <c r="Q52" s="4">
        <f t="shared" si="55"/>
        <v>0</v>
      </c>
      <c r="R52" s="4">
        <f t="shared" si="41"/>
        <v>12.983492467179168</v>
      </c>
      <c r="S52" s="360">
        <f t="shared" si="56"/>
        <v>0.23599950730341748</v>
      </c>
      <c r="T52" s="360">
        <f t="shared" si="57"/>
        <v>0.3</v>
      </c>
      <c r="U52" s="360">
        <f t="shared" si="58"/>
        <v>0.54631389205200032</v>
      </c>
      <c r="V52" s="4">
        <f t="shared" si="42"/>
        <v>1.4700600822069185</v>
      </c>
      <c r="W52" s="360">
        <f t="shared" si="10"/>
        <v>4.3221532905964241E-3</v>
      </c>
      <c r="X52" s="360">
        <f t="shared" si="43"/>
        <v>4.3221532905964241E-3</v>
      </c>
      <c r="Y52" s="4">
        <f t="shared" si="44"/>
        <v>6.4762344642203731</v>
      </c>
      <c r="Z52" s="360">
        <f t="shared" si="11"/>
        <v>6.2912419253333615E-2</v>
      </c>
      <c r="AA52" s="541">
        <f t="shared" si="45"/>
        <v>6.2912419253333615E-2</v>
      </c>
      <c r="AB52" s="360">
        <f t="shared" si="46"/>
        <v>9.4925599122674349</v>
      </c>
      <c r="AC52" s="360">
        <f t="shared" si="59"/>
        <v>0.1621956486383761</v>
      </c>
      <c r="AD52" s="360">
        <f t="shared" si="60"/>
        <v>0.33138543103448276</v>
      </c>
      <c r="AE52" s="360">
        <f t="shared" si="61"/>
        <v>0.39600000000000002</v>
      </c>
      <c r="AF52" s="360">
        <f t="shared" si="62"/>
        <v>0</v>
      </c>
      <c r="AG52" s="360">
        <f t="shared" si="63"/>
        <v>0.91206693958062746</v>
      </c>
      <c r="AH52" s="360">
        <f t="shared" si="64"/>
        <v>8.8578994664260833</v>
      </c>
      <c r="AI52" s="360">
        <f t="shared" si="65"/>
        <v>0.14123228932316068</v>
      </c>
      <c r="AJ52" s="360">
        <f t="shared" si="66"/>
        <v>0</v>
      </c>
      <c r="AK52" s="360">
        <f t="shared" si="67"/>
        <v>0.14433068049182607</v>
      </c>
      <c r="AL52" s="360">
        <f t="shared" si="68"/>
        <v>5.7214079999999994E-2</v>
      </c>
      <c r="AM52" s="360">
        <f t="shared" si="69"/>
        <v>4.4549999999999999E-2</v>
      </c>
      <c r="AN52" s="360">
        <f t="shared" si="70"/>
        <v>0.3708563686196561</v>
      </c>
      <c r="AO52" s="360">
        <f t="shared" si="71"/>
        <v>1.5749999999999998E-3</v>
      </c>
      <c r="AP52" s="360">
        <f t="shared" si="72"/>
        <v>0.23760000000000001</v>
      </c>
      <c r="AQ52" s="360">
        <f t="shared" si="26"/>
        <v>0.22704000000000002</v>
      </c>
      <c r="AR52" s="360">
        <f t="shared" si="73"/>
        <v>0.2112</v>
      </c>
      <c r="AS52" s="360">
        <f t="shared" si="74"/>
        <v>0.239175</v>
      </c>
      <c r="AT52" s="360">
        <f t="shared" si="75"/>
        <v>2.3817415332880398</v>
      </c>
      <c r="AU52">
        <f t="shared" si="76"/>
        <v>309.60000000000002</v>
      </c>
      <c r="AV52" s="542">
        <f t="shared" si="47"/>
        <v>0.9923657662734281</v>
      </c>
      <c r="AW52" s="551">
        <f t="shared" si="77"/>
        <v>35.775857704063839</v>
      </c>
      <c r="AX52" s="551">
        <f t="shared" si="78"/>
        <v>6.0432228586893908</v>
      </c>
      <c r="AY52" s="9"/>
      <c r="AZ52" s="4">
        <f t="shared" si="48"/>
        <v>99.236576627342814</v>
      </c>
      <c r="BA52" s="360">
        <f t="shared" si="79"/>
        <v>0.54631389205200032</v>
      </c>
      <c r="BB52" s="360">
        <f t="shared" si="80"/>
        <v>1.1009476200724535</v>
      </c>
      <c r="BC52" s="360">
        <f t="shared" si="81"/>
        <v>0.94146993958062741</v>
      </c>
      <c r="BD52" s="360">
        <f t="shared" si="82"/>
        <v>0.15903218049182608</v>
      </c>
      <c r="BE52" s="360">
        <f t="shared" si="83"/>
        <v>0.3708563686196561</v>
      </c>
    </row>
    <row r="53" spans="1:64" x14ac:dyDescent="0.25">
      <c r="A53" s="23" t="s">
        <v>72</v>
      </c>
      <c r="B53" s="5">
        <f>Vsd_Q2</f>
        <v>0</v>
      </c>
      <c r="C53" s="440" t="s">
        <v>0</v>
      </c>
      <c r="D53" s="21" t="s">
        <v>105</v>
      </c>
      <c r="G53">
        <v>44</v>
      </c>
      <c r="H53" s="548">
        <f t="shared" si="49"/>
        <v>45</v>
      </c>
      <c r="I53" s="4">
        <f t="shared" si="50"/>
        <v>2</v>
      </c>
      <c r="J53" s="360">
        <f t="shared" si="84"/>
        <v>26.4</v>
      </c>
      <c r="K53" s="360">
        <f t="shared" si="51"/>
        <v>13.2</v>
      </c>
      <c r="L53" s="4">
        <f t="shared" si="52"/>
        <v>7.8222222222222211</v>
      </c>
      <c r="M53" s="360">
        <f t="shared" si="53"/>
        <v>0.5345723559729455</v>
      </c>
      <c r="N53" s="4">
        <f t="shared" si="54"/>
        <v>5.0924723359616166</v>
      </c>
      <c r="O53" s="4">
        <f t="shared" si="39"/>
        <v>15.746236167980808</v>
      </c>
      <c r="P53" s="4">
        <f t="shared" si="40"/>
        <v>10.653763832019191</v>
      </c>
      <c r="Q53" s="4">
        <f t="shared" si="55"/>
        <v>0</v>
      </c>
      <c r="R53" s="4">
        <f t="shared" si="41"/>
        <v>13.281607817117292</v>
      </c>
      <c r="S53" s="360">
        <f t="shared" si="56"/>
        <v>0.24696154869079562</v>
      </c>
      <c r="T53" s="360">
        <f t="shared" si="57"/>
        <v>0.3</v>
      </c>
      <c r="U53" s="360">
        <f t="shared" si="58"/>
        <v>0.55798562828344245</v>
      </c>
      <c r="V53" s="4">
        <f t="shared" si="42"/>
        <v>1.470070137004081</v>
      </c>
      <c r="W53" s="360">
        <f t="shared" si="10"/>
        <v>4.322212415422395E-3</v>
      </c>
      <c r="X53" s="360">
        <f t="shared" si="43"/>
        <v>4.322212415422395E-3</v>
      </c>
      <c r="Y53" s="4">
        <f t="shared" si="44"/>
        <v>6.6249100762389919</v>
      </c>
      <c r="Z53" s="360">
        <f t="shared" si="11"/>
        <v>6.5834150277379377E-2</v>
      </c>
      <c r="AA53" s="541">
        <f t="shared" si="45"/>
        <v>6.5834150277379377E-2</v>
      </c>
      <c r="AB53" s="360">
        <f t="shared" si="46"/>
        <v>9.7107751977733443</v>
      </c>
      <c r="AC53" s="360">
        <f t="shared" si="59"/>
        <v>0.16973847889504187</v>
      </c>
      <c r="AD53" s="360">
        <f t="shared" si="60"/>
        <v>0.33909206896551719</v>
      </c>
      <c r="AE53" s="360">
        <f t="shared" si="61"/>
        <v>0.39600000000000002</v>
      </c>
      <c r="AF53" s="360">
        <f t="shared" si="62"/>
        <v>0</v>
      </c>
      <c r="AG53" s="360">
        <f t="shared" si="63"/>
        <v>0.92879365524228408</v>
      </c>
      <c r="AH53" s="360">
        <f t="shared" si="64"/>
        <v>9.0610127064264301</v>
      </c>
      <c r="AI53" s="360">
        <f t="shared" si="65"/>
        <v>0.14778351227883818</v>
      </c>
      <c r="AJ53" s="360">
        <f t="shared" si="66"/>
        <v>0</v>
      </c>
      <c r="AK53" s="360">
        <f t="shared" si="67"/>
        <v>0.15117947092489428</v>
      </c>
      <c r="AL53" s="360">
        <f t="shared" si="68"/>
        <v>5.8544639999999988E-2</v>
      </c>
      <c r="AM53" s="360">
        <f t="shared" si="69"/>
        <v>4.4549999999999999E-2</v>
      </c>
      <c r="AN53" s="360">
        <f t="shared" si="70"/>
        <v>0.3880824336569646</v>
      </c>
      <c r="AO53" s="360">
        <f t="shared" si="71"/>
        <v>1.5749999999999998E-3</v>
      </c>
      <c r="AP53" s="360">
        <f t="shared" si="72"/>
        <v>0.23760000000000001</v>
      </c>
      <c r="AQ53" s="360">
        <f t="shared" si="26"/>
        <v>0.22704000000000002</v>
      </c>
      <c r="AR53" s="360">
        <f t="shared" si="73"/>
        <v>0.2112</v>
      </c>
      <c r="AS53" s="360">
        <f t="shared" si="74"/>
        <v>0.239175</v>
      </c>
      <c r="AT53" s="360">
        <f t="shared" si="75"/>
        <v>2.4384671908003872</v>
      </c>
      <c r="AU53">
        <f t="shared" si="76"/>
        <v>316.79999999999995</v>
      </c>
      <c r="AV53" s="542">
        <f t="shared" si="47"/>
        <v>0.99236161226979269</v>
      </c>
      <c r="AW53" s="551">
        <f t="shared" si="77"/>
        <v>36.411472899206792</v>
      </c>
      <c r="AX53" s="551">
        <f t="shared" si="78"/>
        <v>6.303476895145983</v>
      </c>
      <c r="AY53" s="9"/>
      <c r="AZ53" s="4">
        <f t="shared" si="48"/>
        <v>99.236161226979263</v>
      </c>
      <c r="BA53" s="360">
        <f t="shared" si="79"/>
        <v>0.55798562828344245</v>
      </c>
      <c r="BB53" s="360">
        <f t="shared" si="80"/>
        <v>1.1245231261671784</v>
      </c>
      <c r="BC53" s="360">
        <f t="shared" si="81"/>
        <v>0.95819665524228403</v>
      </c>
      <c r="BD53" s="360">
        <f t="shared" si="82"/>
        <v>0.16588097092489429</v>
      </c>
      <c r="BE53" s="360">
        <f t="shared" si="83"/>
        <v>0.3880824336569646</v>
      </c>
    </row>
    <row r="54" spans="1:64" x14ac:dyDescent="0.25">
      <c r="A54" s="23" t="s">
        <v>73</v>
      </c>
      <c r="B54" s="5">
        <f>Qrr_Q2*1000000000</f>
        <v>0</v>
      </c>
      <c r="C54" s="440" t="s">
        <v>65</v>
      </c>
      <c r="D54" s="21" t="s">
        <v>110</v>
      </c>
      <c r="G54">
        <v>45</v>
      </c>
      <c r="H54" s="548">
        <f t="shared" si="49"/>
        <v>45</v>
      </c>
      <c r="I54" s="4">
        <f t="shared" si="50"/>
        <v>2</v>
      </c>
      <c r="J54" s="360">
        <f t="shared" si="84"/>
        <v>27</v>
      </c>
      <c r="K54" s="360">
        <f t="shared" si="51"/>
        <v>13.5</v>
      </c>
      <c r="L54" s="4">
        <f t="shared" si="52"/>
        <v>8</v>
      </c>
      <c r="M54" s="360">
        <f t="shared" si="53"/>
        <v>0.53460049700530987</v>
      </c>
      <c r="N54" s="4">
        <f t="shared" si="54"/>
        <v>5.0925071343822168</v>
      </c>
      <c r="O54" s="4">
        <f t="shared" si="39"/>
        <v>16.046253567191108</v>
      </c>
      <c r="P54" s="4">
        <f t="shared" si="40"/>
        <v>10.953746432808892</v>
      </c>
      <c r="Q54" s="4">
        <f t="shared" si="55"/>
        <v>0</v>
      </c>
      <c r="R54" s="4">
        <f t="shared" si="41"/>
        <v>13.579806174714394</v>
      </c>
      <c r="S54" s="360">
        <f t="shared" si="56"/>
        <v>0.25817559003993568</v>
      </c>
      <c r="T54" s="360">
        <f t="shared" si="57"/>
        <v>0.3</v>
      </c>
      <c r="U54" s="360">
        <f t="shared" si="58"/>
        <v>0.56994730865625587</v>
      </c>
      <c r="V54" s="4">
        <f t="shared" si="42"/>
        <v>1.4700801824428313</v>
      </c>
      <c r="W54" s="360">
        <f t="shared" si="10"/>
        <v>4.3222714856222966E-3</v>
      </c>
      <c r="X54" s="360">
        <f t="shared" si="43"/>
        <v>4.3222714856222966E-3</v>
      </c>
      <c r="Y54" s="4">
        <f t="shared" si="44"/>
        <v>6.7736259092145081</v>
      </c>
      <c r="Z54" s="360">
        <f t="shared" si="11"/>
        <v>6.88230119369731E-2</v>
      </c>
      <c r="AA54" s="541">
        <f t="shared" si="45"/>
        <v>6.88230119369731E-2</v>
      </c>
      <c r="AB54" s="360">
        <f t="shared" si="46"/>
        <v>9.9290626355875364</v>
      </c>
      <c r="AC54" s="360">
        <f t="shared" si="59"/>
        <v>0.17745531267855694</v>
      </c>
      <c r="AD54" s="360">
        <f t="shared" si="60"/>
        <v>0.34679870689655168</v>
      </c>
      <c r="AE54" s="360">
        <f t="shared" si="61"/>
        <v>0.39600000000000002</v>
      </c>
      <c r="AF54" s="360">
        <f t="shared" si="62"/>
        <v>0</v>
      </c>
      <c r="AG54" s="360">
        <f t="shared" si="63"/>
        <v>0.94576431676291928</v>
      </c>
      <c r="AH54" s="360">
        <f t="shared" si="64"/>
        <v>9.2641702770075778</v>
      </c>
      <c r="AI54" s="360">
        <f t="shared" si="65"/>
        <v>0.15448473165850318</v>
      </c>
      <c r="AJ54" s="360">
        <f t="shared" si="66"/>
        <v>0</v>
      </c>
      <c r="AK54" s="360">
        <f t="shared" si="67"/>
        <v>0.15819952208767224</v>
      </c>
      <c r="AL54" s="360">
        <f t="shared" si="68"/>
        <v>5.987519999999999E-2</v>
      </c>
      <c r="AM54" s="360">
        <f t="shared" si="69"/>
        <v>4.4549999999999999E-2</v>
      </c>
      <c r="AN54" s="360">
        <f t="shared" si="70"/>
        <v>0.40570449863418462</v>
      </c>
      <c r="AO54" s="360">
        <f t="shared" si="71"/>
        <v>1.5749999999999998E-3</v>
      </c>
      <c r="AP54" s="360">
        <f t="shared" si="72"/>
        <v>0.23760000000000001</v>
      </c>
      <c r="AQ54" s="360">
        <f t="shared" si="26"/>
        <v>0.22704000000000002</v>
      </c>
      <c r="AR54" s="360">
        <f t="shared" si="73"/>
        <v>0.2112</v>
      </c>
      <c r="AS54" s="360">
        <f t="shared" si="74"/>
        <v>0.239175</v>
      </c>
      <c r="AT54" s="360">
        <f t="shared" si="75"/>
        <v>2.4963611295636277</v>
      </c>
      <c r="AU54">
        <f t="shared" si="76"/>
        <v>324</v>
      </c>
      <c r="AV54" s="542">
        <f t="shared" si="47"/>
        <v>0.99235409203052949</v>
      </c>
      <c r="AW54" s="551">
        <f t="shared" si="77"/>
        <v>37.056358036990929</v>
      </c>
      <c r="AX54" s="551">
        <f t="shared" si="78"/>
        <v>6.5702388393315454</v>
      </c>
      <c r="AY54" s="9"/>
      <c r="AZ54" s="4">
        <f t="shared" si="48"/>
        <v>99.235409203052953</v>
      </c>
      <c r="BA54" s="360">
        <f t="shared" si="79"/>
        <v>0.56994730865625587</v>
      </c>
      <c r="BB54" s="360">
        <f t="shared" si="80"/>
        <v>1.1485138388505916</v>
      </c>
      <c r="BC54" s="360">
        <f t="shared" si="81"/>
        <v>0.97516731676291923</v>
      </c>
      <c r="BD54" s="360">
        <f t="shared" si="82"/>
        <v>0.17290102208767225</v>
      </c>
      <c r="BE54" s="360">
        <f t="shared" si="83"/>
        <v>0.40570449863418462</v>
      </c>
    </row>
    <row r="55" spans="1:64" x14ac:dyDescent="0.25">
      <c r="A55" s="23" t="s">
        <v>74</v>
      </c>
      <c r="B55" s="5">
        <f>Trr_Q2*1000000000</f>
        <v>40</v>
      </c>
      <c r="C55" s="440" t="s">
        <v>75</v>
      </c>
      <c r="D55" s="76" t="s">
        <v>106</v>
      </c>
      <c r="G55">
        <v>46</v>
      </c>
      <c r="H55" s="548">
        <f t="shared" si="49"/>
        <v>45</v>
      </c>
      <c r="I55" s="4">
        <f t="shared" si="50"/>
        <v>2</v>
      </c>
      <c r="J55" s="360">
        <f t="shared" si="84"/>
        <v>27.6</v>
      </c>
      <c r="K55" s="360">
        <f t="shared" si="51"/>
        <v>13.8</v>
      </c>
      <c r="L55" s="4">
        <f t="shared" si="52"/>
        <v>8.1777777777777789</v>
      </c>
      <c r="M55" s="360">
        <f t="shared" si="53"/>
        <v>0.53462863721276044</v>
      </c>
      <c r="N55" s="4">
        <f t="shared" si="54"/>
        <v>5.0925419003857524</v>
      </c>
      <c r="O55" s="4">
        <f t="shared" si="39"/>
        <v>16.346270950192878</v>
      </c>
      <c r="P55" s="4">
        <f t="shared" si="40"/>
        <v>11.253729049807124</v>
      </c>
      <c r="Q55" s="4">
        <f t="shared" si="55"/>
        <v>0</v>
      </c>
      <c r="R55" s="4">
        <f t="shared" si="41"/>
        <v>13.878082189214716</v>
      </c>
      <c r="S55" s="360">
        <f t="shared" si="56"/>
        <v>0.26964163135083818</v>
      </c>
      <c r="T55" s="360">
        <f t="shared" si="57"/>
        <v>0.3</v>
      </c>
      <c r="U55" s="360">
        <f t="shared" si="58"/>
        <v>0.58220047011361087</v>
      </c>
      <c r="V55" s="4">
        <f t="shared" si="42"/>
        <v>1.4700902185235813</v>
      </c>
      <c r="W55" s="360">
        <f t="shared" si="10"/>
        <v>4.3223305011974222E-3</v>
      </c>
      <c r="X55" s="360">
        <f t="shared" si="43"/>
        <v>4.3223305011974222E-3</v>
      </c>
      <c r="Y55" s="4">
        <f t="shared" si="44"/>
        <v>6.9223792923328125</v>
      </c>
      <c r="Z55" s="360">
        <f t="shared" si="11"/>
        <v>7.187900260037719E-2</v>
      </c>
      <c r="AA55" s="541">
        <f t="shared" si="45"/>
        <v>7.187900260037719E-2</v>
      </c>
      <c r="AB55" s="360">
        <f t="shared" si="46"/>
        <v>10.147418317164089</v>
      </c>
      <c r="AC55" s="360">
        <f t="shared" si="59"/>
        <v>0.18534617730633107</v>
      </c>
      <c r="AD55" s="360">
        <f t="shared" si="60"/>
        <v>0.35450534482758617</v>
      </c>
      <c r="AE55" s="360">
        <f t="shared" si="61"/>
        <v>0.39600000000000002</v>
      </c>
      <c r="AF55" s="360">
        <f t="shared" si="62"/>
        <v>0</v>
      </c>
      <c r="AG55" s="360">
        <f t="shared" si="63"/>
        <v>0.96298122524941476</v>
      </c>
      <c r="AH55" s="360">
        <f t="shared" si="64"/>
        <v>9.4673685228304834</v>
      </c>
      <c r="AI55" s="360">
        <f t="shared" si="65"/>
        <v>0.1613359201447466</v>
      </c>
      <c r="AJ55" s="360">
        <f t="shared" si="66"/>
        <v>0</v>
      </c>
      <c r="AK55" s="360">
        <f t="shared" si="67"/>
        <v>0.16539183399037885</v>
      </c>
      <c r="AL55" s="360">
        <f t="shared" si="68"/>
        <v>6.1205759999999998E-2</v>
      </c>
      <c r="AM55" s="360">
        <f t="shared" si="69"/>
        <v>4.4549999999999999E-2</v>
      </c>
      <c r="AN55" s="360">
        <f t="shared" si="70"/>
        <v>0.42372256355131721</v>
      </c>
      <c r="AO55" s="360">
        <f t="shared" si="71"/>
        <v>1.5749999999999998E-3</v>
      </c>
      <c r="AP55" s="360">
        <f t="shared" si="72"/>
        <v>0.23760000000000001</v>
      </c>
      <c r="AQ55" s="360">
        <f t="shared" si="26"/>
        <v>0.22704000000000002</v>
      </c>
      <c r="AR55" s="360">
        <f t="shared" si="73"/>
        <v>0.2112</v>
      </c>
      <c r="AS55" s="360">
        <f t="shared" si="74"/>
        <v>0.239175</v>
      </c>
      <c r="AT55" s="360">
        <f t="shared" si="75"/>
        <v>2.5554281860062966</v>
      </c>
      <c r="AU55">
        <f t="shared" si="76"/>
        <v>331.20000000000005</v>
      </c>
      <c r="AV55" s="542">
        <f t="shared" si="47"/>
        <v>0.99234341086257294</v>
      </c>
      <c r="AW55" s="551">
        <f t="shared" si="77"/>
        <v>37.710600559477761</v>
      </c>
      <c r="AX55" s="551">
        <f t="shared" si="78"/>
        <v>6.8435466916343968</v>
      </c>
      <c r="AY55" s="9"/>
      <c r="AZ55" s="4">
        <f t="shared" si="48"/>
        <v>99.234341086257288</v>
      </c>
      <c r="BA55" s="360">
        <f t="shared" si="79"/>
        <v>0.58220047011361087</v>
      </c>
      <c r="BB55" s="360">
        <f t="shared" si="80"/>
        <v>1.1729230592397937</v>
      </c>
      <c r="BC55" s="360">
        <f t="shared" si="81"/>
        <v>0.99238422524941472</v>
      </c>
      <c r="BD55" s="360">
        <f t="shared" si="82"/>
        <v>0.18009333399037886</v>
      </c>
      <c r="BE55" s="360">
        <f t="shared" si="83"/>
        <v>0.42372256355131721</v>
      </c>
    </row>
    <row r="56" spans="1:64" ht="15.5" x14ac:dyDescent="0.4">
      <c r="A56" s="446" t="s">
        <v>471</v>
      </c>
      <c r="B56" s="5">
        <f>ThetaJA_Q2</f>
        <v>38</v>
      </c>
      <c r="C56" s="441" t="s">
        <v>205</v>
      </c>
      <c r="D56" s="76" t="s">
        <v>103</v>
      </c>
      <c r="E56" s="2"/>
      <c r="G56">
        <v>47</v>
      </c>
      <c r="H56" s="548">
        <f t="shared" si="49"/>
        <v>45</v>
      </c>
      <c r="I56" s="4">
        <f t="shared" si="50"/>
        <v>2</v>
      </c>
      <c r="J56" s="360">
        <f t="shared" si="84"/>
        <v>28.2</v>
      </c>
      <c r="K56" s="360">
        <f t="shared" si="51"/>
        <v>14.1</v>
      </c>
      <c r="L56" s="4">
        <f t="shared" si="52"/>
        <v>8.3555555555555543</v>
      </c>
      <c r="M56" s="360">
        <f t="shared" si="53"/>
        <v>0.53465677659533362</v>
      </c>
      <c r="N56" s="4">
        <f t="shared" si="54"/>
        <v>5.092576633973648</v>
      </c>
      <c r="O56" s="4">
        <f t="shared" si="39"/>
        <v>16.646288316986823</v>
      </c>
      <c r="P56" s="4">
        <f t="shared" si="40"/>
        <v>11.553711683013177</v>
      </c>
      <c r="Q56" s="4">
        <f t="shared" si="55"/>
        <v>0</v>
      </c>
      <c r="R56" s="4">
        <f t="shared" si="41"/>
        <v>14.176430958851192</v>
      </c>
      <c r="S56" s="360">
        <f t="shared" si="56"/>
        <v>0.28135967262350431</v>
      </c>
      <c r="T56" s="360">
        <f t="shared" si="57"/>
        <v>0.3</v>
      </c>
      <c r="U56" s="360">
        <f t="shared" si="58"/>
        <v>0.5947466913738122</v>
      </c>
      <c r="V56" s="4">
        <f t="shared" si="42"/>
        <v>1.470100245246742</v>
      </c>
      <c r="W56" s="360">
        <f t="shared" si="10"/>
        <v>4.3223894621490615E-3</v>
      </c>
      <c r="X56" s="360">
        <f t="shared" si="43"/>
        <v>4.3223894621490615E-3</v>
      </c>
      <c r="Y56" s="4">
        <f t="shared" si="44"/>
        <v>7.0711677787754175</v>
      </c>
      <c r="Z56" s="360">
        <f t="shared" si="11"/>
        <v>7.5002120633387501E-2</v>
      </c>
      <c r="AA56" s="541">
        <f t="shared" si="45"/>
        <v>7.5002120633387501E-2</v>
      </c>
      <c r="AB56" s="360">
        <f t="shared" si="46"/>
        <v>10.365838661846393</v>
      </c>
      <c r="AC56" s="360">
        <f t="shared" si="59"/>
        <v>0.19341110009417295</v>
      </c>
      <c r="AD56" s="360">
        <f t="shared" si="60"/>
        <v>0.36221198275862065</v>
      </c>
      <c r="AE56" s="360">
        <f t="shared" si="61"/>
        <v>0.39600000000000002</v>
      </c>
      <c r="AF56" s="360">
        <f t="shared" si="62"/>
        <v>0</v>
      </c>
      <c r="AG56" s="360">
        <f t="shared" si="63"/>
        <v>0.98044673361529922</v>
      </c>
      <c r="AH56" s="360">
        <f t="shared" si="64"/>
        <v>9.6706040952799395</v>
      </c>
      <c r="AI56" s="360">
        <f t="shared" si="65"/>
        <v>0.16833705042176123</v>
      </c>
      <c r="AJ56" s="360">
        <f t="shared" si="66"/>
        <v>0</v>
      </c>
      <c r="AK56" s="360">
        <f t="shared" si="67"/>
        <v>0.17275743493103873</v>
      </c>
      <c r="AL56" s="360">
        <f t="shared" si="68"/>
        <v>6.2536319999999992E-2</v>
      </c>
      <c r="AM56" s="360">
        <f t="shared" si="69"/>
        <v>4.4549999999999999E-2</v>
      </c>
      <c r="AN56" s="360">
        <f t="shared" si="70"/>
        <v>0.44213662840836399</v>
      </c>
      <c r="AO56" s="360">
        <f t="shared" si="71"/>
        <v>1.5749999999999998E-3</v>
      </c>
      <c r="AP56" s="360">
        <f t="shared" si="72"/>
        <v>0.23760000000000001</v>
      </c>
      <c r="AQ56" s="360">
        <f t="shared" si="26"/>
        <v>0.22704000000000002</v>
      </c>
      <c r="AR56" s="360">
        <f t="shared" si="73"/>
        <v>0.2112</v>
      </c>
      <c r="AS56" s="360">
        <f t="shared" si="74"/>
        <v>0.239175</v>
      </c>
      <c r="AT56" s="360">
        <f t="shared" si="75"/>
        <v>2.6156733184240508</v>
      </c>
      <c r="AU56">
        <f t="shared" si="76"/>
        <v>338.4</v>
      </c>
      <c r="AV56" s="542">
        <f t="shared" si="47"/>
        <v>0.99232975630424569</v>
      </c>
      <c r="AW56" s="551">
        <f t="shared" si="77"/>
        <v>38.374289877381372</v>
      </c>
      <c r="AX56" s="551">
        <f t="shared" si="78"/>
        <v>7.1234395273794719</v>
      </c>
      <c r="AY56" s="9"/>
      <c r="AZ56" s="4">
        <f t="shared" si="48"/>
        <v>99.232975630424562</v>
      </c>
      <c r="BA56" s="360">
        <f t="shared" si="79"/>
        <v>0.5947466913738122</v>
      </c>
      <c r="BB56" s="360">
        <f t="shared" si="80"/>
        <v>1.197754168546338</v>
      </c>
      <c r="BC56" s="360">
        <f t="shared" si="81"/>
        <v>1.0098497336152992</v>
      </c>
      <c r="BD56" s="360">
        <f t="shared" si="82"/>
        <v>0.18745893493103874</v>
      </c>
      <c r="BE56" s="360">
        <f t="shared" si="83"/>
        <v>0.44213662840836399</v>
      </c>
      <c r="BK56" s="18"/>
      <c r="BL56" s="19"/>
    </row>
    <row r="57" spans="1:64" ht="13" x14ac:dyDescent="0.3">
      <c r="A57" s="24" t="s">
        <v>224</v>
      </c>
      <c r="B57" s="15" t="s">
        <v>111</v>
      </c>
      <c r="C57" s="24" t="s">
        <v>76</v>
      </c>
      <c r="D57" s="24" t="s">
        <v>213</v>
      </c>
      <c r="G57">
        <v>48</v>
      </c>
      <c r="H57" s="548">
        <f t="shared" si="49"/>
        <v>45</v>
      </c>
      <c r="I57" s="4">
        <f t="shared" si="50"/>
        <v>2</v>
      </c>
      <c r="J57" s="360">
        <f t="shared" si="84"/>
        <v>28.8</v>
      </c>
      <c r="K57" s="360">
        <f t="shared" si="51"/>
        <v>14.4</v>
      </c>
      <c r="L57" s="4">
        <f t="shared" si="52"/>
        <v>8.5333333333333332</v>
      </c>
      <c r="M57" s="360">
        <f t="shared" si="53"/>
        <v>0.5346849151530656</v>
      </c>
      <c r="N57" s="4">
        <f t="shared" si="54"/>
        <v>5.0926113351473283</v>
      </c>
      <c r="O57" s="4">
        <f t="shared" si="39"/>
        <v>16.946305667573665</v>
      </c>
      <c r="P57" s="4">
        <f t="shared" si="40"/>
        <v>11.853694332426336</v>
      </c>
      <c r="Q57" s="4">
        <f t="shared" si="55"/>
        <v>0</v>
      </c>
      <c r="R57" s="4">
        <f t="shared" si="41"/>
        <v>14.474847984840437</v>
      </c>
      <c r="S57" s="360">
        <f t="shared" si="56"/>
        <v>0.29332971385793494</v>
      </c>
      <c r="T57" s="360">
        <f t="shared" si="57"/>
        <v>0.3</v>
      </c>
      <c r="U57" s="360">
        <f t="shared" si="58"/>
        <v>0.60758759345241731</v>
      </c>
      <c r="V57" s="4">
        <f t="shared" si="42"/>
        <v>1.4701102626127249</v>
      </c>
      <c r="W57" s="360">
        <f t="shared" si="10"/>
        <v>4.3224483684785103E-3</v>
      </c>
      <c r="X57" s="360">
        <f t="shared" si="43"/>
        <v>4.3224483684785103E-3</v>
      </c>
      <c r="Y57" s="4">
        <f t="shared" si="44"/>
        <v>7.2199891227680597</v>
      </c>
      <c r="Z57" s="360">
        <f t="shared" si="11"/>
        <v>7.819236439933365E-2</v>
      </c>
      <c r="AA57" s="541">
        <f t="shared" si="45"/>
        <v>7.819236439933365E-2</v>
      </c>
      <c r="AB57" s="360">
        <f t="shared" si="46"/>
        <v>10.584320383270548</v>
      </c>
      <c r="AC57" s="360">
        <f t="shared" si="59"/>
        <v>0.20165010835628949</v>
      </c>
      <c r="AD57" s="360">
        <f t="shared" si="60"/>
        <v>0.36991862068965514</v>
      </c>
      <c r="AE57" s="360">
        <f t="shared" si="61"/>
        <v>0.39600000000000002</v>
      </c>
      <c r="AF57" s="360">
        <f t="shared" si="62"/>
        <v>0</v>
      </c>
      <c r="AG57" s="360">
        <f t="shared" si="63"/>
        <v>0.99816324755397645</v>
      </c>
      <c r="AH57" s="360">
        <f t="shared" si="64"/>
        <v>9.8738739210364077</v>
      </c>
      <c r="AI57" s="360">
        <f t="shared" si="65"/>
        <v>0.17548809517534117</v>
      </c>
      <c r="AJ57" s="360">
        <f t="shared" si="66"/>
        <v>0</v>
      </c>
      <c r="AK57" s="360">
        <f t="shared" si="67"/>
        <v>0.18029738188025374</v>
      </c>
      <c r="AL57" s="360">
        <f t="shared" si="68"/>
        <v>6.3866879999999987E-2</v>
      </c>
      <c r="AM57" s="360">
        <f t="shared" si="69"/>
        <v>4.4549999999999999E-2</v>
      </c>
      <c r="AN57" s="360">
        <f t="shared" si="70"/>
        <v>0.46094669320532639</v>
      </c>
      <c r="AO57" s="360">
        <f t="shared" si="71"/>
        <v>1.5749999999999998E-3</v>
      </c>
      <c r="AP57" s="360">
        <f t="shared" si="72"/>
        <v>0.23760000000000001</v>
      </c>
      <c r="AQ57" s="360">
        <f t="shared" si="26"/>
        <v>0.22704000000000002</v>
      </c>
      <c r="AR57" s="360">
        <f t="shared" si="73"/>
        <v>0.2112</v>
      </c>
      <c r="AS57" s="360">
        <f t="shared" si="74"/>
        <v>0.239175</v>
      </c>
      <c r="AT57" s="360">
        <f t="shared" si="75"/>
        <v>2.6771016088597861</v>
      </c>
      <c r="AU57">
        <f t="shared" si="76"/>
        <v>345.6</v>
      </c>
      <c r="AV57" s="542">
        <f t="shared" si="47"/>
        <v>0.99231329996576578</v>
      </c>
      <c r="AW57" s="551">
        <f t="shared" si="77"/>
        <v>39.047517407051103</v>
      </c>
      <c r="AX57" s="551">
        <f t="shared" si="78"/>
        <v>7.4099575114496421</v>
      </c>
      <c r="AY57" s="9"/>
      <c r="AZ57" s="4">
        <f t="shared" si="48"/>
        <v>99.231329996576576</v>
      </c>
      <c r="BA57" s="360">
        <f t="shared" si="79"/>
        <v>0.60758759345241731</v>
      </c>
      <c r="BB57" s="360">
        <f t="shared" si="80"/>
        <v>1.2230106294342302</v>
      </c>
      <c r="BC57" s="360">
        <f t="shared" si="81"/>
        <v>1.0275662475539764</v>
      </c>
      <c r="BD57" s="360">
        <f t="shared" si="82"/>
        <v>0.19499888188025374</v>
      </c>
      <c r="BE57" s="360">
        <f t="shared" si="83"/>
        <v>0.46094669320532639</v>
      </c>
      <c r="BK57" s="18"/>
      <c r="BL57" s="19"/>
    </row>
    <row r="58" spans="1:64" x14ac:dyDescent="0.25">
      <c r="A58" s="23" t="s">
        <v>195</v>
      </c>
      <c r="B58" s="73">
        <f>VfdSky_Q2</f>
        <v>0.72</v>
      </c>
      <c r="C58" s="440" t="s">
        <v>0</v>
      </c>
      <c r="D58" s="76" t="s">
        <v>198</v>
      </c>
      <c r="G58">
        <v>49</v>
      </c>
      <c r="H58" s="548">
        <f t="shared" si="49"/>
        <v>45</v>
      </c>
      <c r="I58" s="4">
        <f t="shared" si="50"/>
        <v>2</v>
      </c>
      <c r="J58" s="360">
        <f t="shared" si="84"/>
        <v>29.4</v>
      </c>
      <c r="K58" s="360">
        <f t="shared" si="51"/>
        <v>14.7</v>
      </c>
      <c r="L58" s="4">
        <f t="shared" si="52"/>
        <v>8.7111111111111104</v>
      </c>
      <c r="M58" s="360">
        <f t="shared" si="53"/>
        <v>0.53471305288599269</v>
      </c>
      <c r="N58" s="4">
        <f t="shared" si="54"/>
        <v>5.0926460039082215</v>
      </c>
      <c r="O58" s="4">
        <f t="shared" si="39"/>
        <v>17.24632300195411</v>
      </c>
      <c r="P58" s="4">
        <f t="shared" si="40"/>
        <v>12.153676998045889</v>
      </c>
      <c r="Q58" s="4">
        <f t="shared" si="55"/>
        <v>0</v>
      </c>
      <c r="R58" s="4">
        <f t="shared" si="41"/>
        <v>14.773329130906598</v>
      </c>
      <c r="S58" s="360">
        <f t="shared" si="56"/>
        <v>0.3055517550541309</v>
      </c>
      <c r="T58" s="360">
        <f t="shared" si="57"/>
        <v>0.3</v>
      </c>
      <c r="U58" s="360">
        <f t="shared" si="58"/>
        <v>0.62072484020044627</v>
      </c>
      <c r="V58" s="4">
        <f t="shared" si="42"/>
        <v>1.4701202706219418</v>
      </c>
      <c r="W58" s="360">
        <f t="shared" si="10"/>
        <v>4.3225072201870636E-3</v>
      </c>
      <c r="X58" s="360">
        <f t="shared" si="43"/>
        <v>4.3225072201870636E-3</v>
      </c>
      <c r="Y58" s="4">
        <f t="shared" si="44"/>
        <v>7.3688412593875903</v>
      </c>
      <c r="Z58" s="360">
        <f t="shared" si="11"/>
        <v>8.1449732259079324E-2</v>
      </c>
      <c r="AA58" s="541">
        <f t="shared" si="45"/>
        <v>8.1449732259079324E-2</v>
      </c>
      <c r="AB58" s="360">
        <f t="shared" si="46"/>
        <v>10.80286045980638</v>
      </c>
      <c r="AC58" s="360">
        <f t="shared" si="59"/>
        <v>0.21006322940528663</v>
      </c>
      <c r="AD58" s="360">
        <f t="shared" si="60"/>
        <v>0.37762525862068963</v>
      </c>
      <c r="AE58" s="360">
        <f t="shared" si="61"/>
        <v>0.39600000000000002</v>
      </c>
      <c r="AF58" s="360">
        <f t="shared" si="62"/>
        <v>0</v>
      </c>
      <c r="AG58" s="360">
        <f t="shared" si="63"/>
        <v>1.0161332265411087</v>
      </c>
      <c r="AH58" s="360">
        <f t="shared" si="64"/>
        <v>10.077175174424893</v>
      </c>
      <c r="AI58" s="360">
        <f t="shared" si="65"/>
        <v>0.18278902709288167</v>
      </c>
      <c r="AJ58" s="360">
        <f t="shared" si="66"/>
        <v>0</v>
      </c>
      <c r="AK58" s="360">
        <f t="shared" si="67"/>
        <v>0.18801276087846899</v>
      </c>
      <c r="AL58" s="360">
        <f t="shared" si="68"/>
        <v>6.5197439999999982E-2</v>
      </c>
      <c r="AM58" s="360">
        <f t="shared" si="69"/>
        <v>4.4549999999999999E-2</v>
      </c>
      <c r="AN58" s="360">
        <f t="shared" si="70"/>
        <v>0.48015275794220574</v>
      </c>
      <c r="AO58" s="360">
        <f t="shared" si="71"/>
        <v>1.5749999999999998E-3</v>
      </c>
      <c r="AP58" s="360">
        <f t="shared" si="72"/>
        <v>0.23760000000000001</v>
      </c>
      <c r="AQ58" s="360">
        <f t="shared" si="26"/>
        <v>0.22704000000000002</v>
      </c>
      <c r="AR58" s="360">
        <f t="shared" si="73"/>
        <v>0.2112</v>
      </c>
      <c r="AS58" s="360">
        <f t="shared" si="74"/>
        <v>0.239175</v>
      </c>
      <c r="AT58" s="360">
        <f t="shared" si="75"/>
        <v>2.7397182650414957</v>
      </c>
      <c r="AU58">
        <f t="shared" si="76"/>
        <v>352.79999999999995</v>
      </c>
      <c r="AV58" s="542">
        <f t="shared" si="47"/>
        <v>0.99229419914486416</v>
      </c>
      <c r="AW58" s="551">
        <f t="shared" si="77"/>
        <v>39.730376608562132</v>
      </c>
      <c r="AX58" s="551">
        <f t="shared" si="78"/>
        <v>7.7031419133818222</v>
      </c>
      <c r="AY58" s="9"/>
      <c r="AZ58" s="4">
        <f t="shared" si="48"/>
        <v>99.229419914486414</v>
      </c>
      <c r="BA58" s="360">
        <f t="shared" si="79"/>
        <v>0.62072484020044627</v>
      </c>
      <c r="BB58" s="360">
        <f t="shared" si="80"/>
        <v>1.2486959874195778</v>
      </c>
      <c r="BC58" s="360">
        <f t="shared" si="81"/>
        <v>1.0455362265411088</v>
      </c>
      <c r="BD58" s="360">
        <f t="shared" si="82"/>
        <v>0.202714260878469</v>
      </c>
      <c r="BE58" s="360">
        <f t="shared" si="83"/>
        <v>0.48015275794220574</v>
      </c>
      <c r="BK58" s="18"/>
      <c r="BL58" s="19"/>
    </row>
    <row r="59" spans="1:64" x14ac:dyDescent="0.25">
      <c r="A59" s="23" t="s">
        <v>196</v>
      </c>
      <c r="B59" s="73">
        <f>QrrSky_Q2*1000000000</f>
        <v>4.5</v>
      </c>
      <c r="C59" s="440" t="s">
        <v>65</v>
      </c>
      <c r="D59" s="76" t="s">
        <v>199</v>
      </c>
      <c r="G59">
        <v>50</v>
      </c>
      <c r="H59" s="548">
        <f t="shared" si="49"/>
        <v>45</v>
      </c>
      <c r="I59" s="4">
        <f t="shared" si="50"/>
        <v>2</v>
      </c>
      <c r="J59" s="360">
        <f t="shared" si="84"/>
        <v>30</v>
      </c>
      <c r="K59" s="360">
        <f t="shared" si="51"/>
        <v>15</v>
      </c>
      <c r="L59" s="4">
        <f t="shared" si="52"/>
        <v>8.8888888888888893</v>
      </c>
      <c r="M59" s="360">
        <f t="shared" si="53"/>
        <v>0.53474118979415097</v>
      </c>
      <c r="N59" s="4">
        <f t="shared" si="54"/>
        <v>5.0926806402577496</v>
      </c>
      <c r="O59" s="4">
        <f t="shared" si="39"/>
        <v>17.546340320128873</v>
      </c>
      <c r="P59" s="4">
        <f t="shared" si="40"/>
        <v>12.453659679871125</v>
      </c>
      <c r="Q59" s="4">
        <f t="shared" si="55"/>
        <v>0</v>
      </c>
      <c r="R59" s="4">
        <f t="shared" si="41"/>
        <v>15.071870587575983</v>
      </c>
      <c r="S59" s="360">
        <f t="shared" si="56"/>
        <v>0.3180257962120932</v>
      </c>
      <c r="T59" s="360">
        <f t="shared" si="57"/>
        <v>0.3</v>
      </c>
      <c r="U59" s="360">
        <f t="shared" si="58"/>
        <v>0.63416013885902212</v>
      </c>
      <c r="V59" s="4">
        <f t="shared" si="42"/>
        <v>1.4701302692748037</v>
      </c>
      <c r="W59" s="360">
        <f t="shared" si="10"/>
        <v>4.3225660172760139E-3</v>
      </c>
      <c r="X59" s="360">
        <f t="shared" si="43"/>
        <v>4.3225660172760139E-3</v>
      </c>
      <c r="Y59" s="4">
        <f t="shared" si="44"/>
        <v>7.517722286748949</v>
      </c>
      <c r="Z59" s="360">
        <f t="shared" si="11"/>
        <v>8.4774222571022767E-2</v>
      </c>
      <c r="AA59" s="541">
        <f t="shared" si="45"/>
        <v>8.4774222571022767E-2</v>
      </c>
      <c r="AB59" s="360">
        <f t="shared" si="46"/>
        <v>11.021456108482441</v>
      </c>
      <c r="AC59" s="360">
        <f t="shared" si="59"/>
        <v>0.21865049055216884</v>
      </c>
      <c r="AD59" s="360">
        <f t="shared" si="60"/>
        <v>0.38533189655172412</v>
      </c>
      <c r="AE59" s="360">
        <f t="shared" si="61"/>
        <v>0.39600000000000002</v>
      </c>
      <c r="AF59" s="360">
        <f t="shared" si="62"/>
        <v>0</v>
      </c>
      <c r="AG59" s="360">
        <f t="shared" si="63"/>
        <v>1.0343591848669962</v>
      </c>
      <c r="AH59" s="360">
        <f t="shared" si="64"/>
        <v>10.280505253022978</v>
      </c>
      <c r="AI59" s="360">
        <f t="shared" si="65"/>
        <v>0.19023981886337948</v>
      </c>
      <c r="AJ59" s="360">
        <f t="shared" si="66"/>
        <v>0</v>
      </c>
      <c r="AK59" s="360">
        <f t="shared" si="67"/>
        <v>0.19590468744602063</v>
      </c>
      <c r="AL59" s="360">
        <f t="shared" si="68"/>
        <v>6.652799999999999E-2</v>
      </c>
      <c r="AM59" s="360">
        <f t="shared" si="69"/>
        <v>4.4549999999999999E-2</v>
      </c>
      <c r="AN59" s="360">
        <f t="shared" si="70"/>
        <v>0.49975482261900367</v>
      </c>
      <c r="AO59" s="360">
        <f t="shared" si="71"/>
        <v>1.5749999999999998E-3</v>
      </c>
      <c r="AP59" s="360">
        <f t="shared" si="72"/>
        <v>0.23760000000000001</v>
      </c>
      <c r="AQ59" s="360">
        <f t="shared" si="26"/>
        <v>0.22704000000000002</v>
      </c>
      <c r="AR59" s="360">
        <f t="shared" si="73"/>
        <v>0.2112</v>
      </c>
      <c r="AS59" s="360">
        <f t="shared" si="74"/>
        <v>0.239175</v>
      </c>
      <c r="AT59" s="360">
        <f t="shared" si="75"/>
        <v>2.8035286223793414</v>
      </c>
      <c r="AU59">
        <f t="shared" si="76"/>
        <v>360</v>
      </c>
      <c r="AV59" s="542">
        <f t="shared" si="47"/>
        <v>0.99227259824890679</v>
      </c>
      <c r="AW59" s="551">
        <f t="shared" si="77"/>
        <v>40.422963024945858</v>
      </c>
      <c r="AX59" s="551">
        <f t="shared" si="78"/>
        <v>8.0030351229487842</v>
      </c>
      <c r="AY59" s="9"/>
      <c r="AZ59" s="4">
        <f t="shared" si="48"/>
        <v>99.22725982489068</v>
      </c>
      <c r="BA59" s="360">
        <f t="shared" si="79"/>
        <v>0.63416013885902212</v>
      </c>
      <c r="BB59" s="360">
        <f t="shared" si="80"/>
        <v>1.2748138723130169</v>
      </c>
      <c r="BC59" s="360">
        <f t="shared" si="81"/>
        <v>1.0637621848669963</v>
      </c>
      <c r="BD59" s="360">
        <f t="shared" si="82"/>
        <v>0.21060618744602064</v>
      </c>
      <c r="BE59" s="360">
        <f t="shared" si="83"/>
        <v>0.49975482261900367</v>
      </c>
      <c r="BK59" s="18"/>
      <c r="BL59" s="19"/>
    </row>
    <row r="60" spans="1:64" ht="13" x14ac:dyDescent="0.3">
      <c r="A60" s="23" t="s">
        <v>197</v>
      </c>
      <c r="B60" s="73">
        <f>Ireverse</f>
        <v>0</v>
      </c>
      <c r="C60" s="440" t="s">
        <v>64</v>
      </c>
      <c r="D60" s="76" t="s">
        <v>200</v>
      </c>
      <c r="E60" s="2"/>
      <c r="G60">
        <v>51</v>
      </c>
      <c r="H60" s="548">
        <f t="shared" si="49"/>
        <v>45</v>
      </c>
      <c r="I60" s="4">
        <f t="shared" si="50"/>
        <v>2</v>
      </c>
      <c r="J60" s="360">
        <f t="shared" si="84"/>
        <v>30.6</v>
      </c>
      <c r="K60" s="360">
        <f t="shared" si="51"/>
        <v>15.3</v>
      </c>
      <c r="L60" s="4">
        <f t="shared" si="52"/>
        <v>9.0666666666666682</v>
      </c>
      <c r="M60" s="360">
        <f t="shared" si="53"/>
        <v>0.53476932587757686</v>
      </c>
      <c r="N60" s="4">
        <f t="shared" si="54"/>
        <v>5.0927152441973398</v>
      </c>
      <c r="O60" s="4">
        <f t="shared" si="39"/>
        <v>17.846357622098672</v>
      </c>
      <c r="P60" s="4">
        <f t="shared" si="40"/>
        <v>12.753642377901331</v>
      </c>
      <c r="Q60" s="4">
        <f t="shared" si="55"/>
        <v>0</v>
      </c>
      <c r="R60" s="4">
        <f t="shared" si="41"/>
        <v>15.37046884060058</v>
      </c>
      <c r="S60" s="360">
        <f t="shared" si="56"/>
        <v>0.33075183733182267</v>
      </c>
      <c r="T60" s="360">
        <f t="shared" si="57"/>
        <v>0.3</v>
      </c>
      <c r="U60" s="360">
        <f t="shared" si="58"/>
        <v>0.64789524063079695</v>
      </c>
      <c r="V60" s="4">
        <f t="shared" si="42"/>
        <v>1.4701402585717225</v>
      </c>
      <c r="W60" s="360">
        <f t="shared" si="10"/>
        <v>4.322624759746662E-3</v>
      </c>
      <c r="X60" s="360">
        <f t="shared" si="43"/>
        <v>4.322624759746662E-3</v>
      </c>
      <c r="Y60" s="4">
        <f t="shared" si="44"/>
        <v>7.6666304502520113</v>
      </c>
      <c r="Z60" s="360">
        <f t="shared" si="11"/>
        <v>8.816583369109704E-2</v>
      </c>
      <c r="AA60" s="541">
        <f t="shared" si="45"/>
        <v>8.816583369109704E-2</v>
      </c>
      <c r="AB60" s="360">
        <f t="shared" si="46"/>
        <v>11.240104761926274</v>
      </c>
      <c r="AC60" s="360">
        <f t="shared" si="59"/>
        <v>0.22741191910633984</v>
      </c>
      <c r="AD60" s="360">
        <f t="shared" si="60"/>
        <v>0.39303853448275861</v>
      </c>
      <c r="AE60" s="360">
        <f t="shared" si="61"/>
        <v>0.39600000000000002</v>
      </c>
      <c r="AF60" s="360">
        <f t="shared" si="62"/>
        <v>0</v>
      </c>
      <c r="AG60" s="360">
        <f t="shared" si="63"/>
        <v>1.0528436926998315</v>
      </c>
      <c r="AH60" s="360">
        <f t="shared" si="64"/>
        <v>10.483861756089482</v>
      </c>
      <c r="AI60" s="360">
        <f t="shared" si="65"/>
        <v>0.19784044317743213</v>
      </c>
      <c r="AJ60" s="360">
        <f t="shared" si="66"/>
        <v>0</v>
      </c>
      <c r="AK60" s="360">
        <f t="shared" si="67"/>
        <v>0.20397430700626124</v>
      </c>
      <c r="AL60" s="360">
        <f t="shared" si="68"/>
        <v>6.7858559999999998E-2</v>
      </c>
      <c r="AM60" s="360">
        <f t="shared" si="69"/>
        <v>4.4549999999999999E-2</v>
      </c>
      <c r="AN60" s="360">
        <f t="shared" si="70"/>
        <v>0.51975288723572133</v>
      </c>
      <c r="AO60" s="360">
        <f t="shared" si="71"/>
        <v>1.5749999999999998E-3</v>
      </c>
      <c r="AP60" s="360">
        <f t="shared" si="72"/>
        <v>0.23760000000000001</v>
      </c>
      <c r="AQ60" s="360">
        <f t="shared" si="26"/>
        <v>0.22704000000000002</v>
      </c>
      <c r="AR60" s="360">
        <f t="shared" si="73"/>
        <v>0.2112</v>
      </c>
      <c r="AS60" s="360">
        <f t="shared" si="74"/>
        <v>0.239175</v>
      </c>
      <c r="AT60" s="360">
        <f t="shared" si="75"/>
        <v>2.8685381460234547</v>
      </c>
      <c r="AU60">
        <f t="shared" si="76"/>
        <v>367.20000000000005</v>
      </c>
      <c r="AV60" s="542">
        <f t="shared" si="47"/>
        <v>0.99224863005000552</v>
      </c>
      <c r="AW60" s="551">
        <f t="shared" si="77"/>
        <v>41.125374322593601</v>
      </c>
      <c r="AX60" s="551">
        <f t="shared" si="78"/>
        <v>8.3096806662379272</v>
      </c>
      <c r="AY60" s="9"/>
      <c r="AZ60" s="4">
        <f t="shared" si="48"/>
        <v>99.224863005000557</v>
      </c>
      <c r="BA60" s="360">
        <f t="shared" si="79"/>
        <v>0.64789524063079695</v>
      </c>
      <c r="BB60" s="360">
        <f t="shared" si="80"/>
        <v>1.3013679997060927</v>
      </c>
      <c r="BC60" s="360">
        <f t="shared" si="81"/>
        <v>1.0822466926998315</v>
      </c>
      <c r="BD60" s="360">
        <f t="shared" si="82"/>
        <v>0.21867580700626124</v>
      </c>
      <c r="BE60" s="360">
        <f t="shared" si="83"/>
        <v>0.51975288723572133</v>
      </c>
      <c r="BK60" s="18"/>
      <c r="BL60" s="19"/>
    </row>
    <row r="61" spans="1:64" ht="13" x14ac:dyDescent="0.3">
      <c r="A61" s="24" t="s">
        <v>117</v>
      </c>
      <c r="B61" s="15" t="s">
        <v>111</v>
      </c>
      <c r="C61" s="24" t="s">
        <v>76</v>
      </c>
      <c r="D61" s="24" t="s">
        <v>213</v>
      </c>
      <c r="G61">
        <v>52</v>
      </c>
      <c r="H61" s="548">
        <f t="shared" si="49"/>
        <v>45</v>
      </c>
      <c r="I61" s="4">
        <f t="shared" si="50"/>
        <v>2</v>
      </c>
      <c r="J61" s="360">
        <f t="shared" si="84"/>
        <v>31.2</v>
      </c>
      <c r="K61" s="360">
        <f t="shared" si="51"/>
        <v>15.6</v>
      </c>
      <c r="L61" s="4">
        <f t="shared" si="52"/>
        <v>9.2444444444444436</v>
      </c>
      <c r="M61" s="360">
        <f t="shared" si="53"/>
        <v>0.53479746113630677</v>
      </c>
      <c r="N61" s="4">
        <f t="shared" si="54"/>
        <v>5.0927498157284168</v>
      </c>
      <c r="O61" s="4">
        <f t="shared" si="39"/>
        <v>18.146374907864207</v>
      </c>
      <c r="P61" s="4">
        <f t="shared" si="40"/>
        <v>13.053625092135791</v>
      </c>
      <c r="Q61" s="4">
        <f t="shared" si="55"/>
        <v>0</v>
      </c>
      <c r="R61" s="4">
        <f t="shared" si="41"/>
        <v>15.669120642965263</v>
      </c>
      <c r="S61" s="360">
        <f t="shared" si="56"/>
        <v>0.3437298784133202</v>
      </c>
      <c r="T61" s="360">
        <f t="shared" si="57"/>
        <v>0.3</v>
      </c>
      <c r="U61" s="360">
        <f t="shared" si="58"/>
        <v>0.66193194126853017</v>
      </c>
      <c r="V61" s="4">
        <f t="shared" si="42"/>
        <v>1.4701502385131093</v>
      </c>
      <c r="W61" s="360">
        <f t="shared" si="10"/>
        <v>4.3226834476003048E-3</v>
      </c>
      <c r="X61" s="360">
        <f t="shared" si="43"/>
        <v>4.3226834476003048E-3</v>
      </c>
      <c r="Y61" s="4">
        <f t="shared" si="44"/>
        <v>7.8155641286162831</v>
      </c>
      <c r="Z61" s="360">
        <f t="shared" si="11"/>
        <v>9.1624563972770412E-2</v>
      </c>
      <c r="AA61" s="541">
        <f t="shared" si="45"/>
        <v>9.1624563972770412E-2</v>
      </c>
      <c r="AB61" s="360">
        <f t="shared" si="46"/>
        <v>11.458804047921751</v>
      </c>
      <c r="AC61" s="360">
        <f t="shared" si="59"/>
        <v>0.23634754237560221</v>
      </c>
      <c r="AD61" s="360">
        <f t="shared" si="60"/>
        <v>0.40074517241379309</v>
      </c>
      <c r="AE61" s="360">
        <f t="shared" si="61"/>
        <v>0.39600000000000002</v>
      </c>
      <c r="AF61" s="360">
        <f t="shared" si="62"/>
        <v>0</v>
      </c>
      <c r="AG61" s="360">
        <f t="shared" si="63"/>
        <v>1.0715893771807306</v>
      </c>
      <c r="AH61" s="360">
        <f t="shared" si="64"/>
        <v>10.687242465441319</v>
      </c>
      <c r="AI61" s="360">
        <f t="shared" si="65"/>
        <v>0.205590872727238</v>
      </c>
      <c r="AJ61" s="360">
        <f t="shared" si="66"/>
        <v>0</v>
      </c>
      <c r="AK61" s="360">
        <f t="shared" si="67"/>
        <v>0.21222279532207569</v>
      </c>
      <c r="AL61" s="360">
        <f t="shared" si="68"/>
        <v>6.9189119999999993E-2</v>
      </c>
      <c r="AM61" s="360">
        <f t="shared" si="69"/>
        <v>4.4549999999999999E-2</v>
      </c>
      <c r="AN61" s="360">
        <f t="shared" si="70"/>
        <v>0.54014695179236027</v>
      </c>
      <c r="AO61" s="360">
        <f t="shared" si="71"/>
        <v>1.5749999999999998E-3</v>
      </c>
      <c r="AP61" s="360">
        <f t="shared" si="72"/>
        <v>0.23760000000000001</v>
      </c>
      <c r="AQ61" s="360">
        <f t="shared" si="26"/>
        <v>0.22704000000000002</v>
      </c>
      <c r="AR61" s="360">
        <f t="shared" si="73"/>
        <v>0.2112</v>
      </c>
      <c r="AS61" s="360">
        <f t="shared" si="74"/>
        <v>0.239175</v>
      </c>
      <c r="AT61" s="360">
        <f t="shared" si="75"/>
        <v>2.9347524329840677</v>
      </c>
      <c r="AU61">
        <f t="shared" si="76"/>
        <v>374.4</v>
      </c>
      <c r="AV61" s="542">
        <f t="shared" si="47"/>
        <v>0.99222241679553413</v>
      </c>
      <c r="AW61" s="551">
        <f t="shared" si="77"/>
        <v>41.837710332867765</v>
      </c>
      <c r="AX61" s="551">
        <f t="shared" si="78"/>
        <v>8.6231232222388758</v>
      </c>
      <c r="AY61" s="9"/>
      <c r="AZ61" s="4">
        <f t="shared" si="48"/>
        <v>99.22224167955342</v>
      </c>
      <c r="BA61" s="360">
        <f t="shared" si="79"/>
        <v>0.66193194126853017</v>
      </c>
      <c r="BB61" s="360">
        <f t="shared" si="80"/>
        <v>1.3283621725028063</v>
      </c>
      <c r="BC61" s="360">
        <f t="shared" si="81"/>
        <v>1.1009923771807306</v>
      </c>
      <c r="BD61" s="360">
        <f t="shared" si="82"/>
        <v>0.2269242953220757</v>
      </c>
      <c r="BE61" s="360">
        <f t="shared" si="83"/>
        <v>0.54014695179236027</v>
      </c>
      <c r="BK61" s="18"/>
      <c r="BL61" s="19"/>
    </row>
    <row r="62" spans="1:64" ht="15.5" x14ac:dyDescent="0.4">
      <c r="A62" s="446" t="s">
        <v>470</v>
      </c>
      <c r="B62" s="74">
        <v>30</v>
      </c>
      <c r="C62" s="441" t="s">
        <v>205</v>
      </c>
      <c r="D62" s="76" t="s">
        <v>103</v>
      </c>
      <c r="G62">
        <v>53</v>
      </c>
      <c r="H62" s="548">
        <f t="shared" si="49"/>
        <v>45</v>
      </c>
      <c r="I62" s="4">
        <f t="shared" si="50"/>
        <v>2</v>
      </c>
      <c r="J62" s="360">
        <f t="shared" si="84"/>
        <v>31.8</v>
      </c>
      <c r="K62" s="360">
        <f t="shared" si="51"/>
        <v>15.9</v>
      </c>
      <c r="L62" s="4">
        <f t="shared" si="52"/>
        <v>9.4222222222222225</v>
      </c>
      <c r="M62" s="360">
        <f t="shared" si="53"/>
        <v>0.53482559557037668</v>
      </c>
      <c r="N62" s="4">
        <f t="shared" si="54"/>
        <v>5.0927843548524043</v>
      </c>
      <c r="O62" s="4">
        <f t="shared" si="39"/>
        <v>18.446392177426201</v>
      </c>
      <c r="P62" s="4">
        <f t="shared" si="40"/>
        <v>13.353607822573798</v>
      </c>
      <c r="Q62" s="4">
        <f t="shared" si="55"/>
        <v>0</v>
      </c>
      <c r="R62" s="4">
        <f t="shared" si="41"/>
        <v>15.967822990013984</v>
      </c>
      <c r="S62" s="360">
        <f t="shared" si="56"/>
        <v>0.35695991945658678</v>
      </c>
      <c r="T62" s="360">
        <f t="shared" si="57"/>
        <v>0.3</v>
      </c>
      <c r="U62" s="360">
        <f t="shared" si="58"/>
        <v>0.67627208168119946</v>
      </c>
      <c r="V62" s="4">
        <f t="shared" si="42"/>
        <v>1.4701602090993753</v>
      </c>
      <c r="W62" s="360">
        <f t="shared" si="10"/>
        <v>4.3227420808382372E-3</v>
      </c>
      <c r="X62" s="360">
        <f t="shared" si="43"/>
        <v>4.3227420808382372E-3</v>
      </c>
      <c r="Y62" s="4">
        <f t="shared" si="44"/>
        <v>7.9645218214716342</v>
      </c>
      <c r="Z62" s="360">
        <f t="shared" si="11"/>
        <v>9.5150411767046764E-2</v>
      </c>
      <c r="AA62" s="541">
        <f t="shared" si="45"/>
        <v>9.5150411767046764E-2</v>
      </c>
      <c r="AB62" s="360">
        <f t="shared" si="46"/>
        <v>11.677551771244161</v>
      </c>
      <c r="AC62" s="360">
        <f t="shared" si="59"/>
        <v>0.24545738766615774</v>
      </c>
      <c r="AD62" s="360">
        <f t="shared" si="60"/>
        <v>0.40845181034482753</v>
      </c>
      <c r="AE62" s="360">
        <f t="shared" si="61"/>
        <v>0.39600000000000002</v>
      </c>
      <c r="AF62" s="360">
        <f t="shared" si="62"/>
        <v>0</v>
      </c>
      <c r="AG62" s="360">
        <f t="shared" si="63"/>
        <v>1.090598923551489</v>
      </c>
      <c r="AH62" s="360">
        <f t="shared" si="64"/>
        <v>10.890645328461094</v>
      </c>
      <c r="AI62" s="360">
        <f t="shared" si="65"/>
        <v>0.2134910802065966</v>
      </c>
      <c r="AJ62" s="360">
        <f t="shared" si="66"/>
        <v>0</v>
      </c>
      <c r="AK62" s="360">
        <f t="shared" si="67"/>
        <v>0.22065135894610616</v>
      </c>
      <c r="AL62" s="360">
        <f t="shared" si="68"/>
        <v>7.0519679999999987E-2</v>
      </c>
      <c r="AM62" s="360">
        <f t="shared" si="69"/>
        <v>4.4549999999999999E-2</v>
      </c>
      <c r="AN62" s="360">
        <f t="shared" si="70"/>
        <v>0.56093701628892212</v>
      </c>
      <c r="AO62" s="360">
        <f t="shared" si="71"/>
        <v>1.5749999999999998E-3</v>
      </c>
      <c r="AP62" s="360">
        <f t="shared" si="72"/>
        <v>0.23760000000000001</v>
      </c>
      <c r="AQ62" s="360">
        <f t="shared" si="26"/>
        <v>0.22704000000000002</v>
      </c>
      <c r="AR62" s="360">
        <f t="shared" si="73"/>
        <v>0.2112</v>
      </c>
      <c r="AS62" s="360">
        <f t="shared" si="74"/>
        <v>0.239175</v>
      </c>
      <c r="AT62" s="360">
        <f t="shared" si="75"/>
        <v>3.0021772143156018</v>
      </c>
      <c r="AU62">
        <f t="shared" si="76"/>
        <v>381.6</v>
      </c>
      <c r="AV62" s="542">
        <f t="shared" si="47"/>
        <v>0.992194071193095</v>
      </c>
      <c r="AW62" s="551">
        <f t="shared" si="77"/>
        <v>42.560073094956586</v>
      </c>
      <c r="AX62" s="551">
        <f t="shared" si="78"/>
        <v>8.9434086399520343</v>
      </c>
      <c r="AY62" s="9"/>
      <c r="AZ62" s="4">
        <f t="shared" si="48"/>
        <v>99.219407119309494</v>
      </c>
      <c r="BA62" s="360">
        <f t="shared" si="79"/>
        <v>0.67627208168119946</v>
      </c>
      <c r="BB62" s="360">
        <f t="shared" si="80"/>
        <v>1.3558002824975952</v>
      </c>
      <c r="BC62" s="360">
        <f t="shared" si="81"/>
        <v>1.1200019235514891</v>
      </c>
      <c r="BD62" s="360">
        <f t="shared" si="82"/>
        <v>0.23535285894610616</v>
      </c>
      <c r="BE62" s="360">
        <f t="shared" si="83"/>
        <v>0.56093701628892212</v>
      </c>
      <c r="BK62" s="18"/>
      <c r="BL62" s="19"/>
    </row>
    <row r="63" spans="1:64" x14ac:dyDescent="0.25">
      <c r="A63" s="23" t="s">
        <v>118</v>
      </c>
      <c r="B63" s="74">
        <v>2</v>
      </c>
      <c r="C63" s="441" t="s">
        <v>205</v>
      </c>
      <c r="D63" s="21" t="s">
        <v>103</v>
      </c>
      <c r="G63">
        <v>54</v>
      </c>
      <c r="H63" s="548">
        <f t="shared" si="49"/>
        <v>45</v>
      </c>
      <c r="I63" s="4">
        <f t="shared" si="50"/>
        <v>2</v>
      </c>
      <c r="J63" s="360">
        <f t="shared" si="84"/>
        <v>32.4</v>
      </c>
      <c r="K63" s="360">
        <f t="shared" si="51"/>
        <v>16.2</v>
      </c>
      <c r="L63" s="4">
        <f t="shared" si="52"/>
        <v>9.6</v>
      </c>
      <c r="M63" s="360">
        <f t="shared" si="53"/>
        <v>0.53485372917982288</v>
      </c>
      <c r="N63" s="4">
        <f t="shared" si="54"/>
        <v>5.0928188615707271</v>
      </c>
      <c r="O63" s="4">
        <f t="shared" si="39"/>
        <v>18.746409430785363</v>
      </c>
      <c r="P63" s="4">
        <f t="shared" si="40"/>
        <v>13.653590569214636</v>
      </c>
      <c r="Q63" s="4">
        <f t="shared" si="55"/>
        <v>0</v>
      </c>
      <c r="R63" s="4">
        <f t="shared" si="41"/>
        <v>16.266573097297748</v>
      </c>
      <c r="S63" s="360">
        <f t="shared" si="56"/>
        <v>0.37044196046162314</v>
      </c>
      <c r="T63" s="360">
        <f t="shared" si="57"/>
        <v>0.3</v>
      </c>
      <c r="U63" s="360">
        <f t="shared" si="58"/>
        <v>0.69091754855803744</v>
      </c>
      <c r="V63" s="4">
        <f t="shared" si="42"/>
        <v>1.4701701703309313</v>
      </c>
      <c r="W63" s="360">
        <f t="shared" si="10"/>
        <v>4.3228006594617594E-3</v>
      </c>
      <c r="X63" s="360">
        <f t="shared" si="43"/>
        <v>4.3228006594617594E-3</v>
      </c>
      <c r="Y63" s="4">
        <f t="shared" si="44"/>
        <v>8.1135021383068988</v>
      </c>
      <c r="Z63" s="360">
        <f t="shared" si="11"/>
        <v>9.8743375422465932E-2</v>
      </c>
      <c r="AA63" s="541">
        <f t="shared" si="45"/>
        <v>9.8743375422465932E-2</v>
      </c>
      <c r="AB63" s="360">
        <f t="shared" si="46"/>
        <v>11.896345897482965</v>
      </c>
      <c r="AC63" s="360">
        <f t="shared" si="59"/>
        <v>0.25474148228260757</v>
      </c>
      <c r="AD63" s="360">
        <f t="shared" si="60"/>
        <v>0.41615844827586201</v>
      </c>
      <c r="AE63" s="360">
        <f t="shared" si="61"/>
        <v>0.39600000000000002</v>
      </c>
      <c r="AF63" s="360">
        <f t="shared" si="62"/>
        <v>0</v>
      </c>
      <c r="AG63" s="360">
        <f t="shared" si="63"/>
        <v>1.1098750763160388</v>
      </c>
      <c r="AH63" s="360">
        <f t="shared" si="64"/>
        <v>11.094068442964064</v>
      </c>
      <c r="AI63" s="360">
        <f t="shared" si="65"/>
        <v>0.22154103831090796</v>
      </c>
      <c r="AJ63" s="360">
        <f t="shared" si="66"/>
        <v>0</v>
      </c>
      <c r="AK63" s="360">
        <f t="shared" si="67"/>
        <v>0.2292612356850193</v>
      </c>
      <c r="AL63" s="360">
        <f t="shared" si="68"/>
        <v>7.1850239999999982E-2</v>
      </c>
      <c r="AM63" s="360">
        <f t="shared" si="69"/>
        <v>4.4549999999999999E-2</v>
      </c>
      <c r="AN63" s="360">
        <f t="shared" si="70"/>
        <v>0.58212308072540786</v>
      </c>
      <c r="AO63" s="360">
        <f t="shared" si="71"/>
        <v>1.5749999999999998E-3</v>
      </c>
      <c r="AP63" s="360">
        <f t="shared" si="72"/>
        <v>0.23760000000000001</v>
      </c>
      <c r="AQ63" s="360">
        <f t="shared" si="26"/>
        <v>0.22704000000000002</v>
      </c>
      <c r="AR63" s="360">
        <f t="shared" si="73"/>
        <v>0.2112</v>
      </c>
      <c r="AS63" s="360">
        <f t="shared" si="74"/>
        <v>0.239175</v>
      </c>
      <c r="AT63" s="360">
        <f t="shared" si="75"/>
        <v>3.0708183573664307</v>
      </c>
      <c r="AU63">
        <f t="shared" si="76"/>
        <v>388.79999999999995</v>
      </c>
      <c r="AV63" s="542">
        <f t="shared" si="47"/>
        <v>0.99216369728616538</v>
      </c>
      <c r="AW63" s="551">
        <f t="shared" si="77"/>
        <v>43.292566900009476</v>
      </c>
      <c r="AX63" s="551">
        <f t="shared" si="78"/>
        <v>9.2705839560307339</v>
      </c>
      <c r="AY63" s="9"/>
      <c r="AZ63" s="4">
        <f t="shared" si="48"/>
        <v>99.216369728616542</v>
      </c>
      <c r="BA63" s="360">
        <f t="shared" si="79"/>
        <v>0.69091754855803744</v>
      </c>
      <c r="BB63" s="360">
        <f t="shared" si="80"/>
        <v>1.3836863120010581</v>
      </c>
      <c r="BC63" s="360">
        <f t="shared" si="81"/>
        <v>1.1392780763160388</v>
      </c>
      <c r="BD63" s="360">
        <f t="shared" si="82"/>
        <v>0.24396273568501931</v>
      </c>
      <c r="BE63" s="360">
        <f t="shared" si="83"/>
        <v>0.58212308072540786</v>
      </c>
      <c r="BK63" s="18"/>
      <c r="BL63" s="19"/>
    </row>
    <row r="64" spans="1:64" x14ac:dyDescent="0.25">
      <c r="A64" s="75"/>
      <c r="B64" s="30"/>
      <c r="G64">
        <v>55</v>
      </c>
      <c r="H64" s="548">
        <f t="shared" si="49"/>
        <v>45</v>
      </c>
      <c r="I64" s="4">
        <f t="shared" si="50"/>
        <v>2</v>
      </c>
      <c r="J64" s="360">
        <f t="shared" si="84"/>
        <v>33</v>
      </c>
      <c r="K64" s="360">
        <f t="shared" si="51"/>
        <v>16.5</v>
      </c>
      <c r="L64" s="4">
        <f t="shared" si="52"/>
        <v>9.7777777777777786</v>
      </c>
      <c r="M64" s="360">
        <f t="shared" si="53"/>
        <v>0.53488186196468179</v>
      </c>
      <c r="N64" s="4">
        <f t="shared" si="54"/>
        <v>5.0928533358848105</v>
      </c>
      <c r="O64" s="4">
        <f t="shared" si="39"/>
        <v>19.046426667942406</v>
      </c>
      <c r="P64" s="4">
        <f t="shared" si="40"/>
        <v>13.953573332057594</v>
      </c>
      <c r="Q64" s="4">
        <f t="shared" si="55"/>
        <v>0</v>
      </c>
      <c r="R64" s="4">
        <f t="shared" si="41"/>
        <v>16.565368380803854</v>
      </c>
      <c r="S64" s="360">
        <f t="shared" si="56"/>
        <v>0.3841760014284305</v>
      </c>
      <c r="T64" s="360">
        <f t="shared" si="57"/>
        <v>0.3</v>
      </c>
      <c r="U64" s="360">
        <f t="shared" si="58"/>
        <v>0.70587027501090049</v>
      </c>
      <c r="V64" s="4">
        <f t="shared" si="42"/>
        <v>1.4701801222081896</v>
      </c>
      <c r="W64" s="360">
        <f t="shared" si="10"/>
        <v>4.322859183472175E-3</v>
      </c>
      <c r="X64" s="360">
        <f t="shared" si="43"/>
        <v>4.322859183472175E-3</v>
      </c>
      <c r="Y64" s="4">
        <f t="shared" si="44"/>
        <v>8.2625037886064607</v>
      </c>
      <c r="Z64" s="360">
        <f t="shared" si="11"/>
        <v>0.10240345328510418</v>
      </c>
      <c r="AA64" s="541">
        <f t="shared" si="45"/>
        <v>0.10240345328510418</v>
      </c>
      <c r="AB64" s="360">
        <f t="shared" si="46"/>
        <v>12.115184538603527</v>
      </c>
      <c r="AC64" s="360">
        <f t="shared" si="59"/>
        <v>0.26419985352795233</v>
      </c>
      <c r="AD64" s="360">
        <f t="shared" si="60"/>
        <v>0.4238650862068965</v>
      </c>
      <c r="AE64" s="360">
        <f t="shared" si="61"/>
        <v>0.39600000000000002</v>
      </c>
      <c r="AF64" s="360">
        <f t="shared" si="62"/>
        <v>0</v>
      </c>
      <c r="AG64" s="360">
        <f t="shared" si="63"/>
        <v>1.1294206404366187</v>
      </c>
      <c r="AH64" s="360">
        <f t="shared" si="64"/>
        <v>11.297510043691846</v>
      </c>
      <c r="AI64" s="360">
        <f t="shared" si="65"/>
        <v>0.22974071973717264</v>
      </c>
      <c r="AJ64" s="360">
        <f t="shared" si="66"/>
        <v>0</v>
      </c>
      <c r="AK64" s="360">
        <f t="shared" si="67"/>
        <v>0.2380536950781619</v>
      </c>
      <c r="AL64" s="360">
        <f t="shared" si="68"/>
        <v>7.318079999999999E-2</v>
      </c>
      <c r="AM64" s="360">
        <f t="shared" si="69"/>
        <v>4.4549999999999999E-2</v>
      </c>
      <c r="AN64" s="360">
        <f t="shared" si="70"/>
        <v>0.60370514510181938</v>
      </c>
      <c r="AO64" s="360">
        <f t="shared" si="71"/>
        <v>1.5749999999999998E-3</v>
      </c>
      <c r="AP64" s="360">
        <f t="shared" si="72"/>
        <v>0.23760000000000001</v>
      </c>
      <c r="AQ64" s="360">
        <f t="shared" si="26"/>
        <v>0.22704000000000002</v>
      </c>
      <c r="AR64" s="360">
        <f t="shared" si="73"/>
        <v>0.2112</v>
      </c>
      <c r="AS64" s="360">
        <f t="shared" si="74"/>
        <v>0.239175</v>
      </c>
      <c r="AT64" s="360">
        <f t="shared" si="75"/>
        <v>3.1406818680960766</v>
      </c>
      <c r="AU64">
        <f t="shared" si="76"/>
        <v>396</v>
      </c>
      <c r="AV64" s="542">
        <f t="shared" si="47"/>
        <v>0.99213139123429672</v>
      </c>
      <c r="AW64" s="551">
        <f t="shared" si="77"/>
        <v>44.035298336591516</v>
      </c>
      <c r="AX64" s="551">
        <f t="shared" si="78"/>
        <v>9.6046974129701521</v>
      </c>
      <c r="AY64" s="9"/>
      <c r="AZ64" s="4">
        <f t="shared" si="48"/>
        <v>99.21313912342967</v>
      </c>
      <c r="BA64" s="360">
        <f t="shared" si="79"/>
        <v>0.70587027501090049</v>
      </c>
      <c r="BB64" s="360">
        <f t="shared" si="80"/>
        <v>1.4120243355147808</v>
      </c>
      <c r="BC64" s="360">
        <f t="shared" si="81"/>
        <v>1.1588236404366188</v>
      </c>
      <c r="BD64" s="360">
        <f t="shared" si="82"/>
        <v>0.25275519507816191</v>
      </c>
      <c r="BE64" s="360">
        <f t="shared" si="83"/>
        <v>0.60370514510181938</v>
      </c>
      <c r="BK64" s="18"/>
      <c r="BL64" s="19"/>
    </row>
    <row r="65" spans="1:64" x14ac:dyDescent="0.25">
      <c r="G65">
        <v>56</v>
      </c>
      <c r="H65" s="548">
        <f t="shared" si="49"/>
        <v>45</v>
      </c>
      <c r="I65" s="4">
        <f t="shared" si="50"/>
        <v>2</v>
      </c>
      <c r="J65" s="360">
        <f t="shared" si="84"/>
        <v>33.6</v>
      </c>
      <c r="K65" s="360">
        <f t="shared" si="51"/>
        <v>16.8</v>
      </c>
      <c r="L65" s="4">
        <f t="shared" si="52"/>
        <v>9.9555555555555575</v>
      </c>
      <c r="M65" s="360">
        <f t="shared" si="53"/>
        <v>0.53490999392498961</v>
      </c>
      <c r="N65" s="4">
        <f t="shared" si="54"/>
        <v>5.0928877777960793</v>
      </c>
      <c r="O65" s="4">
        <f t="shared" si="39"/>
        <v>19.34644388889804</v>
      </c>
      <c r="P65" s="4">
        <f t="shared" si="40"/>
        <v>14.253556111101961</v>
      </c>
      <c r="Q65" s="4">
        <f t="shared" si="55"/>
        <v>0</v>
      </c>
      <c r="R65" s="4">
        <f t="shared" si="41"/>
        <v>16.864206439273548</v>
      </c>
      <c r="S65" s="360">
        <f t="shared" si="56"/>
        <v>0.39816204235700958</v>
      </c>
      <c r="T65" s="360">
        <f t="shared" si="57"/>
        <v>0.3</v>
      </c>
      <c r="U65" s="360">
        <f t="shared" si="58"/>
        <v>0.72113224123539132</v>
      </c>
      <c r="V65" s="4">
        <f t="shared" si="42"/>
        <v>1.4701900647315607</v>
      </c>
      <c r="W65" s="360">
        <f t="shared" si="10"/>
        <v>4.3229176528707808E-3</v>
      </c>
      <c r="X65" s="360">
        <f t="shared" si="43"/>
        <v>4.3229176528707808E-3</v>
      </c>
      <c r="Y65" s="4">
        <f t="shared" si="44"/>
        <v>8.4115255730287224</v>
      </c>
      <c r="Z65" s="360">
        <f t="shared" si="11"/>
        <v>0.10613064369857426</v>
      </c>
      <c r="AA65" s="541">
        <f t="shared" si="45"/>
        <v>0.10613064369857426</v>
      </c>
      <c r="AB65" s="360">
        <f t="shared" si="46"/>
        <v>12.334065940033998</v>
      </c>
      <c r="AC65" s="360">
        <f t="shared" si="59"/>
        <v>0.27383252870359215</v>
      </c>
      <c r="AD65" s="360">
        <f t="shared" si="60"/>
        <v>0.43157172413793099</v>
      </c>
      <c r="AE65" s="360">
        <f t="shared" si="61"/>
        <v>0.39600000000000002</v>
      </c>
      <c r="AF65" s="360">
        <f t="shared" si="62"/>
        <v>0</v>
      </c>
      <c r="AG65" s="360">
        <f t="shared" si="63"/>
        <v>1.1492384825657196</v>
      </c>
      <c r="AH65" s="360">
        <f t="shared" si="64"/>
        <v>11.50096849023284</v>
      </c>
      <c r="AI65" s="360">
        <f t="shared" si="65"/>
        <v>0.23809009718399154</v>
      </c>
      <c r="AJ65" s="360">
        <f t="shared" si="66"/>
        <v>0</v>
      </c>
      <c r="AK65" s="360">
        <f t="shared" si="67"/>
        <v>0.24703003889096256</v>
      </c>
      <c r="AL65" s="360">
        <f t="shared" si="68"/>
        <v>7.4511359999999999E-2</v>
      </c>
      <c r="AM65" s="360">
        <f t="shared" si="69"/>
        <v>4.4549999999999999E-2</v>
      </c>
      <c r="AN65" s="360">
        <f t="shared" si="70"/>
        <v>0.62568320941815803</v>
      </c>
      <c r="AO65" s="360">
        <f t="shared" si="71"/>
        <v>1.5749999999999998E-3</v>
      </c>
      <c r="AP65" s="360">
        <f t="shared" si="72"/>
        <v>0.23760000000000001</v>
      </c>
      <c r="AQ65" s="360">
        <f t="shared" si="26"/>
        <v>0.22704000000000002</v>
      </c>
      <c r="AR65" s="360">
        <f t="shared" si="73"/>
        <v>0.2112</v>
      </c>
      <c r="AS65" s="360">
        <f t="shared" si="74"/>
        <v>0.239175</v>
      </c>
      <c r="AT65" s="360">
        <f t="shared" si="75"/>
        <v>3.2117738934616762</v>
      </c>
      <c r="AU65">
        <f t="shared" si="76"/>
        <v>403.20000000000005</v>
      </c>
      <c r="AV65" s="542">
        <f t="shared" si="47"/>
        <v>0.99209724200976612</v>
      </c>
      <c r="AW65" s="551">
        <f t="shared" si="77"/>
        <v>44.788376337497347</v>
      </c>
      <c r="AX65" s="551">
        <f t="shared" si="78"/>
        <v>9.9457984778565773</v>
      </c>
      <c r="AY65" s="9"/>
      <c r="AZ65" s="4">
        <f t="shared" si="48"/>
        <v>99.209724200976609</v>
      </c>
      <c r="BA65" s="360">
        <f t="shared" si="79"/>
        <v>0.72113224123539132</v>
      </c>
      <c r="BB65" s="360">
        <f t="shared" si="80"/>
        <v>1.4408185214566822</v>
      </c>
      <c r="BC65" s="360">
        <f t="shared" si="81"/>
        <v>1.1786414825657197</v>
      </c>
      <c r="BD65" s="360">
        <f t="shared" si="82"/>
        <v>0.26173153889096257</v>
      </c>
      <c r="BE65" s="360">
        <f t="shared" si="83"/>
        <v>0.62568320941815803</v>
      </c>
      <c r="BK65" s="18"/>
      <c r="BL65" s="19"/>
    </row>
    <row r="66" spans="1:64" ht="13" x14ac:dyDescent="0.3">
      <c r="A66" s="11" t="s">
        <v>77</v>
      </c>
      <c r="B66" s="31"/>
      <c r="C66" s="31"/>
      <c r="G66">
        <v>57</v>
      </c>
      <c r="H66" s="548">
        <f t="shared" si="49"/>
        <v>45</v>
      </c>
      <c r="I66" s="4">
        <f t="shared" si="50"/>
        <v>2</v>
      </c>
      <c r="J66" s="360">
        <f t="shared" si="84"/>
        <v>34.200000000000003</v>
      </c>
      <c r="K66" s="360">
        <f t="shared" si="51"/>
        <v>17.100000000000001</v>
      </c>
      <c r="L66" s="4">
        <f t="shared" si="52"/>
        <v>10.133333333333335</v>
      </c>
      <c r="M66" s="360">
        <f t="shared" si="53"/>
        <v>0.53493812506078253</v>
      </c>
      <c r="N66" s="4">
        <f t="shared" si="54"/>
        <v>5.0929221873059571</v>
      </c>
      <c r="O66" s="4">
        <f t="shared" si="39"/>
        <v>19.646461093652981</v>
      </c>
      <c r="P66" s="4">
        <f t="shared" si="40"/>
        <v>14.553538906347022</v>
      </c>
      <c r="Q66" s="4">
        <f t="shared" si="55"/>
        <v>0</v>
      </c>
      <c r="R66" s="4">
        <f t="shared" si="41"/>
        <v>17.163085038355703</v>
      </c>
      <c r="S66" s="360">
        <f t="shared" si="56"/>
        <v>0.4124000832473611</v>
      </c>
      <c r="T66" s="360">
        <f t="shared" si="57"/>
        <v>0.3</v>
      </c>
      <c r="U66" s="360">
        <f t="shared" si="58"/>
        <v>0.73670547519117113</v>
      </c>
      <c r="V66" s="4">
        <f t="shared" si="42"/>
        <v>1.4701999979014562</v>
      </c>
      <c r="W66" s="360">
        <f t="shared" si="10"/>
        <v>4.3229760676588838E-3</v>
      </c>
      <c r="X66" s="360">
        <f t="shared" si="43"/>
        <v>4.3229760676588838E-3</v>
      </c>
      <c r="Y66" s="4">
        <f t="shared" si="44"/>
        <v>8.5605663755005601</v>
      </c>
      <c r="Z66" s="360">
        <f t="shared" si="11"/>
        <v>0.10992494500402619</v>
      </c>
      <c r="AA66" s="541">
        <f t="shared" si="45"/>
        <v>0.10992494500402619</v>
      </c>
      <c r="AB66" s="360">
        <f t="shared" si="46"/>
        <v>12.552988469092984</v>
      </c>
      <c r="AC66" s="360">
        <f t="shared" si="59"/>
        <v>0.28363953510932655</v>
      </c>
      <c r="AD66" s="360">
        <f t="shared" si="60"/>
        <v>0.43927836206896553</v>
      </c>
      <c r="AE66" s="360">
        <f t="shared" si="61"/>
        <v>0.39600000000000002</v>
      </c>
      <c r="AF66" s="360">
        <f t="shared" si="62"/>
        <v>0</v>
      </c>
      <c r="AG66" s="360">
        <f t="shared" si="63"/>
        <v>1.1693315323148918</v>
      </c>
      <c r="AH66" s="360">
        <f t="shared" si="64"/>
        <v>11.704442256196916</v>
      </c>
      <c r="AI66" s="360">
        <f t="shared" si="65"/>
        <v>0.24658914335156634</v>
      </c>
      <c r="AJ66" s="360">
        <f t="shared" si="66"/>
        <v>0</v>
      </c>
      <c r="AK66" s="360">
        <f t="shared" si="67"/>
        <v>0.25619160162345161</v>
      </c>
      <c r="AL66" s="360">
        <f t="shared" si="68"/>
        <v>7.5841919999999993E-2</v>
      </c>
      <c r="AM66" s="360">
        <f t="shared" si="69"/>
        <v>4.4549999999999999E-2</v>
      </c>
      <c r="AN66" s="360">
        <f t="shared" si="70"/>
        <v>0.64805727367442467</v>
      </c>
      <c r="AO66" s="360">
        <f t="shared" si="71"/>
        <v>1.5749999999999998E-3</v>
      </c>
      <c r="AP66" s="360">
        <f t="shared" si="72"/>
        <v>0.23760000000000001</v>
      </c>
      <c r="AQ66" s="360">
        <f t="shared" si="26"/>
        <v>0.22704000000000002</v>
      </c>
      <c r="AR66" s="360">
        <f t="shared" si="73"/>
        <v>0.2112</v>
      </c>
      <c r="AS66" s="360">
        <f t="shared" si="74"/>
        <v>0.239175</v>
      </c>
      <c r="AT66" s="360">
        <f t="shared" si="75"/>
        <v>3.2841007238756244</v>
      </c>
      <c r="AU66">
        <f t="shared" si="76"/>
        <v>410.40000000000003</v>
      </c>
      <c r="AV66" s="542">
        <f t="shared" si="47"/>
        <v>0.99206133202090918</v>
      </c>
      <c r="AW66" s="551">
        <f t="shared" si="77"/>
        <v>45.551912227965893</v>
      </c>
      <c r="AX66" s="551">
        <f t="shared" si="78"/>
        <v>10.293937861691161</v>
      </c>
      <c r="AY66" s="9"/>
      <c r="AZ66" s="4">
        <f t="shared" si="48"/>
        <v>99.206133202090925</v>
      </c>
      <c r="BA66" s="360">
        <f t="shared" si="79"/>
        <v>0.73670547519117113</v>
      </c>
      <c r="BB66" s="360">
        <f t="shared" si="80"/>
        <v>1.4700731339383435</v>
      </c>
      <c r="BC66" s="360">
        <f t="shared" si="81"/>
        <v>1.1987345323148919</v>
      </c>
      <c r="BD66" s="360">
        <f t="shared" si="82"/>
        <v>0.27089310162345159</v>
      </c>
      <c r="BE66" s="360">
        <f t="shared" si="83"/>
        <v>0.64805727367442467</v>
      </c>
      <c r="BK66" s="18"/>
      <c r="BL66" s="19"/>
    </row>
    <row r="67" spans="1:64" ht="13" x14ac:dyDescent="0.3">
      <c r="A67" s="14" t="s">
        <v>55</v>
      </c>
      <c r="B67" s="15" t="s">
        <v>7</v>
      </c>
      <c r="C67" s="15" t="s">
        <v>76</v>
      </c>
      <c r="G67">
        <v>58</v>
      </c>
      <c r="H67" s="548">
        <f t="shared" si="49"/>
        <v>45</v>
      </c>
      <c r="I67" s="4">
        <f t="shared" si="50"/>
        <v>2</v>
      </c>
      <c r="J67" s="360">
        <f t="shared" si="84"/>
        <v>34.799999999999997</v>
      </c>
      <c r="K67" s="360">
        <f t="shared" si="51"/>
        <v>17.399999999999999</v>
      </c>
      <c r="L67" s="4">
        <f t="shared" si="52"/>
        <v>10.31111111111111</v>
      </c>
      <c r="M67" s="360">
        <f t="shared" si="53"/>
        <v>0.53496625537209674</v>
      </c>
      <c r="N67" s="4">
        <f t="shared" si="54"/>
        <v>5.0929565644158687</v>
      </c>
      <c r="O67" s="4">
        <f t="shared" si="39"/>
        <v>19.946478282207934</v>
      </c>
      <c r="P67" s="4">
        <f t="shared" si="40"/>
        <v>14.853521717792065</v>
      </c>
      <c r="Q67" s="4">
        <f t="shared" si="55"/>
        <v>0</v>
      </c>
      <c r="R67" s="4">
        <f t="shared" si="41"/>
        <v>17.462002096378264</v>
      </c>
      <c r="S67" s="360">
        <f t="shared" si="56"/>
        <v>0.42689012409948646</v>
      </c>
      <c r="T67" s="360">
        <f t="shared" si="57"/>
        <v>0.3</v>
      </c>
      <c r="U67" s="360">
        <f t="shared" si="58"/>
        <v>0.75259205330191381</v>
      </c>
      <c r="V67" s="4">
        <f t="shared" si="42"/>
        <v>1.4702099217182869</v>
      </c>
      <c r="W67" s="360">
        <f t="shared" si="10"/>
        <v>4.3230344278377825E-3</v>
      </c>
      <c r="X67" s="360">
        <f t="shared" si="43"/>
        <v>4.3230344278377825E-3</v>
      </c>
      <c r="Y67" s="4">
        <f t="shared" si="44"/>
        <v>8.7096251561188467</v>
      </c>
      <c r="Z67" s="360">
        <f t="shared" si="11"/>
        <v>0.11378635554014738</v>
      </c>
      <c r="AA67" s="541">
        <f t="shared" si="45"/>
        <v>0.11378635554014738</v>
      </c>
      <c r="AB67" s="360">
        <f t="shared" si="46"/>
        <v>12.771950604598677</v>
      </c>
      <c r="AC67" s="360">
        <f t="shared" si="59"/>
        <v>0.29362090004335534</v>
      </c>
      <c r="AD67" s="360">
        <f t="shared" si="60"/>
        <v>0.44698499999999991</v>
      </c>
      <c r="AE67" s="360">
        <f t="shared" si="61"/>
        <v>0.39600000000000002</v>
      </c>
      <c r="AF67" s="360">
        <f t="shared" si="62"/>
        <v>0</v>
      </c>
      <c r="AG67" s="360">
        <f t="shared" si="63"/>
        <v>1.1897027835615566</v>
      </c>
      <c r="AH67" s="360">
        <f t="shared" si="64"/>
        <v>11.907929919495258</v>
      </c>
      <c r="AI67" s="360">
        <f t="shared" si="65"/>
        <v>0.25523783094169861</v>
      </c>
      <c r="AJ67" s="360">
        <f t="shared" si="66"/>
        <v>0</v>
      </c>
      <c r="AK67" s="360">
        <f t="shared" si="67"/>
        <v>0.26553975103428251</v>
      </c>
      <c r="AL67" s="360">
        <f t="shared" si="68"/>
        <v>7.7172479999999988E-2</v>
      </c>
      <c r="AM67" s="360">
        <f t="shared" si="69"/>
        <v>4.4549999999999999E-2</v>
      </c>
      <c r="AN67" s="360">
        <f t="shared" si="70"/>
        <v>0.67082733787062154</v>
      </c>
      <c r="AO67" s="360">
        <f t="shared" si="71"/>
        <v>1.5749999999999998E-3</v>
      </c>
      <c r="AP67" s="360">
        <f t="shared" si="72"/>
        <v>0.23760000000000001</v>
      </c>
      <c r="AQ67" s="360">
        <f t="shared" si="26"/>
        <v>0.22704000000000002</v>
      </c>
      <c r="AR67" s="360">
        <f t="shared" si="73"/>
        <v>0.2112</v>
      </c>
      <c r="AS67" s="360">
        <f t="shared" si="74"/>
        <v>0.239175</v>
      </c>
      <c r="AT67" s="360">
        <f t="shared" si="75"/>
        <v>3.3576687957363598</v>
      </c>
      <c r="AU67">
        <f t="shared" si="76"/>
        <v>417.59999999999997</v>
      </c>
      <c r="AV67" s="542">
        <f t="shared" si="47"/>
        <v>0.99202373767095897</v>
      </c>
      <c r="AW67" s="551">
        <f t="shared" si="77"/>
        <v>46.326019775339155</v>
      </c>
      <c r="AX67" s="551">
        <f t="shared" si="78"/>
        <v>10.649167539302734</v>
      </c>
      <c r="AY67" s="9"/>
      <c r="AZ67" s="4">
        <f t="shared" si="48"/>
        <v>99.202373767095892</v>
      </c>
      <c r="BA67" s="360">
        <f t="shared" si="79"/>
        <v>0.75259205330191381</v>
      </c>
      <c r="BB67" s="360">
        <f t="shared" si="80"/>
        <v>1.4997925345958392</v>
      </c>
      <c r="BC67" s="360">
        <f t="shared" si="81"/>
        <v>1.2191057835615566</v>
      </c>
      <c r="BD67" s="360">
        <f t="shared" si="82"/>
        <v>0.28024125103428249</v>
      </c>
      <c r="BE67" s="360">
        <f t="shared" si="83"/>
        <v>0.67082733787062154</v>
      </c>
      <c r="BK67" s="18"/>
      <c r="BL67" s="19"/>
    </row>
    <row r="68" spans="1:64" x14ac:dyDescent="0.25">
      <c r="A68" s="32" t="s">
        <v>208</v>
      </c>
      <c r="B68" s="449">
        <f>D1_Vinmin</f>
        <v>0.66666666666666663</v>
      </c>
      <c r="C68" s="21" t="s">
        <v>18</v>
      </c>
      <c r="G68">
        <v>59</v>
      </c>
      <c r="H68" s="548">
        <f t="shared" si="49"/>
        <v>45</v>
      </c>
      <c r="I68" s="4">
        <f t="shared" si="50"/>
        <v>2</v>
      </c>
      <c r="J68" s="360">
        <f t="shared" si="84"/>
        <v>35.4</v>
      </c>
      <c r="K68" s="360">
        <f t="shared" si="51"/>
        <v>17.7</v>
      </c>
      <c r="L68" s="4">
        <f t="shared" si="52"/>
        <v>10.488888888888887</v>
      </c>
      <c r="M68" s="360">
        <f t="shared" si="53"/>
        <v>0.53499438485896866</v>
      </c>
      <c r="N68" s="4">
        <f t="shared" si="54"/>
        <v>5.0929909091272396</v>
      </c>
      <c r="O68" s="4">
        <f t="shared" si="39"/>
        <v>20.246495454563618</v>
      </c>
      <c r="P68" s="4">
        <f t="shared" si="40"/>
        <v>15.15350454543638</v>
      </c>
      <c r="Q68" s="4">
        <f t="shared" si="55"/>
        <v>0</v>
      </c>
      <c r="R68" s="4">
        <f t="shared" si="41"/>
        <v>17.760955671548317</v>
      </c>
      <c r="S68" s="360">
        <f t="shared" si="56"/>
        <v>0.44163216491338603</v>
      </c>
      <c r="T68" s="360">
        <f t="shared" si="57"/>
        <v>0.3</v>
      </c>
      <c r="U68" s="360">
        <f t="shared" si="58"/>
        <v>0.76879410117536329</v>
      </c>
      <c r="V68" s="4">
        <f t="shared" si="42"/>
        <v>1.4702198361824643</v>
      </c>
      <c r="W68" s="360">
        <f t="shared" si="10"/>
        <v>4.3230927334087848E-3</v>
      </c>
      <c r="X68" s="360">
        <f t="shared" si="43"/>
        <v>4.3230927334087848E-3</v>
      </c>
      <c r="Y68" s="4">
        <f t="shared" si="44"/>
        <v>8.8587009447647134</v>
      </c>
      <c r="Z68" s="360">
        <f t="shared" si="11"/>
        <v>0.11771487364316285</v>
      </c>
      <c r="AA68" s="541">
        <f t="shared" si="45"/>
        <v>0.11771487364316285</v>
      </c>
      <c r="AB68" s="360">
        <f t="shared" si="46"/>
        <v>12.990950927521258</v>
      </c>
      <c r="AC68" s="360">
        <f t="shared" si="59"/>
        <v>0.30377665080227778</v>
      </c>
      <c r="AD68" s="360">
        <f t="shared" si="60"/>
        <v>0.45469163793103445</v>
      </c>
      <c r="AE68" s="360">
        <f t="shared" si="61"/>
        <v>0.39600000000000002</v>
      </c>
      <c r="AF68" s="360">
        <f t="shared" si="62"/>
        <v>0</v>
      </c>
      <c r="AG68" s="360">
        <f t="shared" si="63"/>
        <v>1.2103552957949979</v>
      </c>
      <c r="AH68" s="360">
        <f t="shared" si="64"/>
        <v>12.111430153596185</v>
      </c>
      <c r="AI68" s="360">
        <f t="shared" si="65"/>
        <v>0.26403613265779002</v>
      </c>
      <c r="AJ68" s="360">
        <f t="shared" si="66"/>
        <v>0</v>
      </c>
      <c r="AK68" s="360">
        <f t="shared" si="67"/>
        <v>0.27507588868065608</v>
      </c>
      <c r="AL68" s="360">
        <f t="shared" si="68"/>
        <v>7.8503039999999982E-2</v>
      </c>
      <c r="AM68" s="360">
        <f t="shared" si="69"/>
        <v>4.4549999999999999E-2</v>
      </c>
      <c r="AN68" s="360">
        <f t="shared" si="70"/>
        <v>0.69399340200674953</v>
      </c>
      <c r="AO68" s="360">
        <f t="shared" si="71"/>
        <v>1.5749999999999998E-3</v>
      </c>
      <c r="AP68" s="360">
        <f t="shared" si="72"/>
        <v>0.23760000000000001</v>
      </c>
      <c r="AQ68" s="360">
        <f t="shared" si="26"/>
        <v>0.22704000000000002</v>
      </c>
      <c r="AR68" s="360">
        <f t="shared" si="73"/>
        <v>0.2112</v>
      </c>
      <c r="AS68" s="360">
        <f t="shared" si="74"/>
        <v>0.239175</v>
      </c>
      <c r="AT68" s="360">
        <f t="shared" si="75"/>
        <v>3.4324846940343385</v>
      </c>
      <c r="AU68">
        <f t="shared" si="76"/>
        <v>424.79999999999995</v>
      </c>
      <c r="AV68" s="542">
        <f t="shared" si="47"/>
        <v>0.99198452986002039</v>
      </c>
      <c r="AW68" s="551">
        <f t="shared" si="77"/>
        <v>47.110815240209924</v>
      </c>
      <c r="AX68" s="551">
        <f t="shared" si="78"/>
        <v>11.011540769864929</v>
      </c>
      <c r="AY68" s="9"/>
      <c r="AZ68" s="4">
        <f t="shared" si="48"/>
        <v>99.198452986002039</v>
      </c>
      <c r="BA68" s="360">
        <f t="shared" si="79"/>
        <v>0.76879410117536329</v>
      </c>
      <c r="BB68" s="360">
        <f t="shared" si="80"/>
        <v>1.5299811844756541</v>
      </c>
      <c r="BC68" s="360">
        <f t="shared" si="81"/>
        <v>1.239758295794998</v>
      </c>
      <c r="BD68" s="360">
        <f t="shared" si="82"/>
        <v>0.28977738868065606</v>
      </c>
      <c r="BE68" s="360">
        <f t="shared" si="83"/>
        <v>0.69399340200674953</v>
      </c>
      <c r="BK68" s="18"/>
      <c r="BL68" s="19"/>
    </row>
    <row r="69" spans="1:64" x14ac:dyDescent="0.25">
      <c r="A69" s="23" t="s">
        <v>78</v>
      </c>
      <c r="B69" s="449">
        <f>1-B68</f>
        <v>0.33333333333333337</v>
      </c>
      <c r="C69" s="21" t="s">
        <v>18</v>
      </c>
      <c r="G69">
        <v>60</v>
      </c>
      <c r="H69" s="548">
        <f t="shared" si="49"/>
        <v>45</v>
      </c>
      <c r="I69" s="4">
        <f t="shared" si="50"/>
        <v>2</v>
      </c>
      <c r="J69" s="360">
        <f t="shared" si="84"/>
        <v>36</v>
      </c>
      <c r="K69" s="360">
        <f t="shared" si="51"/>
        <v>18</v>
      </c>
      <c r="L69" s="4">
        <f t="shared" si="52"/>
        <v>10.666666666666666</v>
      </c>
      <c r="M69" s="360">
        <f t="shared" si="53"/>
        <v>0.53502251352143448</v>
      </c>
      <c r="N69" s="4">
        <f t="shared" si="54"/>
        <v>5.0930252214414944</v>
      </c>
      <c r="O69" s="4">
        <f t="shared" si="39"/>
        <v>20.546512610720747</v>
      </c>
      <c r="P69" s="4">
        <f t="shared" si="40"/>
        <v>15.453487389279253</v>
      </c>
      <c r="Q69" s="4">
        <f t="shared" si="55"/>
        <v>0</v>
      </c>
      <c r="R69" s="4">
        <f t="shared" si="41"/>
        <v>18.059943950416528</v>
      </c>
      <c r="S69" s="360">
        <f t="shared" si="56"/>
        <v>0.45662620568906115</v>
      </c>
      <c r="T69" s="360">
        <f t="shared" si="57"/>
        <v>0.3</v>
      </c>
      <c r="U69" s="360">
        <f t="shared" si="58"/>
        <v>0.78531379434398718</v>
      </c>
      <c r="V69" s="4">
        <f t="shared" si="42"/>
        <v>1.4702297412944001</v>
      </c>
      <c r="W69" s="360">
        <f t="shared" si="10"/>
        <v>4.3231509843731971E-3</v>
      </c>
      <c r="X69" s="360">
        <f t="shared" si="43"/>
        <v>4.3231509843731971E-3</v>
      </c>
      <c r="Y69" s="4">
        <f t="shared" si="44"/>
        <v>9.0077928353485923</v>
      </c>
      <c r="Z69" s="360">
        <f t="shared" si="11"/>
        <v>0.12171049764683615</v>
      </c>
      <c r="AA69" s="541">
        <f t="shared" si="45"/>
        <v>0.12171049764683615</v>
      </c>
      <c r="AB69" s="360">
        <f t="shared" si="46"/>
        <v>13.209988112558648</v>
      </c>
      <c r="AC69" s="360">
        <f t="shared" si="59"/>
        <v>0.31410681468109342</v>
      </c>
      <c r="AD69" s="360">
        <f t="shared" si="60"/>
        <v>0.46239827586206894</v>
      </c>
      <c r="AE69" s="360">
        <f t="shared" si="61"/>
        <v>0.39600000000000002</v>
      </c>
      <c r="AF69" s="360">
        <f t="shared" si="62"/>
        <v>0</v>
      </c>
      <c r="AG69" s="360">
        <f t="shared" si="63"/>
        <v>1.231292195502764</v>
      </c>
      <c r="AH69" s="360">
        <f t="shared" si="64"/>
        <v>12.314941719644709</v>
      </c>
      <c r="AI69" s="360">
        <f t="shared" si="65"/>
        <v>0.27298402120484239</v>
      </c>
      <c r="AJ69" s="360">
        <f t="shared" si="66"/>
        <v>0</v>
      </c>
      <c r="AK69" s="360">
        <f t="shared" si="67"/>
        <v>0.28480145047456101</v>
      </c>
      <c r="AL69" s="360">
        <f t="shared" si="68"/>
        <v>7.9833599999999991E-2</v>
      </c>
      <c r="AM69" s="360">
        <f t="shared" si="69"/>
        <v>4.4549999999999999E-2</v>
      </c>
      <c r="AN69" s="360">
        <f t="shared" si="70"/>
        <v>0.71755546608281051</v>
      </c>
      <c r="AO69" s="360">
        <f t="shared" si="71"/>
        <v>1.5749999999999998E-3</v>
      </c>
      <c r="AP69" s="360">
        <f t="shared" si="72"/>
        <v>0.23760000000000001</v>
      </c>
      <c r="AQ69" s="360">
        <f t="shared" si="26"/>
        <v>0.22704000000000002</v>
      </c>
      <c r="AR69" s="360">
        <f t="shared" si="73"/>
        <v>0.2112</v>
      </c>
      <c r="AS69" s="360">
        <f t="shared" si="74"/>
        <v>0.239175</v>
      </c>
      <c r="AT69" s="360">
        <f t="shared" si="75"/>
        <v>3.5085551550353324</v>
      </c>
      <c r="AU69">
        <f t="shared" si="76"/>
        <v>432</v>
      </c>
      <c r="AV69" s="542">
        <f t="shared" si="47"/>
        <v>0.99194377443679305</v>
      </c>
      <c r="AW69" s="551">
        <f t="shared" si="77"/>
        <v>47.906417429105034</v>
      </c>
      <c r="AX69" s="551">
        <f t="shared" si="78"/>
        <v>11.381112118033318</v>
      </c>
      <c r="AY69" s="9"/>
      <c r="AZ69" s="4">
        <f t="shared" si="48"/>
        <v>99.194377443679301</v>
      </c>
      <c r="BA69" s="360">
        <f t="shared" si="79"/>
        <v>0.78531379434398718</v>
      </c>
      <c r="BB69" s="360">
        <f t="shared" si="80"/>
        <v>1.5606436459773252</v>
      </c>
      <c r="BC69" s="360">
        <f t="shared" si="81"/>
        <v>1.2606951955027641</v>
      </c>
      <c r="BD69" s="360">
        <f t="shared" si="82"/>
        <v>0.29950295047456099</v>
      </c>
      <c r="BE69" s="360">
        <f t="shared" si="83"/>
        <v>0.71755546608281051</v>
      </c>
      <c r="BK69" s="18"/>
      <c r="BL69" s="19"/>
    </row>
    <row r="70" spans="1:64" x14ac:dyDescent="0.25">
      <c r="A70" s="33" t="s">
        <v>209</v>
      </c>
      <c r="B70" s="449">
        <f>Iripple_Vinnom</f>
        <v>5.1063288994323468</v>
      </c>
      <c r="C70" s="21" t="s">
        <v>1</v>
      </c>
      <c r="G70">
        <v>61</v>
      </c>
      <c r="H70" s="548">
        <f t="shared" si="49"/>
        <v>45</v>
      </c>
      <c r="I70" s="4">
        <f t="shared" si="50"/>
        <v>2</v>
      </c>
      <c r="J70" s="360">
        <f t="shared" si="84"/>
        <v>36.6</v>
      </c>
      <c r="K70" s="360">
        <f t="shared" si="51"/>
        <v>18.3</v>
      </c>
      <c r="L70" s="4">
        <f t="shared" si="52"/>
        <v>10.844444444444445</v>
      </c>
      <c r="M70" s="360">
        <f t="shared" si="53"/>
        <v>0.53505064135953029</v>
      </c>
      <c r="N70" s="4">
        <f t="shared" si="54"/>
        <v>5.093059501360055</v>
      </c>
      <c r="O70" s="4">
        <f t="shared" si="39"/>
        <v>20.846529750680027</v>
      </c>
      <c r="P70" s="4">
        <f t="shared" si="40"/>
        <v>15.753470249319973</v>
      </c>
      <c r="Q70" s="4">
        <f t="shared" si="55"/>
        <v>0</v>
      </c>
      <c r="R70" s="4">
        <f t="shared" si="41"/>
        <v>18.358965237462765</v>
      </c>
      <c r="S70" s="360">
        <f t="shared" si="56"/>
        <v>0.47187224642651276</v>
      </c>
      <c r="T70" s="360">
        <f t="shared" si="57"/>
        <v>0.3</v>
      </c>
      <c r="U70" s="360">
        <f t="shared" si="58"/>
        <v>0.80215335902671348</v>
      </c>
      <c r="V70" s="4">
        <f t="shared" si="42"/>
        <v>1.4702396370545046</v>
      </c>
      <c r="W70" s="360">
        <f t="shared" si="10"/>
        <v>4.3232091807323229E-3</v>
      </c>
      <c r="X70" s="360">
        <f t="shared" si="43"/>
        <v>4.3232091807323229E-3</v>
      </c>
      <c r="Y70" s="4">
        <f t="shared" si="44"/>
        <v>9.1568999806145861</v>
      </c>
      <c r="Z70" s="360">
        <f t="shared" si="11"/>
        <v>0.12577322588246911</v>
      </c>
      <c r="AA70" s="541">
        <f t="shared" si="45"/>
        <v>0.12577322588246911</v>
      </c>
      <c r="AB70" s="360">
        <f t="shared" si="46"/>
        <v>13.429060920531052</v>
      </c>
      <c r="AC70" s="360">
        <f t="shared" si="59"/>
        <v>0.32461141897320178</v>
      </c>
      <c r="AD70" s="360">
        <f t="shared" si="60"/>
        <v>0.47010491379310343</v>
      </c>
      <c r="AE70" s="360">
        <f t="shared" si="61"/>
        <v>0.39600000000000002</v>
      </c>
      <c r="AF70" s="360">
        <f t="shared" si="62"/>
        <v>0</v>
      </c>
      <c r="AG70" s="360">
        <f t="shared" si="63"/>
        <v>1.2525166775987508</v>
      </c>
      <c r="AH70" s="360">
        <f t="shared" si="64"/>
        <v>12.518463459348036</v>
      </c>
      <c r="AI70" s="360">
        <f t="shared" si="65"/>
        <v>0.2820814692894576</v>
      </c>
      <c r="AJ70" s="360">
        <f t="shared" si="66"/>
        <v>0</v>
      </c>
      <c r="AK70" s="360">
        <f t="shared" si="67"/>
        <v>0.29471790725575969</v>
      </c>
      <c r="AL70" s="360">
        <f t="shared" si="68"/>
        <v>8.1164159999999985E-2</v>
      </c>
      <c r="AM70" s="360">
        <f t="shared" si="69"/>
        <v>4.4549999999999999E-2</v>
      </c>
      <c r="AN70" s="360">
        <f t="shared" si="70"/>
        <v>0.74151353009880583</v>
      </c>
      <c r="AO70" s="360">
        <f t="shared" si="71"/>
        <v>1.5749999999999998E-3</v>
      </c>
      <c r="AP70" s="360">
        <f t="shared" si="72"/>
        <v>0.23760000000000001</v>
      </c>
      <c r="AQ70" s="360">
        <f t="shared" si="26"/>
        <v>0.22704000000000002</v>
      </c>
      <c r="AR70" s="360">
        <f t="shared" si="73"/>
        <v>0.2112</v>
      </c>
      <c r="AS70" s="360">
        <f t="shared" si="74"/>
        <v>0.239175</v>
      </c>
      <c r="AT70" s="360">
        <f t="shared" si="75"/>
        <v>3.5858870690432312</v>
      </c>
      <c r="AU70">
        <f t="shared" si="76"/>
        <v>439.20000000000005</v>
      </c>
      <c r="AV70" s="542">
        <f t="shared" si="47"/>
        <v>0.99190153260579406</v>
      </c>
      <c r="AW70" s="551">
        <f t="shared" si="77"/>
        <v>48.712947748752534</v>
      </c>
      <c r="AX70" s="551">
        <f t="shared" si="78"/>
        <v>11.757937475718867</v>
      </c>
      <c r="AY70" s="9"/>
      <c r="AZ70" s="4">
        <f t="shared" si="48"/>
        <v>99.190153260579407</v>
      </c>
      <c r="BA70" s="360">
        <f t="shared" si="79"/>
        <v>0.80215335902671348</v>
      </c>
      <c r="BB70" s="360">
        <f t="shared" si="80"/>
        <v>1.5917845848545107</v>
      </c>
      <c r="BC70" s="360">
        <f t="shared" si="81"/>
        <v>1.2819196775987509</v>
      </c>
      <c r="BD70" s="360">
        <f t="shared" si="82"/>
        <v>0.30941940725575967</v>
      </c>
      <c r="BE70" s="360">
        <f t="shared" si="83"/>
        <v>0.74151353009880583</v>
      </c>
      <c r="BK70" s="18"/>
      <c r="BL70" s="19"/>
    </row>
    <row r="71" spans="1:64" ht="13" x14ac:dyDescent="0.3">
      <c r="A71" s="14" t="s">
        <v>59</v>
      </c>
      <c r="B71" s="15" t="s">
        <v>7</v>
      </c>
      <c r="C71" s="17" t="s">
        <v>76</v>
      </c>
      <c r="G71">
        <v>62</v>
      </c>
      <c r="H71" s="548">
        <f t="shared" si="49"/>
        <v>45</v>
      </c>
      <c r="I71" s="4">
        <f t="shared" si="50"/>
        <v>2</v>
      </c>
      <c r="J71" s="360">
        <f t="shared" si="84"/>
        <v>37.200000000000003</v>
      </c>
      <c r="K71" s="360">
        <f t="shared" si="51"/>
        <v>18.600000000000001</v>
      </c>
      <c r="L71" s="4">
        <f t="shared" si="52"/>
        <v>11.022222222222224</v>
      </c>
      <c r="M71" s="360">
        <f t="shared" si="53"/>
        <v>0.53507876837329249</v>
      </c>
      <c r="N71" s="4">
        <f t="shared" si="54"/>
        <v>5.0930937488843471</v>
      </c>
      <c r="O71" s="4">
        <f t="shared" si="39"/>
        <v>21.146546874442176</v>
      </c>
      <c r="P71" s="4">
        <f t="shared" si="40"/>
        <v>16.053453125557827</v>
      </c>
      <c r="Q71" s="4">
        <f t="shared" si="55"/>
        <v>0</v>
      </c>
      <c r="R71" s="4">
        <f t="shared" si="41"/>
        <v>18.65801794567804</v>
      </c>
      <c r="S71" s="360">
        <f t="shared" si="56"/>
        <v>0.48737028712574126</v>
      </c>
      <c r="T71" s="360">
        <f t="shared" si="57"/>
        <v>0.3</v>
      </c>
      <c r="U71" s="360">
        <f t="shared" si="58"/>
        <v>0.81931507291227768</v>
      </c>
      <c r="V71" s="4">
        <f t="shared" si="42"/>
        <v>1.4702495234631892</v>
      </c>
      <c r="W71" s="360">
        <f t="shared" si="10"/>
        <v>4.3232673224874703E-3</v>
      </c>
      <c r="X71" s="360">
        <f t="shared" si="43"/>
        <v>4.3232673224874703E-3</v>
      </c>
      <c r="Y71" s="4">
        <f t="shared" si="44"/>
        <v>9.306021587441915</v>
      </c>
      <c r="Z71" s="360">
        <f t="shared" si="11"/>
        <v>0.12990305667890242</v>
      </c>
      <c r="AA71" s="541">
        <f t="shared" si="45"/>
        <v>0.12990305667890242</v>
      </c>
      <c r="AB71" s="360">
        <f t="shared" si="46"/>
        <v>13.648168191503094</v>
      </c>
      <c r="AC71" s="360">
        <f t="shared" si="59"/>
        <v>0.33529049097040231</v>
      </c>
      <c r="AD71" s="360">
        <f t="shared" si="60"/>
        <v>0.47781155172413797</v>
      </c>
      <c r="AE71" s="360">
        <f t="shared" si="61"/>
        <v>0.39600000000000002</v>
      </c>
      <c r="AF71" s="360">
        <f t="shared" si="62"/>
        <v>0</v>
      </c>
      <c r="AG71" s="360">
        <f t="shared" si="63"/>
        <v>1.2740320068942865</v>
      </c>
      <c r="AH71" s="360">
        <f t="shared" si="64"/>
        <v>12.721994288541673</v>
      </c>
      <c r="AI71" s="360">
        <f t="shared" si="65"/>
        <v>0.2913284496198365</v>
      </c>
      <c r="AJ71" s="360">
        <f t="shared" si="66"/>
        <v>0</v>
      </c>
      <c r="AK71" s="360">
        <f t="shared" si="67"/>
        <v>0.30482676538196274</v>
      </c>
      <c r="AL71" s="360">
        <f t="shared" si="68"/>
        <v>8.2494719999999994E-2</v>
      </c>
      <c r="AM71" s="360">
        <f t="shared" si="69"/>
        <v>4.4549999999999999E-2</v>
      </c>
      <c r="AN71" s="360">
        <f t="shared" si="70"/>
        <v>0.76586759405473637</v>
      </c>
      <c r="AO71" s="360">
        <f t="shared" si="71"/>
        <v>1.5749999999999998E-3</v>
      </c>
      <c r="AP71" s="360">
        <f t="shared" si="72"/>
        <v>0.23760000000000001</v>
      </c>
      <c r="AQ71" s="360">
        <f t="shared" si="26"/>
        <v>0.22704000000000002</v>
      </c>
      <c r="AR71" s="360">
        <f t="shared" si="73"/>
        <v>0.2112</v>
      </c>
      <c r="AS71" s="360">
        <f t="shared" si="74"/>
        <v>0.239175</v>
      </c>
      <c r="AT71" s="360">
        <f t="shared" si="75"/>
        <v>3.6644874832446535</v>
      </c>
      <c r="AU71">
        <f t="shared" si="76"/>
        <v>446.40000000000003</v>
      </c>
      <c r="AV71" s="542">
        <f t="shared" si="47"/>
        <v>0.99185786129508591</v>
      </c>
      <c r="AW71" s="551">
        <f t="shared" si="77"/>
        <v>49.530530261982889</v>
      </c>
      <c r="AX71" s="551">
        <f t="shared" si="78"/>
        <v>12.142074084514583</v>
      </c>
      <c r="AY71" s="9"/>
      <c r="AZ71" s="4">
        <f t="shared" si="48"/>
        <v>99.185786129508585</v>
      </c>
      <c r="BA71" s="360">
        <f t="shared" si="79"/>
        <v>0.81931507291227768</v>
      </c>
      <c r="BB71" s="360">
        <f t="shared" si="80"/>
        <v>1.6234087722762494</v>
      </c>
      <c r="BC71" s="360">
        <f t="shared" si="81"/>
        <v>1.3034350068942866</v>
      </c>
      <c r="BD71" s="360">
        <f t="shared" si="82"/>
        <v>0.31952826538196272</v>
      </c>
      <c r="BE71" s="360">
        <f t="shared" si="83"/>
        <v>0.76586759405473637</v>
      </c>
      <c r="BK71" s="18"/>
      <c r="BL71" s="19"/>
    </row>
    <row r="72" spans="1:64" x14ac:dyDescent="0.25">
      <c r="A72" s="32" t="s">
        <v>88</v>
      </c>
      <c r="B72" s="450">
        <f>(Qgd_Q1+Qgs_Q1/2)*(RdsonDRT+Rgate1)/(VCC-Vsp_Q1)*1000000000</f>
        <v>3.4999999999999996</v>
      </c>
      <c r="C72" s="21" t="s">
        <v>75</v>
      </c>
      <c r="D72" s="114" t="s">
        <v>508</v>
      </c>
      <c r="G72">
        <v>63</v>
      </c>
      <c r="H72" s="548">
        <f t="shared" si="49"/>
        <v>45</v>
      </c>
      <c r="I72" s="4">
        <f t="shared" si="50"/>
        <v>2</v>
      </c>
      <c r="J72" s="360">
        <f t="shared" si="84"/>
        <v>37.799999999999997</v>
      </c>
      <c r="K72" s="360">
        <f t="shared" si="51"/>
        <v>18.899999999999999</v>
      </c>
      <c r="L72" s="4">
        <f t="shared" si="52"/>
        <v>11.2</v>
      </c>
      <c r="M72" s="360">
        <f t="shared" si="53"/>
        <v>0.5351068945627574</v>
      </c>
      <c r="N72" s="4">
        <f t="shared" si="54"/>
        <v>5.0931279640157952</v>
      </c>
      <c r="O72" s="4">
        <f t="shared" si="39"/>
        <v>21.446563982007895</v>
      </c>
      <c r="P72" s="4">
        <f t="shared" si="40"/>
        <v>16.353436017992102</v>
      </c>
      <c r="Q72" s="4">
        <f t="shared" si="55"/>
        <v>0</v>
      </c>
      <c r="R72" s="4">
        <f t="shared" si="41"/>
        <v>18.957100588033494</v>
      </c>
      <c r="S72" s="360">
        <f t="shared" si="56"/>
        <v>0.50312032778674776</v>
      </c>
      <c r="T72" s="360">
        <f t="shared" si="57"/>
        <v>0.3</v>
      </c>
      <c r="U72" s="360">
        <f t="shared" si="58"/>
        <v>0.83680126596471027</v>
      </c>
      <c r="V72" s="4">
        <f t="shared" si="42"/>
        <v>1.4702594005208651</v>
      </c>
      <c r="W72" s="360">
        <f t="shared" si="10"/>
        <v>4.3233254096399472E-3</v>
      </c>
      <c r="X72" s="360">
        <f t="shared" si="43"/>
        <v>4.3233254096399472E-3</v>
      </c>
      <c r="Y72" s="4">
        <f t="shared" si="44"/>
        <v>9.4551569125888886</v>
      </c>
      <c r="Z72" s="360">
        <f t="shared" si="11"/>
        <v>0.13409998836251616</v>
      </c>
      <c r="AA72" s="541">
        <f t="shared" si="45"/>
        <v>0.13409998836251616</v>
      </c>
      <c r="AB72" s="360">
        <f t="shared" si="46"/>
        <v>13.867308838553745</v>
      </c>
      <c r="AC72" s="360">
        <f t="shared" si="59"/>
        <v>0.34614405796289544</v>
      </c>
      <c r="AD72" s="360">
        <f t="shared" si="60"/>
        <v>0.48551818965517229</v>
      </c>
      <c r="AE72" s="360">
        <f t="shared" si="61"/>
        <v>0.39600000000000002</v>
      </c>
      <c r="AF72" s="360">
        <f t="shared" si="62"/>
        <v>0</v>
      </c>
      <c r="AG72" s="360">
        <f t="shared" si="63"/>
        <v>1.2958415196135977</v>
      </c>
      <c r="AH72" s="360">
        <f t="shared" si="64"/>
        <v>12.925533191361547</v>
      </c>
      <c r="AI72" s="360">
        <f t="shared" si="65"/>
        <v>0.30072493490578023</v>
      </c>
      <c r="AJ72" s="360">
        <f t="shared" si="66"/>
        <v>0</v>
      </c>
      <c r="AK72" s="360">
        <f t="shared" si="67"/>
        <v>0.31512956733665914</v>
      </c>
      <c r="AL72" s="360">
        <f t="shared" si="68"/>
        <v>8.3825279999999988E-2</v>
      </c>
      <c r="AM72" s="360">
        <f t="shared" si="69"/>
        <v>4.4549999999999999E-2</v>
      </c>
      <c r="AN72" s="360">
        <f t="shared" si="70"/>
        <v>0.79061765795060379</v>
      </c>
      <c r="AO72" s="360">
        <f t="shared" si="71"/>
        <v>1.5749999999999998E-3</v>
      </c>
      <c r="AP72" s="360">
        <f t="shared" si="72"/>
        <v>0.23760000000000001</v>
      </c>
      <c r="AQ72" s="360">
        <f t="shared" si="26"/>
        <v>0.22704000000000002</v>
      </c>
      <c r="AR72" s="360">
        <f t="shared" si="73"/>
        <v>0.2112</v>
      </c>
      <c r="AS72" s="360">
        <f t="shared" si="74"/>
        <v>0.239175</v>
      </c>
      <c r="AT72" s="360">
        <f t="shared" si="75"/>
        <v>3.7443636046377273</v>
      </c>
      <c r="AU72">
        <f t="shared" si="76"/>
        <v>453.59999999999997</v>
      </c>
      <c r="AV72" s="542">
        <f t="shared" si="47"/>
        <v>0.99181281348888639</v>
      </c>
      <c r="AW72" s="551">
        <f t="shared" si="77"/>
        <v>50.359291745316717</v>
      </c>
      <c r="AX72" s="551">
        <f t="shared" si="78"/>
        <v>12.533580558793046</v>
      </c>
      <c r="AY72" s="9"/>
      <c r="AZ72" s="4">
        <f t="shared" si="48"/>
        <v>99.181281348888632</v>
      </c>
      <c r="BA72" s="360">
        <f t="shared" si="79"/>
        <v>0.83680126596471027</v>
      </c>
      <c r="BB72" s="360">
        <f t="shared" si="80"/>
        <v>1.655521086950257</v>
      </c>
      <c r="BC72" s="360">
        <f t="shared" si="81"/>
        <v>1.3252445196135978</v>
      </c>
      <c r="BD72" s="360">
        <f t="shared" si="82"/>
        <v>0.32983106733665912</v>
      </c>
      <c r="BE72" s="360">
        <f t="shared" si="83"/>
        <v>0.79061765795060379</v>
      </c>
      <c r="BK72" s="18"/>
      <c r="BL72" s="19"/>
    </row>
    <row r="73" spans="1:64" x14ac:dyDescent="0.25">
      <c r="A73" s="33" t="s">
        <v>89</v>
      </c>
      <c r="B73" s="450">
        <f>(Qgd_Q1+Qgs_Q1/2)*(RdsonDRT2+Rgate1)/(Vsp_Q1)*1000000000</f>
        <v>1.6896551724137931</v>
      </c>
      <c r="C73" s="21" t="s">
        <v>75</v>
      </c>
      <c r="D73" s="114" t="s">
        <v>509</v>
      </c>
      <c r="G73">
        <v>64</v>
      </c>
      <c r="H73" s="548">
        <f t="shared" ref="H73:H109" si="85">Vin</f>
        <v>45</v>
      </c>
      <c r="I73" s="4">
        <f t="shared" ref="I73:I109" si="86">MODE</f>
        <v>2</v>
      </c>
      <c r="J73" s="360">
        <f t="shared" si="84"/>
        <v>38.4</v>
      </c>
      <c r="K73" s="360">
        <f t="shared" ref="K73:K109" si="87">Iout*G73/100/Number_of_Phases</f>
        <v>19.2</v>
      </c>
      <c r="L73" s="4">
        <f t="shared" ref="L73:L104" si="88">Vout*K73/(Vin*Efficiency)</f>
        <v>11.377777777777776</v>
      </c>
      <c r="M73" s="360">
        <f t="shared" ref="M73:M109" si="89">(Vout+(Rdson2+Rs+Rdcr)*K73)/(Vin+(Rs+Rdson2-Rdson1)*K73)</f>
        <v>0.53513501992796098</v>
      </c>
      <c r="N73" s="4">
        <f t="shared" ref="N73:N104" si="90">(Vin-(Rdson1+Rdcr)*K73-Vout)*M73/(Fsw*Lf)</f>
        <v>5.0931621467558212</v>
      </c>
      <c r="O73" s="4">
        <f t="shared" si="39"/>
        <v>21.746581073377911</v>
      </c>
      <c r="P73" s="4">
        <f t="shared" si="40"/>
        <v>16.653418926622088</v>
      </c>
      <c r="Q73" s="4">
        <f t="shared" ref="Q73:Q104" si="91">IF(MIN(Vin, -P73/(Coss_Q1+Coss_Q2)*0.00000002)&lt;0, 0, MIN(Vin, -P73/(Coss_Q1+Coss_Q2)*0.00000002))</f>
        <v>0</v>
      </c>
      <c r="R73" s="4">
        <f t="shared" si="41"/>
        <v>19.256211769740577</v>
      </c>
      <c r="S73" s="360">
        <f t="shared" ref="S73:S104" si="92">R73^2*Rdcr</f>
        <v>0.51912236840953374</v>
      </c>
      <c r="T73" s="360">
        <f t="shared" ref="T73:T109" si="93">Core_Loss_Ch1</f>
        <v>0.3</v>
      </c>
      <c r="U73" s="360">
        <f t="shared" ref="U73:U104" si="94">(T73+S73*(1+Ltc*(Ta-25)))/(1-S73*Ltc*ThetaCa)</f>
        <v>0.85461432125151715</v>
      </c>
      <c r="V73" s="4">
        <f t="shared" si="42"/>
        <v>1.4702692682279428</v>
      </c>
      <c r="W73" s="360">
        <f t="shared" si="10"/>
        <v>4.3233834421910608E-3</v>
      </c>
      <c r="X73" s="360">
        <f t="shared" si="43"/>
        <v>4.3233834421910608E-3</v>
      </c>
      <c r="Y73" s="4">
        <f t="shared" si="44"/>
        <v>9.6043052588315927</v>
      </c>
      <c r="Z73" s="360">
        <f t="shared" si="11"/>
        <v>0.1383640192572303</v>
      </c>
      <c r="AA73" s="541">
        <f t="shared" si="45"/>
        <v>0.1383640192572303</v>
      </c>
      <c r="AB73" s="360">
        <f t="shared" si="46"/>
        <v>14.086481842124034</v>
      </c>
      <c r="AC73" s="360">
        <f t="shared" ref="AC73:AC104" si="95">Rdson1*AB73^2</f>
        <v>0.35717214723928215</v>
      </c>
      <c r="AD73" s="360">
        <f t="shared" ref="AD73:AD109" si="96">(Vin*K73/2)*Fsw*(Tr_buck+Tf_buck)</f>
        <v>0.49322482758620684</v>
      </c>
      <c r="AE73" s="360">
        <f t="shared" ref="AE73:AE109" si="97">(0.5*Coss_Q1*(Vin-Q73)^2-0.5*Coss_Q2*(Vin-Q73)^2+(Qoss_Q2*(Vin-Q73)/Vin)*Vin)*Fsw</f>
        <v>0.39600000000000002</v>
      </c>
      <c r="AF73" s="360">
        <f t="shared" ref="AF73:AF109" si="98">IF(K73&gt;N73/2,0,ABS(K73-N73/2)*Vsd_Q1*Deadtime*Fsw)</f>
        <v>0</v>
      </c>
      <c r="AG73" s="360">
        <f t="shared" ref="AG73:AG104" si="99">(AF73+AE73+AD73+AC73*(1+RdsonTopTc*Ta-RdsonTopTc*25))/(1-AC73*RdsonTopTc*ThetaJA_Q1)</f>
        <v>1.3179486249550814</v>
      </c>
      <c r="AH73" s="360">
        <f t="shared" ref="AH73:AH109" si="100">SQRT((1-M73))*SQRT(K73^2+(N73^2)/12)</f>
        <v>13.129079214956601</v>
      </c>
      <c r="AI73" s="360">
        <f t="shared" ref="AI73:AI104" si="101">Rdson2*AH73^2</f>
        <v>0.31027089785868978</v>
      </c>
      <c r="AJ73" s="360">
        <f t="shared" ref="AJ73:AJ109" si="102">IF(K73&lt;N73/2,Deadtime*Fsw*IF(VfdSky_Q2&gt;0,0,Vsd_Q2)*(K73+N73/2),2*Deadtime*Fsw*IF(VfdSky_Q2&gt;0,0,Vsd_Q2)*K73)</f>
        <v>0</v>
      </c>
      <c r="AK73" s="360">
        <f t="shared" ref="AK73:AK104" si="103">(AJ73+AI73*(1+RdsonBotTc*Ta-RdsonBotTc*25))/(1-AI73*RdsonBotTc*ThetaJA_Q2)</f>
        <v>0.32562789235507372</v>
      </c>
      <c r="AL73" s="360">
        <f t="shared" ref="AL73:AL109" si="104">2*Deadtime*Fsw*IF(VfdSky_Q2&gt;0,VfdSky_Q2,Vsd_Q2)*K73</f>
        <v>8.5155839999999983E-2</v>
      </c>
      <c r="AM73" s="360">
        <f t="shared" ref="AM73:AM109" si="105">IF(QrrSky_Q2&gt;0,QrrSky_Q2,Qrr_Q2*K73/(Iout/Number_of_Phases))*Fsw*Vin</f>
        <v>4.4549999999999999E-2</v>
      </c>
      <c r="AN73" s="360">
        <f t="shared" ref="AN73:AN109" si="106">CHOOSE(SENSING_TYPE, Rs*R73^2, 0)</f>
        <v>0.81576372178641021</v>
      </c>
      <c r="AO73" s="360">
        <f t="shared" ref="AO73:AO109" si="107">Iq*Vin</f>
        <v>1.5749999999999998E-3</v>
      </c>
      <c r="AP73" s="360">
        <f t="shared" ref="AP73:AP109" si="108">IF(Ext_VCC=1,  (Qg_Q1+Qg_Q2)*Fsw*VCC, (Qg_Q1+Qg_Q2)*Fsw*Vin)</f>
        <v>0.23760000000000001</v>
      </c>
      <c r="AQ73" s="360">
        <f t="shared" ref="AQ73:AQ109" si="109">(Vin-VCC)*Fsw*(Qg_Q1+Qg_Q2)+(RdsonDRT+RdsonDRT2)*Fsw*Qg_Q1*VCC/(RdsonDRT+2*Rgate1+RdsonDRT2)+(RdsonDRB+RdsonDRB2)*Fsw*Qg_Q2*VCC/(RdsonDRB+2*Rgate2+RdsonDRB2)</f>
        <v>0.22704000000000002</v>
      </c>
      <c r="AR73" s="360">
        <f t="shared" ref="AR73:AR109" si="110">(Qg_Q1+Qg_Q2)*Fsw*(Vin-VCC)</f>
        <v>0.2112</v>
      </c>
      <c r="AS73" s="360">
        <f t="shared" si="74"/>
        <v>0.239175</v>
      </c>
      <c r="AT73" s="360">
        <f t="shared" ref="AT73:AT104" si="111" xml:space="preserve"> SUM(U73,X73,AA73,AG73,AK73,AL73,AM73,AS73,AN73)</f>
        <v>3.8255228030475039</v>
      </c>
      <c r="AU73">
        <f t="shared" ref="AU73:AU109" si="112">Vout*K73</f>
        <v>460.79999999999995</v>
      </c>
      <c r="AV73" s="542">
        <f t="shared" si="47"/>
        <v>0.9917664385288858</v>
      </c>
      <c r="AW73" s="551">
        <f t="shared" ref="AW73:AW109" si="113">ThetaJA_Q1*BC73</f>
        <v>51.199361748293093</v>
      </c>
      <c r="AX73" s="551">
        <f t="shared" ref="AX73:AX109" si="114">ThetaJA_Q2*BD73</f>
        <v>12.932516909492801</v>
      </c>
      <c r="AY73" s="9"/>
      <c r="AZ73" s="4">
        <f t="shared" si="48"/>
        <v>99.176643852888574</v>
      </c>
      <c r="BA73" s="360">
        <f t="shared" ref="BA73:BA109" si="115">U73</f>
        <v>0.85461432125151715</v>
      </c>
      <c r="BB73" s="360">
        <f t="shared" si="80"/>
        <v>1.6881265173101552</v>
      </c>
      <c r="BC73" s="360">
        <f t="shared" si="81"/>
        <v>1.3473516249550814</v>
      </c>
      <c r="BD73" s="360">
        <f t="shared" si="82"/>
        <v>0.3403293923550737</v>
      </c>
      <c r="BE73" s="360">
        <f t="shared" si="83"/>
        <v>0.81576372178641021</v>
      </c>
      <c r="BK73" s="18"/>
      <c r="BL73" s="19"/>
    </row>
    <row r="74" spans="1:64" ht="13" x14ac:dyDescent="0.3">
      <c r="A74" s="14" t="s">
        <v>114</v>
      </c>
      <c r="B74" s="15" t="s">
        <v>7</v>
      </c>
      <c r="C74" s="17" t="s">
        <v>76</v>
      </c>
      <c r="G74">
        <v>65</v>
      </c>
      <c r="H74" s="548">
        <f t="shared" si="85"/>
        <v>45</v>
      </c>
      <c r="I74" s="4">
        <f t="shared" si="86"/>
        <v>2</v>
      </c>
      <c r="J74" s="360">
        <f t="shared" ref="J74:J109" si="116">Iout*G74/100</f>
        <v>39</v>
      </c>
      <c r="K74" s="360">
        <f t="shared" si="87"/>
        <v>19.5</v>
      </c>
      <c r="L74" s="4">
        <f t="shared" si="88"/>
        <v>11.555555555555555</v>
      </c>
      <c r="M74" s="360">
        <f t="shared" si="89"/>
        <v>0.53516314446893953</v>
      </c>
      <c r="N74" s="4">
        <f t="shared" si="90"/>
        <v>5.09319629710585</v>
      </c>
      <c r="O74" s="4">
        <f t="shared" ref="O74:O109" si="117">K74+N74/2</f>
        <v>22.046598148552924</v>
      </c>
      <c r="P74" s="4">
        <f t="shared" ref="P74:P109" si="118">K74-N74/2</f>
        <v>16.953401851447076</v>
      </c>
      <c r="Q74" s="4">
        <f t="shared" si="91"/>
        <v>0</v>
      </c>
      <c r="R74" s="4">
        <f t="shared" ref="R74:R109" si="119">SQRT(K74^2+(N74^2)/12)</f>
        <v>19.555350181218209</v>
      </c>
      <c r="S74" s="360">
        <f t="shared" si="92"/>
        <v>0.53537640899409944</v>
      </c>
      <c r="T74" s="360">
        <f t="shared" si="93"/>
        <v>0.3</v>
      </c>
      <c r="U74" s="360">
        <f t="shared" si="94"/>
        <v>0.87275667579512506</v>
      </c>
      <c r="V74" s="4">
        <f t="shared" ref="V74:V109" si="120">N74/SQRT(12)</f>
        <v>1.4702791265848338</v>
      </c>
      <c r="W74" s="360">
        <f t="shared" ref="W74:W109" si="121">RCoutEsr*V74^2</f>
        <v>4.3234414201421241E-3</v>
      </c>
      <c r="X74" s="360">
        <f t="shared" ref="X74:X109" si="122">W74</f>
        <v>4.3234414201421241E-3</v>
      </c>
      <c r="Y74" s="4">
        <f t="shared" ref="Y74:Y109" si="123">SQRT(M74*(1-M74))*SQRT(K74^2+(N74^2)/12)</f>
        <v>9.7534659714552827</v>
      </c>
      <c r="Z74" s="360">
        <f t="shared" ref="Z74:Z109" si="124">RCinEsr*Y74^2</f>
        <v>0.14269514768450423</v>
      </c>
      <c r="AA74" s="541">
        <f t="shared" ref="AA74:AA109" si="125">Z74</f>
        <v>0.14269514768450423</v>
      </c>
      <c r="AB74" s="360">
        <f t="shared" ref="AB74:AB109" si="126">SQRT(M74)*SQRT(K74^2+(N74^2)/12)</f>
        <v>14.305686244881072</v>
      </c>
      <c r="AC74" s="360">
        <f t="shared" si="95"/>
        <v>0.3683747860865631</v>
      </c>
      <c r="AD74" s="360">
        <f t="shared" si="96"/>
        <v>0.50093146551724133</v>
      </c>
      <c r="AE74" s="360">
        <f t="shared" si="97"/>
        <v>0.39600000000000002</v>
      </c>
      <c r="AF74" s="360">
        <f t="shared" si="98"/>
        <v>0</v>
      </c>
      <c r="AG74" s="360">
        <f t="shared" si="99"/>
        <v>1.3403568066998595</v>
      </c>
      <c r="AH74" s="360">
        <f t="shared" si="100"/>
        <v>13.332631464684365</v>
      </c>
      <c r="AI74" s="360">
        <f t="shared" si="101"/>
        <v>0.31996631119156482</v>
      </c>
      <c r="AJ74" s="360">
        <f t="shared" si="102"/>
        <v>0</v>
      </c>
      <c r="AK74" s="360">
        <f t="shared" si="103"/>
        <v>0.33632335706875027</v>
      </c>
      <c r="AL74" s="360">
        <f t="shared" si="104"/>
        <v>8.6486399999999991E-2</v>
      </c>
      <c r="AM74" s="360">
        <f t="shared" si="105"/>
        <v>4.4549999999999999E-2</v>
      </c>
      <c r="AN74" s="360">
        <f t="shared" si="106"/>
        <v>0.84130578556215641</v>
      </c>
      <c r="AO74" s="360">
        <f t="shared" si="107"/>
        <v>1.5749999999999998E-3</v>
      </c>
      <c r="AP74" s="360">
        <f t="shared" si="108"/>
        <v>0.23760000000000001</v>
      </c>
      <c r="AQ74" s="360">
        <f t="shared" si="109"/>
        <v>0.22704000000000002</v>
      </c>
      <c r="AR74" s="360">
        <f t="shared" si="110"/>
        <v>0.2112</v>
      </c>
      <c r="AS74" s="360">
        <f t="shared" si="74"/>
        <v>0.239175</v>
      </c>
      <c r="AT74" s="360">
        <f t="shared" si="111"/>
        <v>3.9079726142305375</v>
      </c>
      <c r="AU74">
        <f t="shared" si="112"/>
        <v>468</v>
      </c>
      <c r="AV74" s="542">
        <f t="shared" ref="AV74:AV109" si="127">AU74/(AU74+AT74)</f>
        <v>0.99171878238763056</v>
      </c>
      <c r="AW74" s="551">
        <f t="shared" si="113"/>
        <v>52.050872654594663</v>
      </c>
      <c r="AX74" s="551">
        <f t="shared" si="114"/>
        <v>13.33894456861251</v>
      </c>
      <c r="AY74" s="9"/>
      <c r="AZ74" s="4">
        <f t="shared" ref="AZ74:AZ109" si="128">AV74*100</f>
        <v>99.171878238763057</v>
      </c>
      <c r="BA74" s="360">
        <f t="shared" si="115"/>
        <v>0.87275667579512506</v>
      </c>
      <c r="BB74" s="360">
        <f t="shared" ref="BB74:BB109" si="129">AG74+AK74+AM74</f>
        <v>1.7212301637686098</v>
      </c>
      <c r="BC74" s="360">
        <f t="shared" ref="BC74:BC109" si="130">AG74+AM74*0.66</f>
        <v>1.3697598066998595</v>
      </c>
      <c r="BD74" s="360">
        <f t="shared" ref="BD74:BD109" si="131">AK74+AM74*0.33</f>
        <v>0.35102485706875025</v>
      </c>
      <c r="BE74" s="360">
        <f t="shared" ref="BE74:BE109" si="132">AN74</f>
        <v>0.84130578556215641</v>
      </c>
      <c r="BK74" s="18"/>
      <c r="BL74" s="19"/>
    </row>
    <row r="75" spans="1:64" ht="13" x14ac:dyDescent="0.3">
      <c r="A75" s="34" t="s">
        <v>115</v>
      </c>
      <c r="B75" s="603">
        <f>AS9</f>
        <v>0.239175</v>
      </c>
      <c r="C75" s="78" t="s">
        <v>116</v>
      </c>
      <c r="G75">
        <v>66</v>
      </c>
      <c r="H75" s="548">
        <f t="shared" si="85"/>
        <v>45</v>
      </c>
      <c r="I75" s="4">
        <f t="shared" si="86"/>
        <v>2</v>
      </c>
      <c r="J75" s="360">
        <f t="shared" si="116"/>
        <v>39.6</v>
      </c>
      <c r="K75" s="360">
        <f t="shared" si="87"/>
        <v>19.8</v>
      </c>
      <c r="L75" s="4">
        <f t="shared" si="88"/>
        <v>11.733333333333334</v>
      </c>
      <c r="M75" s="360">
        <f t="shared" si="89"/>
        <v>0.53519126818572949</v>
      </c>
      <c r="N75" s="4">
        <f t="shared" si="90"/>
        <v>5.0932304150673042</v>
      </c>
      <c r="O75" s="4">
        <f t="shared" si="117"/>
        <v>22.346615207533652</v>
      </c>
      <c r="P75" s="4">
        <f t="shared" si="118"/>
        <v>17.253384792466349</v>
      </c>
      <c r="Q75" s="4">
        <f t="shared" si="91"/>
        <v>0</v>
      </c>
      <c r="R75" s="4">
        <f t="shared" si="119"/>
        <v>19.854514591692922</v>
      </c>
      <c r="S75" s="360">
        <f t="shared" si="92"/>
        <v>0.55188244954044607</v>
      </c>
      <c r="T75" s="360">
        <f t="shared" si="93"/>
        <v>0.3</v>
      </c>
      <c r="U75" s="360">
        <f t="shared" si="94"/>
        <v>0.89123082144818755</v>
      </c>
      <c r="V75" s="4">
        <f t="shared" si="120"/>
        <v>1.4702889755919488</v>
      </c>
      <c r="W75" s="360">
        <f t="shared" si="121"/>
        <v>4.3234993434944444E-3</v>
      </c>
      <c r="X75" s="360">
        <f t="shared" si="122"/>
        <v>4.3234993434944444E-3</v>
      </c>
      <c r="Y75" s="4">
        <f t="shared" si="123"/>
        <v>9.9026384350615757</v>
      </c>
      <c r="Z75" s="360">
        <f t="shared" si="124"/>
        <v>0.14709337196333816</v>
      </c>
      <c r="AA75" s="541">
        <f t="shared" si="125"/>
        <v>0.14709337196333816</v>
      </c>
      <c r="AB75" s="360">
        <f t="shared" si="126"/>
        <v>14.524921147044338</v>
      </c>
      <c r="AC75" s="360">
        <f t="shared" si="95"/>
        <v>0.37975200179014046</v>
      </c>
      <c r="AD75" s="360">
        <f t="shared" si="96"/>
        <v>0.50863810344827587</v>
      </c>
      <c r="AE75" s="360">
        <f t="shared" si="97"/>
        <v>0.39600000000000002</v>
      </c>
      <c r="AF75" s="360">
        <f t="shared" si="98"/>
        <v>0</v>
      </c>
      <c r="AG75" s="360">
        <f t="shared" si="99"/>
        <v>1.3630696248691738</v>
      </c>
      <c r="AH75" s="360">
        <f t="shared" si="100"/>
        <v>13.536189099738943</v>
      </c>
      <c r="AI75" s="360">
        <f t="shared" si="101"/>
        <v>0.32981114761900443</v>
      </c>
      <c r="AJ75" s="360">
        <f t="shared" si="102"/>
        <v>0</v>
      </c>
      <c r="AK75" s="360">
        <f t="shared" si="103"/>
        <v>0.34721761616927777</v>
      </c>
      <c r="AL75" s="360">
        <f t="shared" si="104"/>
        <v>8.7816959999999986E-2</v>
      </c>
      <c r="AM75" s="360">
        <f t="shared" si="105"/>
        <v>4.4549999999999999E-2</v>
      </c>
      <c r="AN75" s="360">
        <f t="shared" si="106"/>
        <v>0.86724384927784381</v>
      </c>
      <c r="AO75" s="360">
        <f t="shared" si="107"/>
        <v>1.5749999999999998E-3</v>
      </c>
      <c r="AP75" s="360">
        <f t="shared" si="108"/>
        <v>0.23760000000000001</v>
      </c>
      <c r="AQ75" s="360">
        <f t="shared" si="109"/>
        <v>0.22704000000000002</v>
      </c>
      <c r="AR75" s="360">
        <f t="shared" si="110"/>
        <v>0.2112</v>
      </c>
      <c r="AS75" s="360">
        <f t="shared" ref="AS75:AS109" si="133">SUM(AO75:AP75)</f>
        <v>0.239175</v>
      </c>
      <c r="AT75" s="360">
        <f t="shared" si="111"/>
        <v>3.9917207430713155</v>
      </c>
      <c r="AU75">
        <f t="shared" si="112"/>
        <v>475.20000000000005</v>
      </c>
      <c r="AV75" s="542">
        <f t="shared" si="127"/>
        <v>0.99166988791692512</v>
      </c>
      <c r="AW75" s="551">
        <f t="shared" si="113"/>
        <v>52.913959745028606</v>
      </c>
      <c r="AX75" s="551">
        <f t="shared" si="114"/>
        <v>13.752926414432554</v>
      </c>
      <c r="AY75" s="9"/>
      <c r="AZ75" s="4">
        <f t="shared" si="128"/>
        <v>99.166988791692518</v>
      </c>
      <c r="BA75" s="360">
        <f t="shared" si="115"/>
        <v>0.89123082144818755</v>
      </c>
      <c r="BB75" s="360">
        <f t="shared" si="129"/>
        <v>1.7548372410384516</v>
      </c>
      <c r="BC75" s="360">
        <f t="shared" si="130"/>
        <v>1.3924726248691739</v>
      </c>
      <c r="BD75" s="360">
        <f t="shared" si="131"/>
        <v>0.36191911616927774</v>
      </c>
      <c r="BE75" s="360">
        <f t="shared" si="132"/>
        <v>0.86724384927784381</v>
      </c>
      <c r="BK75" s="18"/>
      <c r="BL75" s="19"/>
    </row>
    <row r="76" spans="1:64" ht="13" x14ac:dyDescent="0.3">
      <c r="A76" s="34" t="s">
        <v>119</v>
      </c>
      <c r="B76" s="604">
        <f>B75*B62</f>
        <v>7.1752500000000001</v>
      </c>
      <c r="C76" s="440" t="s">
        <v>465</v>
      </c>
      <c r="G76">
        <v>67</v>
      </c>
      <c r="H76" s="548">
        <f t="shared" si="85"/>
        <v>45</v>
      </c>
      <c r="I76" s="4">
        <f t="shared" si="86"/>
        <v>2</v>
      </c>
      <c r="J76" s="360">
        <f t="shared" si="116"/>
        <v>40.200000000000003</v>
      </c>
      <c r="K76" s="360">
        <f t="shared" si="87"/>
        <v>20.100000000000001</v>
      </c>
      <c r="L76" s="4">
        <f t="shared" si="88"/>
        <v>11.911111111111111</v>
      </c>
      <c r="M76" s="360">
        <f t="shared" si="89"/>
        <v>0.53521939107836702</v>
      </c>
      <c r="N76" s="4">
        <f t="shared" si="90"/>
        <v>5.0932645006416113</v>
      </c>
      <c r="O76" s="4">
        <f t="shared" si="117"/>
        <v>22.646632250320806</v>
      </c>
      <c r="P76" s="4">
        <f t="shared" si="118"/>
        <v>17.553367749679197</v>
      </c>
      <c r="Q76" s="4">
        <f t="shared" si="91"/>
        <v>0</v>
      </c>
      <c r="R76" s="4">
        <f t="shared" si="119"/>
        <v>20.153703843366475</v>
      </c>
      <c r="S76" s="360">
        <f t="shared" si="92"/>
        <v>0.56864049004857453</v>
      </c>
      <c r="T76" s="360">
        <f t="shared" si="93"/>
        <v>0.3</v>
      </c>
      <c r="U76" s="360">
        <f t="shared" si="94"/>
        <v>0.91003930579335846</v>
      </c>
      <c r="V76" s="4">
        <f t="shared" si="120"/>
        <v>1.4702988152496996</v>
      </c>
      <c r="W76" s="360">
        <f t="shared" si="121"/>
        <v>4.3235572122493409E-3</v>
      </c>
      <c r="X76" s="360">
        <f t="shared" si="122"/>
        <v>4.3235572122493409E-3</v>
      </c>
      <c r="Y76" s="4">
        <f t="shared" si="123"/>
        <v>10.051822070658734</v>
      </c>
      <c r="Z76" s="360">
        <f t="shared" si="124"/>
        <v>0.15155869041027303</v>
      </c>
      <c r="AA76" s="541">
        <f t="shared" si="125"/>
        <v>0.15155869041027303</v>
      </c>
      <c r="AB76" s="360">
        <f t="shared" si="126"/>
        <v>14.744185702126359</v>
      </c>
      <c r="AC76" s="360">
        <f t="shared" si="95"/>
        <v>0.39130382163381722</v>
      </c>
      <c r="AD76" s="360">
        <f t="shared" si="96"/>
        <v>0.51634474137931041</v>
      </c>
      <c r="AE76" s="360">
        <f t="shared" si="97"/>
        <v>0.39600000000000002</v>
      </c>
      <c r="AF76" s="360">
        <f t="shared" si="98"/>
        <v>0</v>
      </c>
      <c r="AG76" s="360">
        <f t="shared" si="99"/>
        <v>1.3860907174322099</v>
      </c>
      <c r="AH76" s="360">
        <f t="shared" si="100"/>
        <v>13.739751329166671</v>
      </c>
      <c r="AI76" s="360">
        <f t="shared" si="101"/>
        <v>0.3398053798572071</v>
      </c>
      <c r="AJ76" s="360">
        <f t="shared" si="102"/>
        <v>0</v>
      </c>
      <c r="AK76" s="360">
        <f t="shared" si="103"/>
        <v>0.35831236309168862</v>
      </c>
      <c r="AL76" s="360">
        <f t="shared" si="104"/>
        <v>8.9147519999999994E-2</v>
      </c>
      <c r="AM76" s="360">
        <f t="shared" si="105"/>
        <v>4.4549999999999999E-2</v>
      </c>
      <c r="AN76" s="360">
        <f t="shared" si="106"/>
        <v>0.89357791293347422</v>
      </c>
      <c r="AO76" s="360">
        <f t="shared" si="107"/>
        <v>1.5749999999999998E-3</v>
      </c>
      <c r="AP76" s="360">
        <f t="shared" si="108"/>
        <v>0.23760000000000001</v>
      </c>
      <c r="AQ76" s="360">
        <f t="shared" si="109"/>
        <v>0.22704000000000002</v>
      </c>
      <c r="AR76" s="360">
        <f t="shared" si="110"/>
        <v>0.2112</v>
      </c>
      <c r="AS76" s="360">
        <f t="shared" si="133"/>
        <v>0.239175</v>
      </c>
      <c r="AT76" s="360">
        <f t="shared" si="111"/>
        <v>4.0767750668732532</v>
      </c>
      <c r="AU76">
        <f t="shared" si="112"/>
        <v>482.40000000000003</v>
      </c>
      <c r="AV76" s="542">
        <f t="shared" si="127"/>
        <v>0.99161979507384945</v>
      </c>
      <c r="AW76" s="551">
        <f t="shared" si="113"/>
        <v>53.788761262423982</v>
      </c>
      <c r="AX76" s="551">
        <f t="shared" si="114"/>
        <v>14.174526797484166</v>
      </c>
      <c r="AY76" s="9"/>
      <c r="AZ76" s="4">
        <f t="shared" si="128"/>
        <v>99.161979507384942</v>
      </c>
      <c r="BA76" s="360">
        <f t="shared" si="115"/>
        <v>0.91003930579335846</v>
      </c>
      <c r="BB76" s="360">
        <f t="shared" si="129"/>
        <v>1.7889530805238987</v>
      </c>
      <c r="BC76" s="360">
        <f t="shared" si="130"/>
        <v>1.41549371743221</v>
      </c>
      <c r="BD76" s="360">
        <f t="shared" si="131"/>
        <v>0.3730138630916886</v>
      </c>
      <c r="BE76" s="360">
        <f t="shared" si="132"/>
        <v>0.89357791293347422</v>
      </c>
      <c r="BK76" s="18"/>
      <c r="BL76" s="19"/>
    </row>
    <row r="77" spans="1:64" ht="13" x14ac:dyDescent="0.3">
      <c r="A77" s="34" t="s">
        <v>210</v>
      </c>
      <c r="B77" s="604">
        <f>(Qg_Q1+Qg_Q2)*Fsw+Iq</f>
        <v>5.3150000000000003E-3</v>
      </c>
      <c r="C77" s="21" t="s">
        <v>1</v>
      </c>
      <c r="G77">
        <v>68</v>
      </c>
      <c r="H77" s="548">
        <f t="shared" si="85"/>
        <v>45</v>
      </c>
      <c r="I77" s="4">
        <f t="shared" si="86"/>
        <v>2</v>
      </c>
      <c r="J77" s="360">
        <f t="shared" si="116"/>
        <v>40.799999999999997</v>
      </c>
      <c r="K77" s="360">
        <f t="shared" si="87"/>
        <v>20.399999999999999</v>
      </c>
      <c r="L77" s="4">
        <f t="shared" si="88"/>
        <v>12.088888888888889</v>
      </c>
      <c r="M77" s="360">
        <f t="shared" si="89"/>
        <v>0.53524751314688823</v>
      </c>
      <c r="N77" s="4">
        <f t="shared" si="90"/>
        <v>5.0932985538301923</v>
      </c>
      <c r="O77" s="4">
        <f t="shared" si="117"/>
        <v>22.946649276915096</v>
      </c>
      <c r="P77" s="4">
        <f t="shared" si="118"/>
        <v>17.853350723084901</v>
      </c>
      <c r="Q77" s="4">
        <f t="shared" si="91"/>
        <v>0</v>
      </c>
      <c r="R77" s="4">
        <f t="shared" si="119"/>
        <v>20.452916846093224</v>
      </c>
      <c r="S77" s="360">
        <f t="shared" si="92"/>
        <v>0.58565053051848559</v>
      </c>
      <c r="T77" s="360">
        <f t="shared" si="93"/>
        <v>0.3</v>
      </c>
      <c r="U77" s="360">
        <f t="shared" si="94"/>
        <v>0.92918473306816973</v>
      </c>
      <c r="V77" s="4">
        <f t="shared" si="120"/>
        <v>1.4703086455584966</v>
      </c>
      <c r="W77" s="360">
        <f t="shared" si="121"/>
        <v>4.3236150264081216E-3</v>
      </c>
      <c r="X77" s="360">
        <f t="shared" si="122"/>
        <v>4.3236150264081216E-3</v>
      </c>
      <c r="Y77" s="4">
        <f t="shared" si="123"/>
        <v>10.201016333006258</v>
      </c>
      <c r="Z77" s="360">
        <f t="shared" si="124"/>
        <v>0.15609110133939069</v>
      </c>
      <c r="AA77" s="541">
        <f t="shared" si="125"/>
        <v>0.15609110133939069</v>
      </c>
      <c r="AB77" s="360">
        <f t="shared" si="126"/>
        <v>14.963479113045659</v>
      </c>
      <c r="AC77" s="360">
        <f t="shared" si="95"/>
        <v>0.4030302728997967</v>
      </c>
      <c r="AD77" s="360">
        <f t="shared" si="96"/>
        <v>0.52405137931034473</v>
      </c>
      <c r="AE77" s="360">
        <f t="shared" si="97"/>
        <v>0.39600000000000002</v>
      </c>
      <c r="AF77" s="360">
        <f t="shared" si="98"/>
        <v>0</v>
      </c>
      <c r="AG77" s="360">
        <f t="shared" si="99"/>
        <v>1.4094238020660181</v>
      </c>
      <c r="AH77" s="360">
        <f t="shared" si="100"/>
        <v>13.943317408230019</v>
      </c>
      <c r="AI77" s="360">
        <f t="shared" si="101"/>
        <v>0.34994898062397051</v>
      </c>
      <c r="AJ77" s="360">
        <f t="shared" si="102"/>
        <v>0</v>
      </c>
      <c r="AK77" s="360">
        <f t="shared" si="103"/>
        <v>0.3696093307180835</v>
      </c>
      <c r="AL77" s="360">
        <f t="shared" si="104"/>
        <v>9.0478079999999975E-2</v>
      </c>
      <c r="AM77" s="360">
        <f t="shared" si="105"/>
        <v>4.4549999999999999E-2</v>
      </c>
      <c r="AN77" s="360">
        <f t="shared" si="106"/>
        <v>0.92030797652904894</v>
      </c>
      <c r="AO77" s="360">
        <f t="shared" si="107"/>
        <v>1.5749999999999998E-3</v>
      </c>
      <c r="AP77" s="360">
        <f t="shared" si="108"/>
        <v>0.23760000000000001</v>
      </c>
      <c r="AQ77" s="360">
        <f t="shared" si="109"/>
        <v>0.22704000000000002</v>
      </c>
      <c r="AR77" s="360">
        <f t="shared" si="110"/>
        <v>0.2112</v>
      </c>
      <c r="AS77" s="360">
        <f t="shared" si="133"/>
        <v>0.239175</v>
      </c>
      <c r="AT77" s="360">
        <f t="shared" si="111"/>
        <v>4.163143638747119</v>
      </c>
      <c r="AU77">
        <f t="shared" si="112"/>
        <v>489.59999999999997</v>
      </c>
      <c r="AV77" s="542">
        <f t="shared" si="127"/>
        <v>0.99156854112668846</v>
      </c>
      <c r="AW77" s="551">
        <f t="shared" si="113"/>
        <v>54.675418478508689</v>
      </c>
      <c r="AX77" s="551">
        <f t="shared" si="114"/>
        <v>14.603811567287172</v>
      </c>
      <c r="AY77" s="9"/>
      <c r="AZ77" s="4">
        <f t="shared" si="128"/>
        <v>99.156854112668853</v>
      </c>
      <c r="BA77" s="360">
        <f t="shared" si="115"/>
        <v>0.92918473306816973</v>
      </c>
      <c r="BB77" s="360">
        <f t="shared" si="129"/>
        <v>1.8235831327841017</v>
      </c>
      <c r="BC77" s="360">
        <f t="shared" si="130"/>
        <v>1.4388268020660182</v>
      </c>
      <c r="BD77" s="360">
        <f t="shared" si="131"/>
        <v>0.38431083071808347</v>
      </c>
      <c r="BE77" s="360">
        <f t="shared" si="132"/>
        <v>0.92030797652904894</v>
      </c>
      <c r="BK77" s="18"/>
      <c r="BL77" s="19"/>
    </row>
    <row r="78" spans="1:64" ht="13" x14ac:dyDescent="0.3">
      <c r="A78" s="34" t="s">
        <v>211</v>
      </c>
      <c r="B78" s="605">
        <f>Qrr_Q2*Fsw</f>
        <v>0</v>
      </c>
      <c r="C78" s="21" t="s">
        <v>1</v>
      </c>
      <c r="G78">
        <v>69</v>
      </c>
      <c r="H78" s="548">
        <f t="shared" si="85"/>
        <v>45</v>
      </c>
      <c r="I78" s="4">
        <f t="shared" si="86"/>
        <v>2</v>
      </c>
      <c r="J78" s="360">
        <f t="shared" si="116"/>
        <v>41.4</v>
      </c>
      <c r="K78" s="360">
        <f t="shared" si="87"/>
        <v>20.7</v>
      </c>
      <c r="L78" s="4">
        <f t="shared" si="88"/>
        <v>12.266666666666666</v>
      </c>
      <c r="M78" s="360">
        <f t="shared" si="89"/>
        <v>0.5352756343913293</v>
      </c>
      <c r="N78" s="4">
        <f t="shared" si="90"/>
        <v>5.0933325746344691</v>
      </c>
      <c r="O78" s="4">
        <f t="shared" si="117"/>
        <v>23.246666287317233</v>
      </c>
      <c r="P78" s="4">
        <f t="shared" si="118"/>
        <v>18.153333712682766</v>
      </c>
      <c r="Q78" s="4">
        <f t="shared" si="91"/>
        <v>0</v>
      </c>
      <c r="R78" s="4">
        <f t="shared" si="119"/>
        <v>20.752152572516085</v>
      </c>
      <c r="S78" s="360">
        <f t="shared" si="92"/>
        <v>0.60291257095018036</v>
      </c>
      <c r="T78" s="360">
        <f t="shared" si="93"/>
        <v>0.3</v>
      </c>
      <c r="U78" s="360">
        <f t="shared" si="94"/>
        <v>0.9486697651156677</v>
      </c>
      <c r="V78" s="4">
        <f t="shared" si="120"/>
        <v>1.4703184665187503</v>
      </c>
      <c r="W78" s="360">
        <f t="shared" si="121"/>
        <v>4.3236727859720997E-3</v>
      </c>
      <c r="X78" s="360">
        <f t="shared" si="122"/>
        <v>4.3236727859720997E-3</v>
      </c>
      <c r="Y78" s="4">
        <f t="shared" si="123"/>
        <v>10.35022070818829</v>
      </c>
      <c r="Z78" s="360">
        <f t="shared" si="124"/>
        <v>0.16069060306231459</v>
      </c>
      <c r="AA78" s="541">
        <f t="shared" si="125"/>
        <v>0.16069060306231459</v>
      </c>
      <c r="AB78" s="360">
        <f t="shared" si="126"/>
        <v>15.182800628574642</v>
      </c>
      <c r="AC78" s="360">
        <f t="shared" si="95"/>
        <v>0.41493138286868375</v>
      </c>
      <c r="AD78" s="360">
        <f t="shared" si="96"/>
        <v>0.53175801724137928</v>
      </c>
      <c r="AE78" s="360">
        <f t="shared" si="97"/>
        <v>0.39600000000000002</v>
      </c>
      <c r="AF78" s="360">
        <f t="shared" si="98"/>
        <v>0</v>
      </c>
      <c r="AG78" s="360">
        <f t="shared" si="99"/>
        <v>1.4330726779692731</v>
      </c>
      <c r="AH78" s="360">
        <f t="shared" si="100"/>
        <v>14.146886635084748</v>
      </c>
      <c r="AI78" s="360">
        <f t="shared" si="101"/>
        <v>0.36024192263869098</v>
      </c>
      <c r="AJ78" s="360">
        <f t="shared" si="102"/>
        <v>0</v>
      </c>
      <c r="AK78" s="360">
        <f t="shared" si="103"/>
        <v>0.38111029210205505</v>
      </c>
      <c r="AL78" s="360">
        <f t="shared" si="104"/>
        <v>9.1808639999999983E-2</v>
      </c>
      <c r="AM78" s="360">
        <f t="shared" si="105"/>
        <v>4.4549999999999999E-2</v>
      </c>
      <c r="AN78" s="360">
        <f t="shared" si="106"/>
        <v>0.94743404006456911</v>
      </c>
      <c r="AO78" s="360">
        <f t="shared" si="107"/>
        <v>1.5749999999999998E-3</v>
      </c>
      <c r="AP78" s="360">
        <f t="shared" si="108"/>
        <v>0.23760000000000001</v>
      </c>
      <c r="AQ78" s="360">
        <f t="shared" si="109"/>
        <v>0.22704000000000002</v>
      </c>
      <c r="AR78" s="360">
        <f t="shared" si="110"/>
        <v>0.2112</v>
      </c>
      <c r="AS78" s="360">
        <f t="shared" si="133"/>
        <v>0.239175</v>
      </c>
      <c r="AT78" s="360">
        <f t="shared" si="111"/>
        <v>4.2508346910998513</v>
      </c>
      <c r="AU78">
        <f t="shared" si="112"/>
        <v>496.79999999999995</v>
      </c>
      <c r="AV78" s="542">
        <f t="shared" si="127"/>
        <v>0.99151616084280048</v>
      </c>
      <c r="AW78" s="551">
        <f t="shared" si="113"/>
        <v>55.574075762832379</v>
      </c>
      <c r="AX78" s="551">
        <f t="shared" si="114"/>
        <v>15.04084809987809</v>
      </c>
      <c r="AY78" s="9"/>
      <c r="AZ78" s="4">
        <f t="shared" si="128"/>
        <v>99.15161608428005</v>
      </c>
      <c r="BA78" s="360">
        <f t="shared" si="115"/>
        <v>0.9486697651156677</v>
      </c>
      <c r="BB78" s="360">
        <f t="shared" si="129"/>
        <v>1.8587329700713282</v>
      </c>
      <c r="BC78" s="360">
        <f t="shared" si="130"/>
        <v>1.4624756779692731</v>
      </c>
      <c r="BD78" s="360">
        <f t="shared" si="131"/>
        <v>0.39581179210205503</v>
      </c>
      <c r="BE78" s="360">
        <f t="shared" si="132"/>
        <v>0.94743404006456911</v>
      </c>
      <c r="BK78" s="18"/>
      <c r="BL78" s="19"/>
    </row>
    <row r="79" spans="1:64" ht="13" x14ac:dyDescent="0.3">
      <c r="A79" s="34" t="s">
        <v>212</v>
      </c>
      <c r="B79" s="605">
        <f>Deadtime*Fsw*(Iripple_Vinnom/2)*(Vsd_Q2)/Vin</f>
        <v>0</v>
      </c>
      <c r="C79" s="21"/>
      <c r="G79">
        <v>70</v>
      </c>
      <c r="H79" s="548">
        <f t="shared" si="85"/>
        <v>45</v>
      </c>
      <c r="I79" s="4">
        <f t="shared" si="86"/>
        <v>2</v>
      </c>
      <c r="J79" s="360">
        <f t="shared" si="116"/>
        <v>42</v>
      </c>
      <c r="K79" s="360">
        <f t="shared" si="87"/>
        <v>21</v>
      </c>
      <c r="L79" s="4">
        <f t="shared" si="88"/>
        <v>12.444444444444445</v>
      </c>
      <c r="M79" s="360">
        <f t="shared" si="89"/>
        <v>0.53530375481172665</v>
      </c>
      <c r="N79" s="4">
        <f t="shared" si="90"/>
        <v>5.0933665630558691</v>
      </c>
      <c r="O79" s="4">
        <f t="shared" si="117"/>
        <v>23.546683281527933</v>
      </c>
      <c r="P79" s="4">
        <f t="shared" si="118"/>
        <v>18.453316718472067</v>
      </c>
      <c r="Q79" s="4">
        <f t="shared" si="91"/>
        <v>0</v>
      </c>
      <c r="R79" s="4">
        <f t="shared" si="119"/>
        <v>21.05141005361568</v>
      </c>
      <c r="S79" s="360">
        <f t="shared" si="92"/>
        <v>0.62042661134365984</v>
      </c>
      <c r="T79" s="360">
        <f t="shared" si="93"/>
        <v>0.3</v>
      </c>
      <c r="U79" s="360">
        <f t="shared" si="94"/>
        <v>0.96849712236148566</v>
      </c>
      <c r="V79" s="4">
        <f t="shared" si="120"/>
        <v>1.4703282781308726</v>
      </c>
      <c r="W79" s="360">
        <f t="shared" si="121"/>
        <v>4.3237304909425935E-3</v>
      </c>
      <c r="X79" s="360">
        <f t="shared" si="122"/>
        <v>4.3237304909425935E-3</v>
      </c>
      <c r="Y79" s="4">
        <f t="shared" si="123"/>
        <v>10.499434711393119</v>
      </c>
      <c r="Z79" s="360">
        <f t="shared" si="124"/>
        <v>0.16535719388821007</v>
      </c>
      <c r="AA79" s="541">
        <f t="shared" si="125"/>
        <v>0.16535719388821007</v>
      </c>
      <c r="AB79" s="360">
        <f t="shared" si="126"/>
        <v>15.402149540089177</v>
      </c>
      <c r="AC79" s="360">
        <f t="shared" si="95"/>
        <v>0.42700717881948463</v>
      </c>
      <c r="AD79" s="360">
        <f t="shared" si="96"/>
        <v>0.53946465517241371</v>
      </c>
      <c r="AE79" s="360">
        <f t="shared" si="97"/>
        <v>0.39600000000000002</v>
      </c>
      <c r="AF79" s="360">
        <f t="shared" si="98"/>
        <v>0</v>
      </c>
      <c r="AG79" s="360">
        <f t="shared" si="99"/>
        <v>1.4570412277316593</v>
      </c>
      <c r="AH79" s="360">
        <f t="shared" si="100"/>
        <v>14.350458347739353</v>
      </c>
      <c r="AI79" s="360">
        <f t="shared" si="101"/>
        <v>0.3706841786223638</v>
      </c>
      <c r="AJ79" s="360">
        <f t="shared" si="102"/>
        <v>0</v>
      </c>
      <c r="AK79" s="360">
        <f t="shared" si="103"/>
        <v>0.3928170612145066</v>
      </c>
      <c r="AL79" s="360">
        <f t="shared" si="104"/>
        <v>9.3139199999999991E-2</v>
      </c>
      <c r="AM79" s="360">
        <f t="shared" si="105"/>
        <v>4.4549999999999999E-2</v>
      </c>
      <c r="AN79" s="360">
        <f t="shared" si="106"/>
        <v>0.97495610354003692</v>
      </c>
      <c r="AO79" s="360">
        <f t="shared" si="107"/>
        <v>1.5749999999999998E-3</v>
      </c>
      <c r="AP79" s="360">
        <f t="shared" si="108"/>
        <v>0.23760000000000001</v>
      </c>
      <c r="AQ79" s="360">
        <f t="shared" si="109"/>
        <v>0.22704000000000002</v>
      </c>
      <c r="AR79" s="360">
        <f t="shared" si="110"/>
        <v>0.2112</v>
      </c>
      <c r="AS79" s="360">
        <f t="shared" si="133"/>
        <v>0.239175</v>
      </c>
      <c r="AT79" s="360">
        <f t="shared" si="111"/>
        <v>4.3398566392268414</v>
      </c>
      <c r="AU79">
        <f t="shared" si="112"/>
        <v>504</v>
      </c>
      <c r="AV79" s="542">
        <f t="shared" si="127"/>
        <v>0.99146268666022208</v>
      </c>
      <c r="AW79" s="551">
        <f t="shared" si="113"/>
        <v>56.48488065380306</v>
      </c>
      <c r="AX79" s="551">
        <f t="shared" si="114"/>
        <v>15.485705326151249</v>
      </c>
      <c r="AY79" s="9"/>
      <c r="AZ79" s="4">
        <f t="shared" si="128"/>
        <v>99.146268666022209</v>
      </c>
      <c r="BA79" s="360">
        <f t="shared" si="115"/>
        <v>0.96849712236148566</v>
      </c>
      <c r="BB79" s="360">
        <f t="shared" si="129"/>
        <v>1.894408288946166</v>
      </c>
      <c r="BC79" s="360">
        <f t="shared" si="130"/>
        <v>1.4864442277316594</v>
      </c>
      <c r="BD79" s="360">
        <f t="shared" si="131"/>
        <v>0.40751856121450658</v>
      </c>
      <c r="BE79" s="360">
        <f t="shared" si="132"/>
        <v>0.97495610354003692</v>
      </c>
      <c r="BK79" s="18"/>
      <c r="BL79" s="19"/>
    </row>
    <row r="80" spans="1:64" ht="13" x14ac:dyDescent="0.3">
      <c r="A80" s="34" t="s">
        <v>45</v>
      </c>
      <c r="B80" s="605">
        <f>SUM(B77:B79)</f>
        <v>5.3150000000000003E-3</v>
      </c>
      <c r="C80" s="21" t="s">
        <v>1</v>
      </c>
      <c r="G80">
        <v>71</v>
      </c>
      <c r="H80" s="548">
        <f t="shared" si="85"/>
        <v>45</v>
      </c>
      <c r="I80" s="4">
        <f t="shared" si="86"/>
        <v>2</v>
      </c>
      <c r="J80" s="360">
        <f t="shared" si="116"/>
        <v>42.6</v>
      </c>
      <c r="K80" s="360">
        <f t="shared" si="87"/>
        <v>21.3</v>
      </c>
      <c r="L80" s="4">
        <f t="shared" si="88"/>
        <v>12.622222222222224</v>
      </c>
      <c r="M80" s="360">
        <f t="shared" si="89"/>
        <v>0.53533187440811636</v>
      </c>
      <c r="N80" s="4">
        <f t="shared" si="90"/>
        <v>5.0934005190958116</v>
      </c>
      <c r="O80" s="4">
        <f t="shared" si="117"/>
        <v>23.846700259547905</v>
      </c>
      <c r="P80" s="4">
        <f t="shared" si="118"/>
        <v>18.753299740452096</v>
      </c>
      <c r="Q80" s="4">
        <f t="shared" si="91"/>
        <v>0</v>
      </c>
      <c r="R80" s="4">
        <f t="shared" si="119"/>
        <v>21.350688374632341</v>
      </c>
      <c r="S80" s="360">
        <f t="shared" si="92"/>
        <v>0.63819265169892481</v>
      </c>
      <c r="T80" s="360">
        <f t="shared" si="93"/>
        <v>0.3</v>
      </c>
      <c r="U80" s="360">
        <f t="shared" si="94"/>
        <v>0.98866958481805345</v>
      </c>
      <c r="V80" s="4">
        <f t="shared" si="120"/>
        <v>1.4703380803952733</v>
      </c>
      <c r="W80" s="360">
        <f t="shared" si="121"/>
        <v>4.3237881413209145E-3</v>
      </c>
      <c r="X80" s="360">
        <f t="shared" si="122"/>
        <v>4.3237881413209145E-3</v>
      </c>
      <c r="Y80" s="4">
        <f t="shared" si="123"/>
        <v>10.648657884878721</v>
      </c>
      <c r="Z80" s="360">
        <f t="shared" si="124"/>
        <v>0.17009087212378465</v>
      </c>
      <c r="AA80" s="541">
        <f t="shared" si="125"/>
        <v>0.17009087212378465</v>
      </c>
      <c r="AB80" s="360">
        <f t="shared" si="126"/>
        <v>15.621525178590495</v>
      </c>
      <c r="AC80" s="360">
        <f t="shared" si="95"/>
        <v>0.43925768802960624</v>
      </c>
      <c r="AD80" s="360">
        <f t="shared" si="96"/>
        <v>0.54717129310344825</v>
      </c>
      <c r="AE80" s="360">
        <f t="shared" si="97"/>
        <v>0.39600000000000002</v>
      </c>
      <c r="AF80" s="360">
        <f t="shared" si="98"/>
        <v>0</v>
      </c>
      <c r="AG80" s="360">
        <f t="shared" si="99"/>
        <v>1.4813334192607668</v>
      </c>
      <c r="AH80" s="360">
        <f t="shared" si="100"/>
        <v>14.554031921269232</v>
      </c>
      <c r="AI80" s="360">
        <f t="shared" si="101"/>
        <v>0.38127572129758275</v>
      </c>
      <c r="AJ80" s="360">
        <f t="shared" si="102"/>
        <v>0</v>
      </c>
      <c r="AK80" s="360">
        <f t="shared" si="103"/>
        <v>0.40473149371148004</v>
      </c>
      <c r="AL80" s="360">
        <f t="shared" si="104"/>
        <v>9.4469759999999986E-2</v>
      </c>
      <c r="AM80" s="360">
        <f t="shared" si="105"/>
        <v>4.4549999999999999E-2</v>
      </c>
      <c r="AN80" s="360">
        <f t="shared" si="106"/>
        <v>1.0028741669554533</v>
      </c>
      <c r="AO80" s="360">
        <f t="shared" si="107"/>
        <v>1.5749999999999998E-3</v>
      </c>
      <c r="AP80" s="360">
        <f t="shared" si="108"/>
        <v>0.23760000000000001</v>
      </c>
      <c r="AQ80" s="360">
        <f t="shared" si="109"/>
        <v>0.22704000000000002</v>
      </c>
      <c r="AR80" s="360">
        <f t="shared" si="110"/>
        <v>0.2112</v>
      </c>
      <c r="AS80" s="360">
        <f t="shared" si="133"/>
        <v>0.239175</v>
      </c>
      <c r="AT80" s="360">
        <f t="shared" si="111"/>
        <v>4.4302180850108588</v>
      </c>
      <c r="AU80">
        <f t="shared" si="112"/>
        <v>511.20000000000005</v>
      </c>
      <c r="AV80" s="542">
        <f t="shared" si="127"/>
        <v>0.99140814884460382</v>
      </c>
      <c r="AW80" s="551">
        <f t="shared" si="113"/>
        <v>57.407983931909143</v>
      </c>
      <c r="AX80" s="551">
        <f t="shared" si="114"/>
        <v>15.938453761036241</v>
      </c>
      <c r="AY80" s="9"/>
      <c r="AZ80" s="4">
        <f t="shared" si="128"/>
        <v>99.140814884460383</v>
      </c>
      <c r="BA80" s="360">
        <f t="shared" si="115"/>
        <v>0.98866958481805345</v>
      </c>
      <c r="BB80" s="360">
        <f t="shared" si="129"/>
        <v>1.930614912972247</v>
      </c>
      <c r="BC80" s="360">
        <f t="shared" si="130"/>
        <v>1.5107364192607668</v>
      </c>
      <c r="BD80" s="360">
        <f t="shared" si="131"/>
        <v>0.41943299371148002</v>
      </c>
      <c r="BE80" s="360">
        <f t="shared" si="132"/>
        <v>1.0028741669554533</v>
      </c>
      <c r="BK80" s="18"/>
      <c r="BL80" s="19"/>
    </row>
    <row r="81" spans="1:64" ht="13" x14ac:dyDescent="0.3">
      <c r="A81" s="2"/>
      <c r="G81">
        <v>72</v>
      </c>
      <c r="H81" s="548">
        <f t="shared" si="85"/>
        <v>45</v>
      </c>
      <c r="I81" s="4">
        <f t="shared" si="86"/>
        <v>2</v>
      </c>
      <c r="J81" s="360">
        <f t="shared" si="116"/>
        <v>43.2</v>
      </c>
      <c r="K81" s="360">
        <f t="shared" si="87"/>
        <v>21.6</v>
      </c>
      <c r="L81" s="4">
        <f t="shared" si="88"/>
        <v>12.800000000000002</v>
      </c>
      <c r="M81" s="360">
        <f t="shared" si="89"/>
        <v>0.53535999318053473</v>
      </c>
      <c r="N81" s="4">
        <f t="shared" si="90"/>
        <v>5.093434442755723</v>
      </c>
      <c r="O81" s="4">
        <f t="shared" si="117"/>
        <v>24.146717221377862</v>
      </c>
      <c r="P81" s="4">
        <f t="shared" si="118"/>
        <v>19.05328277862214</v>
      </c>
      <c r="Q81" s="4">
        <f t="shared" si="91"/>
        <v>0</v>
      </c>
      <c r="R81" s="4">
        <f t="shared" si="119"/>
        <v>21.649986671325095</v>
      </c>
      <c r="S81" s="360">
        <f t="shared" si="92"/>
        <v>0.65621069201597593</v>
      </c>
      <c r="T81" s="360">
        <f t="shared" si="93"/>
        <v>0.3</v>
      </c>
      <c r="U81" s="360">
        <f t="shared" si="94"/>
        <v>1.009189993116671</v>
      </c>
      <c r="V81" s="4">
        <f t="shared" si="120"/>
        <v>1.4703478733123643</v>
      </c>
      <c r="W81" s="360">
        <f t="shared" si="121"/>
        <v>4.3238457371083845E-3</v>
      </c>
      <c r="X81" s="360">
        <f t="shared" si="122"/>
        <v>4.3238457371083845E-3</v>
      </c>
      <c r="Y81" s="4">
        <f t="shared" si="123"/>
        <v>10.797889796106405</v>
      </c>
      <c r="Z81" s="360">
        <f t="shared" si="124"/>
        <v>0.17489163607328825</v>
      </c>
      <c r="AA81" s="541">
        <f t="shared" si="125"/>
        <v>0.17489163607328825</v>
      </c>
      <c r="AB81" s="360">
        <f t="shared" si="126"/>
        <v>15.840926911973185</v>
      </c>
      <c r="AC81" s="360">
        <f t="shared" si="95"/>
        <v>0.4516829377748573</v>
      </c>
      <c r="AD81" s="360">
        <f t="shared" si="96"/>
        <v>0.5548779310344828</v>
      </c>
      <c r="AE81" s="360">
        <f t="shared" si="97"/>
        <v>0.39600000000000002</v>
      </c>
      <c r="AF81" s="360">
        <f t="shared" si="98"/>
        <v>0</v>
      </c>
      <c r="AG81" s="360">
        <f t="shared" si="99"/>
        <v>1.5059533077684413</v>
      </c>
      <c r="AH81" s="360">
        <f t="shared" si="100"/>
        <v>14.757606765261023</v>
      </c>
      <c r="AI81" s="360">
        <f t="shared" si="101"/>
        <v>0.39201652338854026</v>
      </c>
      <c r="AJ81" s="360">
        <f t="shared" si="102"/>
        <v>0</v>
      </c>
      <c r="AK81" s="360">
        <f t="shared" si="103"/>
        <v>0.41685548772463354</v>
      </c>
      <c r="AL81" s="360">
        <f t="shared" si="104"/>
        <v>9.5800319999999994E-2</v>
      </c>
      <c r="AM81" s="360">
        <f t="shared" si="105"/>
        <v>4.4549999999999999E-2</v>
      </c>
      <c r="AN81" s="360">
        <f t="shared" si="106"/>
        <v>1.0311882303108195</v>
      </c>
      <c r="AO81" s="360">
        <f t="shared" si="107"/>
        <v>1.5749999999999998E-3</v>
      </c>
      <c r="AP81" s="360">
        <f t="shared" si="108"/>
        <v>0.23760000000000001</v>
      </c>
      <c r="AQ81" s="360">
        <f t="shared" si="109"/>
        <v>0.22704000000000002</v>
      </c>
      <c r="AR81" s="360">
        <f t="shared" si="110"/>
        <v>0.2112</v>
      </c>
      <c r="AS81" s="360">
        <f t="shared" si="133"/>
        <v>0.239175</v>
      </c>
      <c r="AT81" s="360">
        <f t="shared" si="111"/>
        <v>4.5219278207309621</v>
      </c>
      <c r="AU81">
        <f t="shared" si="112"/>
        <v>518.40000000000009</v>
      </c>
      <c r="AV81" s="542">
        <f t="shared" si="127"/>
        <v>0.99135257563289414</v>
      </c>
      <c r="AW81" s="551">
        <f t="shared" si="113"/>
        <v>58.343539695200768</v>
      </c>
      <c r="AX81" s="551">
        <f t="shared" si="114"/>
        <v>16.399165533536074</v>
      </c>
      <c r="AY81" s="9"/>
      <c r="AZ81" s="4">
        <f t="shared" si="128"/>
        <v>99.135257563289414</v>
      </c>
      <c r="BA81" s="360">
        <f t="shared" si="115"/>
        <v>1.009189993116671</v>
      </c>
      <c r="BB81" s="360">
        <f t="shared" si="129"/>
        <v>1.9673587954930749</v>
      </c>
      <c r="BC81" s="360">
        <f t="shared" si="130"/>
        <v>1.5353563077684413</v>
      </c>
      <c r="BD81" s="360">
        <f t="shared" si="131"/>
        <v>0.43155698772463352</v>
      </c>
      <c r="BE81" s="360">
        <f t="shared" si="132"/>
        <v>1.0311882303108195</v>
      </c>
      <c r="BK81" s="18"/>
      <c r="BL81" s="19"/>
    </row>
    <row r="82" spans="1:64" ht="13" x14ac:dyDescent="0.3">
      <c r="A82" s="2"/>
      <c r="G82">
        <v>73</v>
      </c>
      <c r="H82" s="548">
        <f t="shared" si="85"/>
        <v>45</v>
      </c>
      <c r="I82" s="4">
        <f t="shared" si="86"/>
        <v>2</v>
      </c>
      <c r="J82" s="360">
        <f t="shared" si="116"/>
        <v>43.8</v>
      </c>
      <c r="K82" s="360">
        <f t="shared" si="87"/>
        <v>21.9</v>
      </c>
      <c r="L82" s="4">
        <f t="shared" si="88"/>
        <v>12.977777777777776</v>
      </c>
      <c r="M82" s="360">
        <f t="shared" si="89"/>
        <v>0.53538811112901785</v>
      </c>
      <c r="N82" s="4">
        <f t="shared" si="90"/>
        <v>5.0934683340370244</v>
      </c>
      <c r="O82" s="4">
        <f t="shared" si="117"/>
        <v>24.446734167018512</v>
      </c>
      <c r="P82" s="4">
        <f t="shared" si="118"/>
        <v>19.353265832981485</v>
      </c>
      <c r="Q82" s="4">
        <f t="shared" si="91"/>
        <v>0</v>
      </c>
      <c r="R82" s="4">
        <f t="shared" si="119"/>
        <v>21.949304126535608</v>
      </c>
      <c r="S82" s="360">
        <f t="shared" si="92"/>
        <v>0.67448073229481431</v>
      </c>
      <c r="T82" s="360">
        <f t="shared" si="93"/>
        <v>0.3</v>
      </c>
      <c r="U82" s="360">
        <f t="shared" si="94"/>
        <v>1.0300612495681958</v>
      </c>
      <c r="V82" s="4">
        <f t="shared" si="120"/>
        <v>1.4703576568825554</v>
      </c>
      <c r="W82" s="360">
        <f t="shared" si="121"/>
        <v>4.3239032783063168E-3</v>
      </c>
      <c r="X82" s="360">
        <f t="shared" si="122"/>
        <v>4.3239032783063168E-3</v>
      </c>
      <c r="Y82" s="4">
        <f t="shared" si="123"/>
        <v>10.947130036026609</v>
      </c>
      <c r="Z82" s="360">
        <f t="shared" si="124"/>
        <v>0.17975948403851391</v>
      </c>
      <c r="AA82" s="541">
        <f t="shared" si="125"/>
        <v>0.17975948403851391</v>
      </c>
      <c r="AB82" s="360">
        <f t="shared" si="126"/>
        <v>16.06035414251587</v>
      </c>
      <c r="AC82" s="360">
        <f t="shared" si="95"/>
        <v>0.46428295532944797</v>
      </c>
      <c r="AD82" s="360">
        <f t="shared" si="96"/>
        <v>0.56258456896551712</v>
      </c>
      <c r="AE82" s="360">
        <f t="shared" si="97"/>
        <v>0.39600000000000002</v>
      </c>
      <c r="AF82" s="360">
        <f t="shared" si="98"/>
        <v>0</v>
      </c>
      <c r="AG82" s="360">
        <f t="shared" si="99"/>
        <v>1.5309050378186144</v>
      </c>
      <c r="AH82" s="360">
        <f t="shared" si="100"/>
        <v>14.961182321465319</v>
      </c>
      <c r="AI82" s="360">
        <f t="shared" si="101"/>
        <v>0.40290655762102751</v>
      </c>
      <c r="AJ82" s="360">
        <f t="shared" si="102"/>
        <v>0</v>
      </c>
      <c r="AK82" s="360">
        <f t="shared" si="103"/>
        <v>0.42919098467503169</v>
      </c>
      <c r="AL82" s="360">
        <f t="shared" si="104"/>
        <v>9.7130879999999975E-2</v>
      </c>
      <c r="AM82" s="360">
        <f t="shared" si="105"/>
        <v>4.4549999999999999E-2</v>
      </c>
      <c r="AN82" s="360">
        <f t="shared" si="106"/>
        <v>1.059898293606137</v>
      </c>
      <c r="AO82" s="360">
        <f t="shared" si="107"/>
        <v>1.5749999999999998E-3</v>
      </c>
      <c r="AP82" s="360">
        <f t="shared" si="108"/>
        <v>0.23760000000000001</v>
      </c>
      <c r="AQ82" s="360">
        <f t="shared" si="109"/>
        <v>0.22704000000000002</v>
      </c>
      <c r="AR82" s="360">
        <f t="shared" si="110"/>
        <v>0.2112</v>
      </c>
      <c r="AS82" s="360">
        <f t="shared" si="133"/>
        <v>0.239175</v>
      </c>
      <c r="AT82" s="360">
        <f t="shared" si="111"/>
        <v>4.6149948329847987</v>
      </c>
      <c r="AU82">
        <f t="shared" si="112"/>
        <v>525.59999999999991</v>
      </c>
      <c r="AV82" s="542">
        <f t="shared" si="127"/>
        <v>0.99129599336503382</v>
      </c>
      <c r="AW82" s="551">
        <f t="shared" si="113"/>
        <v>59.291705437107353</v>
      </c>
      <c r="AX82" s="551">
        <f t="shared" si="114"/>
        <v>16.867914417651203</v>
      </c>
      <c r="AY82" s="9"/>
      <c r="AZ82" s="4">
        <f t="shared" si="128"/>
        <v>99.129599336503389</v>
      </c>
      <c r="BA82" s="360">
        <f t="shared" si="115"/>
        <v>1.0300612495681958</v>
      </c>
      <c r="BB82" s="360">
        <f t="shared" si="129"/>
        <v>2.0046460224936462</v>
      </c>
      <c r="BC82" s="360">
        <f t="shared" si="130"/>
        <v>1.5603080378186145</v>
      </c>
      <c r="BD82" s="360">
        <f t="shared" si="131"/>
        <v>0.44389248467503167</v>
      </c>
      <c r="BE82" s="360">
        <f t="shared" si="132"/>
        <v>1.059898293606137</v>
      </c>
      <c r="BK82" s="18"/>
      <c r="BL82" s="19"/>
    </row>
    <row r="83" spans="1:64" ht="13" x14ac:dyDescent="0.3">
      <c r="A83" s="2"/>
      <c r="G83">
        <v>74</v>
      </c>
      <c r="H83" s="548">
        <f t="shared" si="85"/>
        <v>45</v>
      </c>
      <c r="I83" s="4">
        <f t="shared" si="86"/>
        <v>2</v>
      </c>
      <c r="J83" s="360">
        <f t="shared" si="116"/>
        <v>44.4</v>
      </c>
      <c r="K83" s="360">
        <f t="shared" si="87"/>
        <v>22.2</v>
      </c>
      <c r="L83" s="4">
        <f t="shared" si="88"/>
        <v>13.155555555555555</v>
      </c>
      <c r="M83" s="360">
        <f t="shared" si="89"/>
        <v>0.53541622825360202</v>
      </c>
      <c r="N83" s="4">
        <f t="shared" si="90"/>
        <v>5.0935021929411395</v>
      </c>
      <c r="O83" s="4">
        <f t="shared" si="117"/>
        <v>24.746751096470568</v>
      </c>
      <c r="P83" s="4">
        <f t="shared" si="118"/>
        <v>19.65324890352943</v>
      </c>
      <c r="Q83" s="4">
        <f t="shared" si="91"/>
        <v>0</v>
      </c>
      <c r="R83" s="4">
        <f t="shared" si="119"/>
        <v>22.248639967028502</v>
      </c>
      <c r="S83" s="360">
        <f t="shared" si="92"/>
        <v>0.69300277253544129</v>
      </c>
      <c r="T83" s="360">
        <f t="shared" si="93"/>
        <v>0.3</v>
      </c>
      <c r="U83" s="360">
        <f t="shared" si="94"/>
        <v>1.0512863192531205</v>
      </c>
      <c r="V83" s="4">
        <f t="shared" si="120"/>
        <v>1.470367431106258</v>
      </c>
      <c r="W83" s="360">
        <f t="shared" si="121"/>
        <v>4.3239607649160324E-3</v>
      </c>
      <c r="X83" s="360">
        <f t="shared" si="122"/>
        <v>4.3239607649160324E-3</v>
      </c>
      <c r="Y83" s="4">
        <f t="shared" si="123"/>
        <v>11.096378217502568</v>
      </c>
      <c r="Z83" s="360">
        <f t="shared" si="124"/>
        <v>0.18469441431879821</v>
      </c>
      <c r="AA83" s="541">
        <f t="shared" si="125"/>
        <v>0.18469441431879821</v>
      </c>
      <c r="AB83" s="360">
        <f t="shared" si="126"/>
        <v>16.27980630457375</v>
      </c>
      <c r="AC83" s="360">
        <f t="shared" si="95"/>
        <v>0.47705776796599059</v>
      </c>
      <c r="AD83" s="360">
        <f t="shared" si="96"/>
        <v>0.57029120689655166</v>
      </c>
      <c r="AE83" s="360">
        <f t="shared" si="97"/>
        <v>0.39600000000000002</v>
      </c>
      <c r="AF83" s="360">
        <f t="shared" si="98"/>
        <v>0</v>
      </c>
      <c r="AG83" s="360">
        <f t="shared" si="99"/>
        <v>1.5561928454387282</v>
      </c>
      <c r="AH83" s="360">
        <f t="shared" si="100"/>
        <v>15.164758061638137</v>
      </c>
      <c r="AI83" s="360">
        <f t="shared" si="101"/>
        <v>0.41394579672243392</v>
      </c>
      <c r="AJ83" s="360">
        <f t="shared" si="102"/>
        <v>0</v>
      </c>
      <c r="AK83" s="360">
        <f t="shared" si="103"/>
        <v>0.44173997011093458</v>
      </c>
      <c r="AL83" s="360">
        <f t="shared" si="104"/>
        <v>9.8461439999999983E-2</v>
      </c>
      <c r="AM83" s="360">
        <f t="shared" si="105"/>
        <v>4.4549999999999999E-2</v>
      </c>
      <c r="AN83" s="360">
        <f t="shared" si="106"/>
        <v>1.0890043568414078</v>
      </c>
      <c r="AO83" s="360">
        <f t="shared" si="107"/>
        <v>1.5749999999999998E-3</v>
      </c>
      <c r="AP83" s="360">
        <f t="shared" si="108"/>
        <v>0.23760000000000001</v>
      </c>
      <c r="AQ83" s="360">
        <f t="shared" si="109"/>
        <v>0.22704000000000002</v>
      </c>
      <c r="AR83" s="360">
        <f t="shared" si="110"/>
        <v>0.2112</v>
      </c>
      <c r="AS83" s="360">
        <f t="shared" si="133"/>
        <v>0.239175</v>
      </c>
      <c r="AT83" s="360">
        <f t="shared" si="111"/>
        <v>4.7094283067279052</v>
      </c>
      <c r="AU83">
        <f t="shared" si="112"/>
        <v>532.79999999999995</v>
      </c>
      <c r="AV83" s="542">
        <f t="shared" si="127"/>
        <v>0.99123842660478789</v>
      </c>
      <c r="AW83" s="551">
        <f t="shared" si="113"/>
        <v>60.252642126671674</v>
      </c>
      <c r="AX83" s="551">
        <f t="shared" si="114"/>
        <v>17.344775864215514</v>
      </c>
      <c r="AY83" s="9"/>
      <c r="AZ83" s="4">
        <f t="shared" si="128"/>
        <v>99.123842660478786</v>
      </c>
      <c r="BA83" s="360">
        <f t="shared" si="115"/>
        <v>1.0512863192531205</v>
      </c>
      <c r="BB83" s="360">
        <f t="shared" si="129"/>
        <v>2.0424828155496626</v>
      </c>
      <c r="BC83" s="360">
        <f t="shared" si="130"/>
        <v>1.5855958454387282</v>
      </c>
      <c r="BD83" s="360">
        <f t="shared" si="131"/>
        <v>0.45644147011093456</v>
      </c>
      <c r="BE83" s="360">
        <f t="shared" si="132"/>
        <v>1.0890043568414078</v>
      </c>
      <c r="BK83" s="18"/>
      <c r="BL83" s="19"/>
    </row>
    <row r="84" spans="1:64" x14ac:dyDescent="0.25">
      <c r="G84">
        <v>75</v>
      </c>
      <c r="H84" s="548">
        <f t="shared" si="85"/>
        <v>45</v>
      </c>
      <c r="I84" s="4">
        <f t="shared" si="86"/>
        <v>2</v>
      </c>
      <c r="J84" s="360">
        <f t="shared" si="116"/>
        <v>45</v>
      </c>
      <c r="K84" s="360">
        <f t="shared" si="87"/>
        <v>22.5</v>
      </c>
      <c r="L84" s="4">
        <f t="shared" si="88"/>
        <v>13.333333333333334</v>
      </c>
      <c r="M84" s="360">
        <f t="shared" si="89"/>
        <v>0.53544434455432355</v>
      </c>
      <c r="N84" s="4">
        <f t="shared" si="90"/>
        <v>5.0935360194694912</v>
      </c>
      <c r="O84" s="4">
        <f t="shared" si="117"/>
        <v>25.046768009734745</v>
      </c>
      <c r="P84" s="4">
        <f t="shared" si="118"/>
        <v>19.953231990265255</v>
      </c>
      <c r="Q84" s="4">
        <f t="shared" si="91"/>
        <v>0</v>
      </c>
      <c r="R84" s="4">
        <f t="shared" si="119"/>
        <v>22.547993460582461</v>
      </c>
      <c r="S84" s="360">
        <f t="shared" si="92"/>
        <v>0.7117768127378572</v>
      </c>
      <c r="T84" s="360">
        <f t="shared" si="93"/>
        <v>0.3</v>
      </c>
      <c r="U84" s="360">
        <f t="shared" si="94"/>
        <v>1.0728682311418449</v>
      </c>
      <c r="V84" s="4">
        <f t="shared" si="120"/>
        <v>1.4703771959838829</v>
      </c>
      <c r="W84" s="360">
        <f t="shared" si="121"/>
        <v>4.3240181969388522E-3</v>
      </c>
      <c r="X84" s="360">
        <f t="shared" si="122"/>
        <v>4.3240181969388522E-3</v>
      </c>
      <c r="Y84" s="4">
        <f t="shared" si="123"/>
        <v>11.245633973859098</v>
      </c>
      <c r="Z84" s="360">
        <f t="shared" si="124"/>
        <v>0.18969642521102095</v>
      </c>
      <c r="AA84" s="541">
        <f t="shared" si="125"/>
        <v>0.18969642521102095</v>
      </c>
      <c r="AB84" s="360">
        <f t="shared" si="126"/>
        <v>16.499282862454258</v>
      </c>
      <c r="AC84" s="360">
        <f t="shared" si="95"/>
        <v>0.49000740295549816</v>
      </c>
      <c r="AD84" s="360">
        <f t="shared" si="96"/>
        <v>0.5779978448275862</v>
      </c>
      <c r="AE84" s="360">
        <f t="shared" si="97"/>
        <v>0.39600000000000002</v>
      </c>
      <c r="AF84" s="360">
        <f t="shared" si="98"/>
        <v>0</v>
      </c>
      <c r="AG84" s="360">
        <f t="shared" si="99"/>
        <v>1.5818210602969396</v>
      </c>
      <c r="AH84" s="360">
        <f t="shared" si="100"/>
        <v>15.36833348555375</v>
      </c>
      <c r="AI84" s="360">
        <f t="shared" si="101"/>
        <v>0.42513421342174684</v>
      </c>
      <c r="AJ84" s="360">
        <f t="shared" si="102"/>
        <v>0</v>
      </c>
      <c r="AK84" s="360">
        <f t="shared" si="103"/>
        <v>0.45450447457029935</v>
      </c>
      <c r="AL84" s="360">
        <f t="shared" si="104"/>
        <v>9.9791999999999992E-2</v>
      </c>
      <c r="AM84" s="360">
        <f t="shared" si="105"/>
        <v>4.4549999999999999E-2</v>
      </c>
      <c r="AN84" s="360">
        <f t="shared" si="106"/>
        <v>1.1185064200166328</v>
      </c>
      <c r="AO84" s="360">
        <f t="shared" si="107"/>
        <v>1.5749999999999998E-3</v>
      </c>
      <c r="AP84" s="360">
        <f t="shared" si="108"/>
        <v>0.23760000000000001</v>
      </c>
      <c r="AQ84" s="360">
        <f t="shared" si="109"/>
        <v>0.22704000000000002</v>
      </c>
      <c r="AR84" s="360">
        <f t="shared" si="110"/>
        <v>0.2112</v>
      </c>
      <c r="AS84" s="360">
        <f t="shared" si="133"/>
        <v>0.239175</v>
      </c>
      <c r="AT84" s="360">
        <f t="shared" si="111"/>
        <v>4.8052376294336767</v>
      </c>
      <c r="AU84">
        <f t="shared" si="112"/>
        <v>540</v>
      </c>
      <c r="AV84" s="542">
        <f t="shared" si="127"/>
        <v>0.99117989825071739</v>
      </c>
      <c r="AW84" s="551">
        <f t="shared" si="113"/>
        <v>61.226514291283706</v>
      </c>
      <c r="AX84" s="551">
        <f t="shared" si="114"/>
        <v>17.829827033671375</v>
      </c>
      <c r="AY84" s="9"/>
      <c r="AZ84" s="4">
        <f t="shared" si="128"/>
        <v>99.117989825071746</v>
      </c>
      <c r="BA84" s="360">
        <f t="shared" si="115"/>
        <v>1.0728682311418449</v>
      </c>
      <c r="BB84" s="360">
        <f t="shared" si="129"/>
        <v>2.0808755348672392</v>
      </c>
      <c r="BC84" s="360">
        <f t="shared" si="130"/>
        <v>1.6112240602969397</v>
      </c>
      <c r="BD84" s="360">
        <f t="shared" si="131"/>
        <v>0.46920597457029933</v>
      </c>
      <c r="BE84" s="360">
        <f t="shared" si="132"/>
        <v>1.1185064200166328</v>
      </c>
      <c r="BK84" s="18"/>
      <c r="BL84" s="19"/>
    </row>
    <row r="85" spans="1:64" x14ac:dyDescent="0.25">
      <c r="G85">
        <v>76</v>
      </c>
      <c r="H85" s="548">
        <f t="shared" si="85"/>
        <v>45</v>
      </c>
      <c r="I85" s="4">
        <f t="shared" si="86"/>
        <v>2</v>
      </c>
      <c r="J85" s="360">
        <f t="shared" si="116"/>
        <v>45.6</v>
      </c>
      <c r="K85" s="360">
        <f t="shared" si="87"/>
        <v>22.8</v>
      </c>
      <c r="L85" s="4">
        <f t="shared" si="88"/>
        <v>13.511111111111113</v>
      </c>
      <c r="M85" s="360">
        <f t="shared" si="89"/>
        <v>0.53547246003121851</v>
      </c>
      <c r="N85" s="4">
        <f t="shared" si="90"/>
        <v>5.0935698136235041</v>
      </c>
      <c r="O85" s="4">
        <f t="shared" si="117"/>
        <v>25.346784906811752</v>
      </c>
      <c r="P85" s="4">
        <f t="shared" si="118"/>
        <v>20.253215093188249</v>
      </c>
      <c r="Q85" s="4">
        <f t="shared" si="91"/>
        <v>0</v>
      </c>
      <c r="R85" s="4">
        <f t="shared" si="119"/>
        <v>22.847363913309302</v>
      </c>
      <c r="S85" s="360">
        <f t="shared" si="92"/>
        <v>0.73080285290206337</v>
      </c>
      <c r="T85" s="360">
        <f t="shared" si="93"/>
        <v>0.3</v>
      </c>
      <c r="U85" s="360">
        <f t="shared" si="94"/>
        <v>1.0948100792459747</v>
      </c>
      <c r="V85" s="4">
        <f t="shared" si="120"/>
        <v>1.4703869515158412</v>
      </c>
      <c r="W85" s="360">
        <f t="shared" si="121"/>
        <v>4.3240755743760972E-3</v>
      </c>
      <c r="X85" s="360">
        <f t="shared" si="122"/>
        <v>4.3240755743760972E-3</v>
      </c>
      <c r="Y85" s="4">
        <f t="shared" si="123"/>
        <v>11.394896957545114</v>
      </c>
      <c r="Z85" s="360">
        <f t="shared" si="124"/>
        <v>0.19476551500960637</v>
      </c>
      <c r="AA85" s="541">
        <f t="shared" si="125"/>
        <v>0.19476551500960637</v>
      </c>
      <c r="AB85" s="360">
        <f t="shared" si="126"/>
        <v>16.718783308459223</v>
      </c>
      <c r="AC85" s="360">
        <f t="shared" si="95"/>
        <v>0.50313188756738647</v>
      </c>
      <c r="AD85" s="360">
        <f t="shared" si="96"/>
        <v>0.58570448275862064</v>
      </c>
      <c r="AE85" s="360">
        <f t="shared" si="97"/>
        <v>0.39600000000000002</v>
      </c>
      <c r="AF85" s="360">
        <f t="shared" si="98"/>
        <v>0</v>
      </c>
      <c r="AG85" s="360">
        <f t="shared" si="99"/>
        <v>1.607794107947405</v>
      </c>
      <c r="AH85" s="360">
        <f t="shared" si="100"/>
        <v>15.571908119173239</v>
      </c>
      <c r="AI85" s="360">
        <f t="shared" si="101"/>
        <v>0.43647178044955215</v>
      </c>
      <c r="AJ85" s="360">
        <f t="shared" si="102"/>
        <v>0</v>
      </c>
      <c r="AK85" s="360">
        <f t="shared" si="103"/>
        <v>0.46748657446873609</v>
      </c>
      <c r="AL85" s="360">
        <f t="shared" si="104"/>
        <v>0.10112255999999999</v>
      </c>
      <c r="AM85" s="360">
        <f t="shared" si="105"/>
        <v>4.4549999999999999E-2</v>
      </c>
      <c r="AN85" s="360">
        <f t="shared" si="106"/>
        <v>1.1484044831318139</v>
      </c>
      <c r="AO85" s="360">
        <f t="shared" si="107"/>
        <v>1.5749999999999998E-3</v>
      </c>
      <c r="AP85" s="360">
        <f t="shared" si="108"/>
        <v>0.23760000000000001</v>
      </c>
      <c r="AQ85" s="360">
        <f t="shared" si="109"/>
        <v>0.22704000000000002</v>
      </c>
      <c r="AR85" s="360">
        <f t="shared" si="110"/>
        <v>0.2112</v>
      </c>
      <c r="AS85" s="360">
        <f t="shared" si="133"/>
        <v>0.239175</v>
      </c>
      <c r="AT85" s="360">
        <f t="shared" si="111"/>
        <v>4.9024323953779128</v>
      </c>
      <c r="AU85">
        <f t="shared" si="112"/>
        <v>547.20000000000005</v>
      </c>
      <c r="AV85" s="542">
        <f t="shared" si="127"/>
        <v>0.99112042963819602</v>
      </c>
      <c r="AW85" s="551">
        <f t="shared" si="113"/>
        <v>62.213490102001394</v>
      </c>
      <c r="AX85" s="551">
        <f t="shared" si="114"/>
        <v>18.323146829811972</v>
      </c>
      <c r="AY85" s="9"/>
      <c r="AZ85" s="4">
        <f t="shared" si="128"/>
        <v>99.112042963819604</v>
      </c>
      <c r="BA85" s="360">
        <f t="shared" si="115"/>
        <v>1.0948100792459747</v>
      </c>
      <c r="BB85" s="360">
        <f t="shared" si="129"/>
        <v>2.1198306824161413</v>
      </c>
      <c r="BC85" s="360">
        <f t="shared" si="130"/>
        <v>1.637197107947405</v>
      </c>
      <c r="BD85" s="360">
        <f t="shared" si="131"/>
        <v>0.48218807446873607</v>
      </c>
      <c r="BE85" s="360">
        <f t="shared" si="132"/>
        <v>1.1484044831318139</v>
      </c>
      <c r="BK85" s="18"/>
      <c r="BL85" s="19"/>
    </row>
    <row r="86" spans="1:64" x14ac:dyDescent="0.25">
      <c r="G86">
        <v>77</v>
      </c>
      <c r="H86" s="548">
        <f t="shared" si="85"/>
        <v>45</v>
      </c>
      <c r="I86" s="4">
        <f t="shared" si="86"/>
        <v>2</v>
      </c>
      <c r="J86" s="360">
        <f t="shared" si="116"/>
        <v>46.2</v>
      </c>
      <c r="K86" s="360">
        <f t="shared" si="87"/>
        <v>23.1</v>
      </c>
      <c r="L86" s="4">
        <f t="shared" si="88"/>
        <v>13.688888888888892</v>
      </c>
      <c r="M86" s="360">
        <f t="shared" si="89"/>
        <v>0.53550057468432311</v>
      </c>
      <c r="N86" s="4">
        <f t="shared" si="90"/>
        <v>5.0936035754045994</v>
      </c>
      <c r="O86" s="4">
        <f t="shared" si="117"/>
        <v>25.646801787702302</v>
      </c>
      <c r="P86" s="4">
        <f t="shared" si="118"/>
        <v>20.553198212297701</v>
      </c>
      <c r="Q86" s="4">
        <f t="shared" si="91"/>
        <v>0</v>
      </c>
      <c r="R86" s="4">
        <f t="shared" si="119"/>
        <v>23.14675066718036</v>
      </c>
      <c r="S86" s="360">
        <f t="shared" si="92"/>
        <v>0.75008089302806014</v>
      </c>
      <c r="T86" s="360">
        <f t="shared" si="93"/>
        <v>0.3</v>
      </c>
      <c r="U86" s="360">
        <f t="shared" si="94"/>
        <v>1.117115023801508</v>
      </c>
      <c r="V86" s="4">
        <f t="shared" si="120"/>
        <v>1.4703966977025429</v>
      </c>
      <c r="W86" s="360">
        <f t="shared" si="121"/>
        <v>4.3241328972290867E-3</v>
      </c>
      <c r="X86" s="360">
        <f t="shared" si="122"/>
        <v>4.3241328972290867E-3</v>
      </c>
      <c r="Y86" s="4">
        <f t="shared" si="123"/>
        <v>11.544166838899569</v>
      </c>
      <c r="Z86" s="360">
        <f t="shared" si="124"/>
        <v>0.1999016820065227</v>
      </c>
      <c r="AA86" s="541">
        <f t="shared" si="125"/>
        <v>0.1999016820065227</v>
      </c>
      <c r="AB86" s="360">
        <f t="shared" si="126"/>
        <v>16.938307161078416</v>
      </c>
      <c r="AC86" s="360">
        <f t="shared" si="95"/>
        <v>0.51643124906947269</v>
      </c>
      <c r="AD86" s="360">
        <f t="shared" si="96"/>
        <v>0.59341112068965507</v>
      </c>
      <c r="AE86" s="360">
        <f t="shared" si="97"/>
        <v>0.39600000000000002</v>
      </c>
      <c r="AF86" s="360">
        <f t="shared" si="98"/>
        <v>0</v>
      </c>
      <c r="AG86" s="360">
        <f t="shared" si="99"/>
        <v>1.6341165121460046</v>
      </c>
      <c r="AH86" s="360">
        <f t="shared" si="100"/>
        <v>15.775481512954654</v>
      </c>
      <c r="AI86" s="360">
        <f t="shared" si="101"/>
        <v>0.44795847053803328</v>
      </c>
      <c r="AJ86" s="360">
        <f t="shared" si="102"/>
        <v>0</v>
      </c>
      <c r="AK86" s="360">
        <f t="shared" si="103"/>
        <v>0.48068839301368194</v>
      </c>
      <c r="AL86" s="360">
        <f t="shared" si="104"/>
        <v>0.10245311999999999</v>
      </c>
      <c r="AM86" s="360">
        <f t="shared" si="105"/>
        <v>4.4549999999999999E-2</v>
      </c>
      <c r="AN86" s="360">
        <f t="shared" si="106"/>
        <v>1.1786985461869517</v>
      </c>
      <c r="AO86" s="360">
        <f t="shared" si="107"/>
        <v>1.5749999999999998E-3</v>
      </c>
      <c r="AP86" s="360">
        <f t="shared" si="108"/>
        <v>0.23760000000000001</v>
      </c>
      <c r="AQ86" s="360">
        <f t="shared" si="109"/>
        <v>0.22704000000000002</v>
      </c>
      <c r="AR86" s="360">
        <f t="shared" si="110"/>
        <v>0.2112</v>
      </c>
      <c r="AS86" s="360">
        <f t="shared" si="133"/>
        <v>0.239175</v>
      </c>
      <c r="AT86" s="360">
        <f t="shared" si="111"/>
        <v>5.0010224100518981</v>
      </c>
      <c r="AU86">
        <f t="shared" si="112"/>
        <v>554.40000000000009</v>
      </c>
      <c r="AV86" s="542">
        <f t="shared" si="127"/>
        <v>0.99106004063327213</v>
      </c>
      <c r="AW86" s="551">
        <f t="shared" si="113"/>
        <v>63.213741461548182</v>
      </c>
      <c r="AX86" s="551">
        <f t="shared" si="114"/>
        <v>18.824815934519911</v>
      </c>
      <c r="AY86" s="9"/>
      <c r="AZ86" s="4">
        <f t="shared" si="128"/>
        <v>99.106004063327219</v>
      </c>
      <c r="BA86" s="360">
        <f t="shared" si="115"/>
        <v>1.117115023801508</v>
      </c>
      <c r="BB86" s="360">
        <f t="shared" si="129"/>
        <v>2.1593549051596868</v>
      </c>
      <c r="BC86" s="360">
        <f t="shared" si="130"/>
        <v>1.6635195121460047</v>
      </c>
      <c r="BD86" s="360">
        <f t="shared" si="131"/>
        <v>0.49538989301368191</v>
      </c>
      <c r="BE86" s="360">
        <f t="shared" si="132"/>
        <v>1.1786985461869517</v>
      </c>
      <c r="BK86" s="18"/>
      <c r="BL86" s="19"/>
    </row>
    <row r="87" spans="1:64" x14ac:dyDescent="0.25">
      <c r="G87">
        <v>78</v>
      </c>
      <c r="H87" s="548">
        <f t="shared" si="85"/>
        <v>45</v>
      </c>
      <c r="I87" s="4">
        <f t="shared" si="86"/>
        <v>2</v>
      </c>
      <c r="J87" s="360">
        <f t="shared" si="116"/>
        <v>46.8</v>
      </c>
      <c r="K87" s="360">
        <f t="shared" si="87"/>
        <v>23.4</v>
      </c>
      <c r="L87" s="4">
        <f t="shared" si="88"/>
        <v>13.866666666666664</v>
      </c>
      <c r="M87" s="360">
        <f t="shared" si="89"/>
        <v>0.53552868851367363</v>
      </c>
      <c r="N87" s="4">
        <f t="shared" si="90"/>
        <v>5.0936373048142007</v>
      </c>
      <c r="O87" s="4">
        <f t="shared" si="117"/>
        <v>25.946818652407099</v>
      </c>
      <c r="P87" s="4">
        <f t="shared" si="118"/>
        <v>20.853181347592898</v>
      </c>
      <c r="Q87" s="4">
        <f t="shared" si="91"/>
        <v>0</v>
      </c>
      <c r="R87" s="4">
        <f t="shared" si="119"/>
        <v>23.446153097741846</v>
      </c>
      <c r="S87" s="360">
        <f t="shared" si="92"/>
        <v>0.76961093311584938</v>
      </c>
      <c r="T87" s="360">
        <f t="shared" si="93"/>
        <v>0.3</v>
      </c>
      <c r="U87" s="360">
        <f t="shared" si="94"/>
        <v>1.1397862924847999</v>
      </c>
      <c r="V87" s="4">
        <f t="shared" si="120"/>
        <v>1.4704064345443995</v>
      </c>
      <c r="W87" s="360">
        <f t="shared" si="121"/>
        <v>4.3241901654991468E-3</v>
      </c>
      <c r="X87" s="360">
        <f t="shared" si="122"/>
        <v>4.3241901654991468E-3</v>
      </c>
      <c r="Y87" s="4">
        <f t="shared" si="123"/>
        <v>11.693443305011675</v>
      </c>
      <c r="Z87" s="360">
        <f t="shared" si="124"/>
        <v>0.20510492449128356</v>
      </c>
      <c r="AA87" s="541">
        <f t="shared" si="125"/>
        <v>0.20510492449128356</v>
      </c>
      <c r="AB87" s="360">
        <f t="shared" si="126"/>
        <v>17.157853963321106</v>
      </c>
      <c r="AC87" s="360">
        <f t="shared" si="95"/>
        <v>0.52990551472797676</v>
      </c>
      <c r="AD87" s="360">
        <f t="shared" si="96"/>
        <v>0.60111775862068961</v>
      </c>
      <c r="AE87" s="360">
        <f t="shared" si="97"/>
        <v>0.39600000000000002</v>
      </c>
      <c r="AF87" s="360">
        <f t="shared" si="98"/>
        <v>0</v>
      </c>
      <c r="AG87" s="360">
        <f t="shared" si="99"/>
        <v>1.6607928972390027</v>
      </c>
      <c r="AH87" s="360">
        <f t="shared" si="100"/>
        <v>15.979053240292295</v>
      </c>
      <c r="AI87" s="360">
        <f t="shared" si="101"/>
        <v>0.45959425642097224</v>
      </c>
      <c r="AJ87" s="360">
        <f t="shared" si="102"/>
        <v>0</v>
      </c>
      <c r="AK87" s="360">
        <f t="shared" si="103"/>
        <v>0.49411210114559345</v>
      </c>
      <c r="AL87" s="360">
        <f t="shared" si="104"/>
        <v>0.10378367999999998</v>
      </c>
      <c r="AM87" s="360">
        <f t="shared" si="105"/>
        <v>4.4549999999999999E-2</v>
      </c>
      <c r="AN87" s="360">
        <f t="shared" si="106"/>
        <v>1.2093886091820492</v>
      </c>
      <c r="AO87" s="360">
        <f t="shared" si="107"/>
        <v>1.5749999999999998E-3</v>
      </c>
      <c r="AP87" s="360">
        <f t="shared" si="108"/>
        <v>0.23760000000000001</v>
      </c>
      <c r="AQ87" s="360">
        <f t="shared" si="109"/>
        <v>0.22704000000000002</v>
      </c>
      <c r="AR87" s="360">
        <f t="shared" si="110"/>
        <v>0.2112</v>
      </c>
      <c r="AS87" s="360">
        <f t="shared" si="133"/>
        <v>0.239175</v>
      </c>
      <c r="AT87" s="360">
        <f t="shared" si="111"/>
        <v>5.1010176947082275</v>
      </c>
      <c r="AU87">
        <f t="shared" si="112"/>
        <v>561.59999999999991</v>
      </c>
      <c r="AV87" s="542">
        <f t="shared" si="127"/>
        <v>0.99099874971910451</v>
      </c>
      <c r="AW87" s="551">
        <f t="shared" si="113"/>
        <v>64.227444095082106</v>
      </c>
      <c r="AX87" s="551">
        <f t="shared" si="114"/>
        <v>19.334916843532554</v>
      </c>
      <c r="AY87" s="9"/>
      <c r="AZ87" s="4">
        <f t="shared" si="128"/>
        <v>99.099874971910452</v>
      </c>
      <c r="BA87" s="360">
        <f t="shared" si="115"/>
        <v>1.1397862924847999</v>
      </c>
      <c r="BB87" s="360">
        <f t="shared" si="129"/>
        <v>2.1994549983845961</v>
      </c>
      <c r="BC87" s="360">
        <f t="shared" si="130"/>
        <v>1.6901958972390028</v>
      </c>
      <c r="BD87" s="360">
        <f t="shared" si="131"/>
        <v>0.50881360114559349</v>
      </c>
      <c r="BE87" s="360">
        <f t="shared" si="132"/>
        <v>1.2093886091820492</v>
      </c>
      <c r="BK87" s="18"/>
      <c r="BL87" s="19"/>
    </row>
    <row r="88" spans="1:64" x14ac:dyDescent="0.25">
      <c r="G88">
        <v>79</v>
      </c>
      <c r="H88" s="548">
        <f t="shared" si="85"/>
        <v>45</v>
      </c>
      <c r="I88" s="4">
        <f t="shared" si="86"/>
        <v>2</v>
      </c>
      <c r="J88" s="360">
        <f t="shared" si="116"/>
        <v>47.4</v>
      </c>
      <c r="K88" s="360">
        <f t="shared" si="87"/>
        <v>23.7</v>
      </c>
      <c r="L88" s="4">
        <f t="shared" si="88"/>
        <v>14.044444444444443</v>
      </c>
      <c r="M88" s="360">
        <f t="shared" si="89"/>
        <v>0.53555680151930629</v>
      </c>
      <c r="N88" s="4">
        <f t="shared" si="90"/>
        <v>5.0936710018537301</v>
      </c>
      <c r="O88" s="4">
        <f t="shared" si="117"/>
        <v>26.246835500926863</v>
      </c>
      <c r="P88" s="4">
        <f t="shared" si="118"/>
        <v>21.153164499073135</v>
      </c>
      <c r="Q88" s="4">
        <f t="shared" si="91"/>
        <v>0</v>
      </c>
      <c r="R88" s="4">
        <f t="shared" si="119"/>
        <v>23.745570612002435</v>
      </c>
      <c r="S88" s="360">
        <f t="shared" si="92"/>
        <v>0.78939297316543111</v>
      </c>
      <c r="T88" s="360">
        <f t="shared" si="93"/>
        <v>0.3</v>
      </c>
      <c r="U88" s="360">
        <f t="shared" si="94"/>
        <v>1.1628271816622249</v>
      </c>
      <c r="V88" s="4">
        <f t="shared" si="120"/>
        <v>1.470416162041821</v>
      </c>
      <c r="W88" s="360">
        <f t="shared" si="121"/>
        <v>4.3242473791875978E-3</v>
      </c>
      <c r="X88" s="360">
        <f t="shared" si="122"/>
        <v>4.3242473791875978E-3</v>
      </c>
      <c r="Y88" s="4">
        <f t="shared" si="123"/>
        <v>11.842726058667044</v>
      </c>
      <c r="Z88" s="360">
        <f t="shared" si="124"/>
        <v>0.21037524075094716</v>
      </c>
      <c r="AA88" s="541">
        <f t="shared" si="125"/>
        <v>0.21037524075094716</v>
      </c>
      <c r="AB88" s="360">
        <f t="shared" si="126"/>
        <v>17.377423281173392</v>
      </c>
      <c r="AC88" s="360">
        <f t="shared" si="95"/>
        <v>0.54355471180752069</v>
      </c>
      <c r="AD88" s="360">
        <f t="shared" si="96"/>
        <v>0.60882439655172405</v>
      </c>
      <c r="AE88" s="360">
        <f t="shared" si="97"/>
        <v>0.39600000000000002</v>
      </c>
      <c r="AF88" s="360">
        <f t="shared" si="98"/>
        <v>0</v>
      </c>
      <c r="AG88" s="360">
        <f t="shared" si="99"/>
        <v>1.6878279906272025</v>
      </c>
      <c r="AH88" s="360">
        <f t="shared" si="100"/>
        <v>16.182622896073635</v>
      </c>
      <c r="AI88" s="360">
        <f t="shared" si="101"/>
        <v>0.47137911083374789</v>
      </c>
      <c r="AJ88" s="360">
        <f t="shared" si="102"/>
        <v>0</v>
      </c>
      <c r="AK88" s="360">
        <f t="shared" si="103"/>
        <v>0.50775991850697899</v>
      </c>
      <c r="AL88" s="360">
        <f t="shared" si="104"/>
        <v>0.10511423999999998</v>
      </c>
      <c r="AM88" s="360">
        <f t="shared" si="105"/>
        <v>4.4549999999999999E-2</v>
      </c>
      <c r="AN88" s="360">
        <f t="shared" si="106"/>
        <v>1.240474672117106</v>
      </c>
      <c r="AO88" s="360">
        <f t="shared" si="107"/>
        <v>1.5749999999999998E-3</v>
      </c>
      <c r="AP88" s="360">
        <f t="shared" si="108"/>
        <v>0.23760000000000001</v>
      </c>
      <c r="AQ88" s="360">
        <f t="shared" si="109"/>
        <v>0.22704000000000002</v>
      </c>
      <c r="AR88" s="360">
        <f t="shared" si="110"/>
        <v>0.2112</v>
      </c>
      <c r="AS88" s="360">
        <f t="shared" si="133"/>
        <v>0.239175</v>
      </c>
      <c r="AT88" s="360">
        <f t="shared" si="111"/>
        <v>5.2024284910436469</v>
      </c>
      <c r="AU88">
        <f t="shared" si="112"/>
        <v>568.79999999999995</v>
      </c>
      <c r="AV88" s="542">
        <f t="shared" si="127"/>
        <v>0.99093657407561853</v>
      </c>
      <c r="AW88" s="551">
        <f t="shared" si="113"/>
        <v>65.254777643833691</v>
      </c>
      <c r="AX88" s="551">
        <f t="shared" si="114"/>
        <v>19.853533903265202</v>
      </c>
      <c r="AY88" s="9"/>
      <c r="AZ88" s="4">
        <f t="shared" si="128"/>
        <v>99.093657407561849</v>
      </c>
      <c r="BA88" s="360">
        <f t="shared" si="115"/>
        <v>1.1628271816622249</v>
      </c>
      <c r="BB88" s="360">
        <f t="shared" si="129"/>
        <v>2.2401379091341815</v>
      </c>
      <c r="BC88" s="360">
        <f t="shared" si="130"/>
        <v>1.7172309906272025</v>
      </c>
      <c r="BD88" s="360">
        <f t="shared" si="131"/>
        <v>0.52246141850697903</v>
      </c>
      <c r="BE88" s="360">
        <f t="shared" si="132"/>
        <v>1.240474672117106</v>
      </c>
      <c r="BK88" s="18"/>
      <c r="BL88" s="19"/>
    </row>
    <row r="89" spans="1:64" x14ac:dyDescent="0.25">
      <c r="G89">
        <v>80</v>
      </c>
      <c r="H89" s="548">
        <f t="shared" si="85"/>
        <v>45</v>
      </c>
      <c r="I89" s="4">
        <f t="shared" si="86"/>
        <v>2</v>
      </c>
      <c r="J89" s="360">
        <f t="shared" si="116"/>
        <v>48</v>
      </c>
      <c r="K89" s="360">
        <f t="shared" si="87"/>
        <v>24</v>
      </c>
      <c r="L89" s="4">
        <f t="shared" si="88"/>
        <v>14.222222222222221</v>
      </c>
      <c r="M89" s="360">
        <f t="shared" si="89"/>
        <v>0.53558491370125727</v>
      </c>
      <c r="N89" s="4">
        <f t="shared" si="90"/>
        <v>5.0937046665246122</v>
      </c>
      <c r="O89" s="4">
        <f t="shared" si="117"/>
        <v>26.546852333262308</v>
      </c>
      <c r="P89" s="4">
        <f t="shared" si="118"/>
        <v>21.453147666737692</v>
      </c>
      <c r="Q89" s="4">
        <f t="shared" si="91"/>
        <v>0</v>
      </c>
      <c r="R89" s="4">
        <f t="shared" si="119"/>
        <v>24.045002646478288</v>
      </c>
      <c r="S89" s="360">
        <f t="shared" si="92"/>
        <v>0.8094270131768071</v>
      </c>
      <c r="T89" s="360">
        <f t="shared" si="93"/>
        <v>0.3</v>
      </c>
      <c r="U89" s="360">
        <f t="shared" si="94"/>
        <v>1.1862410576745006</v>
      </c>
      <c r="V89" s="4">
        <f t="shared" si="120"/>
        <v>1.470425880195219</v>
      </c>
      <c r="W89" s="360">
        <f t="shared" si="121"/>
        <v>4.3243045382957692E-3</v>
      </c>
      <c r="X89" s="360">
        <f t="shared" si="122"/>
        <v>4.3243045382957692E-3</v>
      </c>
      <c r="Y89" s="4">
        <f t="shared" si="123"/>
        <v>11.992014817372366</v>
      </c>
      <c r="Z89" s="360">
        <f t="shared" si="124"/>
        <v>0.2157126290701176</v>
      </c>
      <c r="AA89" s="541">
        <f t="shared" si="125"/>
        <v>0.2157126290701176</v>
      </c>
      <c r="AB89" s="360">
        <f t="shared" si="126"/>
        <v>17.597014702170501</v>
      </c>
      <c r="AC89" s="360">
        <f t="shared" si="95"/>
        <v>0.55737886757112864</v>
      </c>
      <c r="AD89" s="360">
        <f t="shared" si="96"/>
        <v>0.61653103448275859</v>
      </c>
      <c r="AE89" s="360">
        <f t="shared" si="97"/>
        <v>0.39600000000000002</v>
      </c>
      <c r="AF89" s="360">
        <f t="shared" si="98"/>
        <v>0</v>
      </c>
      <c r="AG89" s="360">
        <f t="shared" si="99"/>
        <v>1.7152266253082997</v>
      </c>
      <c r="AH89" s="360">
        <f t="shared" si="100"/>
        <v>16.386190095343796</v>
      </c>
      <c r="AI89" s="360">
        <f t="shared" si="101"/>
        <v>0.48331300651333758</v>
      </c>
      <c r="AJ89" s="360">
        <f t="shared" si="102"/>
        <v>0</v>
      </c>
      <c r="AK89" s="360">
        <f t="shared" si="103"/>
        <v>0.52163411444013519</v>
      </c>
      <c r="AL89" s="360">
        <f t="shared" si="104"/>
        <v>0.10644479999999998</v>
      </c>
      <c r="AM89" s="360">
        <f t="shared" si="105"/>
        <v>4.4549999999999999E-2</v>
      </c>
      <c r="AN89" s="360">
        <f t="shared" si="106"/>
        <v>1.2719567349921255</v>
      </c>
      <c r="AO89" s="360">
        <f t="shared" si="107"/>
        <v>1.5749999999999998E-3</v>
      </c>
      <c r="AP89" s="360">
        <f t="shared" si="108"/>
        <v>0.23760000000000001</v>
      </c>
      <c r="AQ89" s="360">
        <f t="shared" si="109"/>
        <v>0.22704000000000002</v>
      </c>
      <c r="AR89" s="360">
        <f t="shared" si="110"/>
        <v>0.2112</v>
      </c>
      <c r="AS89" s="360">
        <f t="shared" si="133"/>
        <v>0.239175</v>
      </c>
      <c r="AT89" s="360">
        <f t="shared" si="111"/>
        <v>5.3052652660234738</v>
      </c>
      <c r="AU89">
        <f t="shared" si="112"/>
        <v>576</v>
      </c>
      <c r="AV89" s="542">
        <f t="shared" si="127"/>
        <v>0.99087352965296871</v>
      </c>
      <c r="AW89" s="551">
        <f t="shared" si="113"/>
        <v>66.295925761715395</v>
      </c>
      <c r="AX89" s="551">
        <f t="shared" si="114"/>
        <v>20.38075334872514</v>
      </c>
      <c r="AY89" s="9"/>
      <c r="AZ89" s="4">
        <f t="shared" si="128"/>
        <v>99.087352965296873</v>
      </c>
      <c r="BA89" s="360">
        <f t="shared" si="115"/>
        <v>1.1862410576745006</v>
      </c>
      <c r="BB89" s="360">
        <f t="shared" si="129"/>
        <v>2.2814107397484351</v>
      </c>
      <c r="BC89" s="360">
        <f t="shared" si="130"/>
        <v>1.7446296253082998</v>
      </c>
      <c r="BD89" s="360">
        <f t="shared" si="131"/>
        <v>0.53633561444013522</v>
      </c>
      <c r="BE89" s="360">
        <f t="shared" si="132"/>
        <v>1.2719567349921255</v>
      </c>
      <c r="BK89" s="18"/>
      <c r="BL89" s="19"/>
    </row>
    <row r="90" spans="1:64" x14ac:dyDescent="0.25">
      <c r="G90">
        <v>81</v>
      </c>
      <c r="H90" s="548">
        <f t="shared" si="85"/>
        <v>45</v>
      </c>
      <c r="I90" s="4">
        <f t="shared" si="86"/>
        <v>2</v>
      </c>
      <c r="J90" s="360">
        <f t="shared" si="116"/>
        <v>48.6</v>
      </c>
      <c r="K90" s="360">
        <f t="shared" si="87"/>
        <v>24.3</v>
      </c>
      <c r="L90" s="4">
        <f t="shared" si="88"/>
        <v>14.4</v>
      </c>
      <c r="M90" s="360">
        <f t="shared" si="89"/>
        <v>0.53561302505956254</v>
      </c>
      <c r="N90" s="4">
        <f t="shared" si="90"/>
        <v>5.0937382988282653</v>
      </c>
      <c r="O90" s="4">
        <f t="shared" si="117"/>
        <v>26.846869149414132</v>
      </c>
      <c r="P90" s="4">
        <f t="shared" si="118"/>
        <v>21.753130850585869</v>
      </c>
      <c r="Q90" s="4">
        <f t="shared" si="91"/>
        <v>0</v>
      </c>
      <c r="R90" s="4">
        <f t="shared" si="119"/>
        <v>24.344448665381858</v>
      </c>
      <c r="S90" s="360">
        <f t="shared" si="92"/>
        <v>0.82971305314997756</v>
      </c>
      <c r="T90" s="360">
        <f t="shared" si="93"/>
        <v>0.3</v>
      </c>
      <c r="U90" s="360">
        <f t="shared" si="94"/>
        <v>1.2100313581566466</v>
      </c>
      <c r="V90" s="4">
        <f t="shared" si="120"/>
        <v>1.4704355890050027</v>
      </c>
      <c r="W90" s="360">
        <f t="shared" si="121"/>
        <v>4.3243616428249787E-3</v>
      </c>
      <c r="X90" s="360">
        <f t="shared" si="122"/>
        <v>4.3243616428249787E-3</v>
      </c>
      <c r="Y90" s="4">
        <f t="shared" si="123"/>
        <v>12.14130931245184</v>
      </c>
      <c r="Z90" s="360">
        <f t="shared" si="124"/>
        <v>0.22111708773094466</v>
      </c>
      <c r="AA90" s="541">
        <f t="shared" si="125"/>
        <v>0.22111708773094466</v>
      </c>
      <c r="AB90" s="360">
        <f t="shared" si="126"/>
        <v>17.81662783407409</v>
      </c>
      <c r="AC90" s="360">
        <f t="shared" si="95"/>
        <v>0.57137800928022642</v>
      </c>
      <c r="AD90" s="360">
        <f t="shared" si="96"/>
        <v>0.62423767241379302</v>
      </c>
      <c r="AE90" s="360">
        <f t="shared" si="97"/>
        <v>0.39600000000000002</v>
      </c>
      <c r="AF90" s="360">
        <f t="shared" si="98"/>
        <v>0</v>
      </c>
      <c r="AG90" s="360">
        <f t="shared" si="99"/>
        <v>1.7429937425002255</v>
      </c>
      <c r="AH90" s="360">
        <f t="shared" si="100"/>
        <v>16.589754472068261</v>
      </c>
      <c r="AI90" s="360">
        <f t="shared" si="101"/>
        <v>0.49539591619831597</v>
      </c>
      <c r="AJ90" s="360">
        <f t="shared" si="102"/>
        <v>0</v>
      </c>
      <c r="AK90" s="360">
        <f t="shared" si="103"/>
        <v>0.53573700901447052</v>
      </c>
      <c r="AL90" s="360">
        <f t="shared" si="104"/>
        <v>0.10777535999999999</v>
      </c>
      <c r="AM90" s="360">
        <f t="shared" si="105"/>
        <v>4.4549999999999999E-2</v>
      </c>
      <c r="AN90" s="360">
        <f t="shared" si="106"/>
        <v>1.3038347978071076</v>
      </c>
      <c r="AO90" s="360">
        <f t="shared" si="107"/>
        <v>1.5749999999999998E-3</v>
      </c>
      <c r="AP90" s="360">
        <f t="shared" si="108"/>
        <v>0.23760000000000001</v>
      </c>
      <c r="AQ90" s="360">
        <f t="shared" si="109"/>
        <v>0.22704000000000002</v>
      </c>
      <c r="AR90" s="360">
        <f t="shared" si="110"/>
        <v>0.2112</v>
      </c>
      <c r="AS90" s="360">
        <f t="shared" si="133"/>
        <v>0.239175</v>
      </c>
      <c r="AT90" s="360">
        <f t="shared" si="111"/>
        <v>5.4095387168522207</v>
      </c>
      <c r="AU90">
        <f t="shared" si="112"/>
        <v>583.20000000000005</v>
      </c>
      <c r="AV90" s="542">
        <f t="shared" si="127"/>
        <v>0.99080963123933596</v>
      </c>
      <c r="AW90" s="551">
        <f t="shared" si="113"/>
        <v>67.351076215008575</v>
      </c>
      <c r="AX90" s="551">
        <f t="shared" si="114"/>
        <v>20.916663342549882</v>
      </c>
      <c r="AY90" s="9"/>
      <c r="AZ90" s="4">
        <f t="shared" si="128"/>
        <v>99.0809631239336</v>
      </c>
      <c r="BA90" s="360">
        <f t="shared" si="115"/>
        <v>1.2100313581566466</v>
      </c>
      <c r="BB90" s="360">
        <f t="shared" si="129"/>
        <v>2.3232807515146963</v>
      </c>
      <c r="BC90" s="360">
        <f t="shared" si="130"/>
        <v>1.7723967425002256</v>
      </c>
      <c r="BD90" s="360">
        <f t="shared" si="131"/>
        <v>0.55043850901447056</v>
      </c>
      <c r="BE90" s="360">
        <f t="shared" si="132"/>
        <v>1.3038347978071076</v>
      </c>
      <c r="BK90" s="18"/>
      <c r="BL90" s="19"/>
    </row>
    <row r="91" spans="1:64" x14ac:dyDescent="0.25">
      <c r="G91">
        <v>82</v>
      </c>
      <c r="H91" s="548">
        <f t="shared" si="85"/>
        <v>45</v>
      </c>
      <c r="I91" s="4">
        <f t="shared" si="86"/>
        <v>2</v>
      </c>
      <c r="J91" s="360">
        <f t="shared" si="116"/>
        <v>49.2</v>
      </c>
      <c r="K91" s="360">
        <f t="shared" si="87"/>
        <v>24.6</v>
      </c>
      <c r="L91" s="4">
        <f t="shared" si="88"/>
        <v>14.577777777777779</v>
      </c>
      <c r="M91" s="360">
        <f t="shared" si="89"/>
        <v>0.53564113559425874</v>
      </c>
      <c r="N91" s="4">
        <f t="shared" si="90"/>
        <v>5.093771898766116</v>
      </c>
      <c r="O91" s="4">
        <f t="shared" si="117"/>
        <v>27.146885949383059</v>
      </c>
      <c r="P91" s="4">
        <f t="shared" si="118"/>
        <v>22.053114050616944</v>
      </c>
      <c r="Q91" s="4">
        <f t="shared" si="91"/>
        <v>0</v>
      </c>
      <c r="R91" s="4">
        <f t="shared" si="119"/>
        <v>24.643908158942413</v>
      </c>
      <c r="S91" s="360">
        <f t="shared" si="92"/>
        <v>0.85025109308494373</v>
      </c>
      <c r="T91" s="360">
        <f t="shared" si="93"/>
        <v>0.3</v>
      </c>
      <c r="U91" s="360">
        <f t="shared" si="94"/>
        <v>1.2342015933946202</v>
      </c>
      <c r="V91" s="4">
        <f t="shared" si="120"/>
        <v>1.4704452884715842</v>
      </c>
      <c r="W91" s="360">
        <f t="shared" si="121"/>
        <v>4.324418692776561E-3</v>
      </c>
      <c r="X91" s="360">
        <f t="shared" si="122"/>
        <v>4.324418692776561E-3</v>
      </c>
      <c r="Y91" s="4">
        <f t="shared" si="123"/>
        <v>12.290609288209282</v>
      </c>
      <c r="Z91" s="360">
        <f t="shared" si="124"/>
        <v>0.22658861501312441</v>
      </c>
      <c r="AA91" s="541">
        <f t="shared" si="125"/>
        <v>0.22658861501312441</v>
      </c>
      <c r="AB91" s="360">
        <f t="shared" si="126"/>
        <v>18.036262303645778</v>
      </c>
      <c r="AC91" s="360">
        <f t="shared" si="95"/>
        <v>0.58555216419464462</v>
      </c>
      <c r="AD91" s="360">
        <f t="shared" si="96"/>
        <v>0.63194431034482756</v>
      </c>
      <c r="AE91" s="360">
        <f t="shared" si="97"/>
        <v>0.39600000000000002</v>
      </c>
      <c r="AF91" s="360">
        <f t="shared" si="98"/>
        <v>0</v>
      </c>
      <c r="AG91" s="360">
        <f t="shared" si="99"/>
        <v>1.7711343943483937</v>
      </c>
      <c r="AH91" s="360">
        <f t="shared" si="100"/>
        <v>16.793315677985536</v>
      </c>
      <c r="AI91" s="360">
        <f t="shared" si="101"/>
        <v>0.5076278126288547</v>
      </c>
      <c r="AJ91" s="360">
        <f t="shared" si="102"/>
        <v>0</v>
      </c>
      <c r="AK91" s="360">
        <f t="shared" si="103"/>
        <v>0.55007097408434369</v>
      </c>
      <c r="AL91" s="360">
        <f t="shared" si="104"/>
        <v>0.10910592</v>
      </c>
      <c r="AM91" s="360">
        <f t="shared" si="105"/>
        <v>4.4549999999999999E-2</v>
      </c>
      <c r="AN91" s="360">
        <f t="shared" si="106"/>
        <v>1.3361088605620546</v>
      </c>
      <c r="AO91" s="360">
        <f t="shared" si="107"/>
        <v>1.5749999999999998E-3</v>
      </c>
      <c r="AP91" s="360">
        <f t="shared" si="108"/>
        <v>0.23760000000000001</v>
      </c>
      <c r="AQ91" s="360">
        <f t="shared" si="109"/>
        <v>0.22704000000000002</v>
      </c>
      <c r="AR91" s="360">
        <f t="shared" si="110"/>
        <v>0.2112</v>
      </c>
      <c r="AS91" s="360">
        <f t="shared" si="133"/>
        <v>0.239175</v>
      </c>
      <c r="AT91" s="360">
        <f t="shared" si="111"/>
        <v>5.5152597760953137</v>
      </c>
      <c r="AU91">
        <f t="shared" si="112"/>
        <v>590.40000000000009</v>
      </c>
      <c r="AV91" s="542">
        <f t="shared" si="127"/>
        <v>0.99074489252353171</v>
      </c>
      <c r="AW91" s="551">
        <f t="shared" si="113"/>
        <v>68.420420985238962</v>
      </c>
      <c r="AX91" s="551">
        <f t="shared" si="114"/>
        <v>21.46135401520506</v>
      </c>
      <c r="AY91" s="9"/>
      <c r="AZ91" s="4">
        <f t="shared" si="128"/>
        <v>99.074489252353175</v>
      </c>
      <c r="BA91" s="360">
        <f t="shared" si="115"/>
        <v>1.2342015933946202</v>
      </c>
      <c r="BB91" s="360">
        <f t="shared" si="129"/>
        <v>2.3657553684327377</v>
      </c>
      <c r="BC91" s="360">
        <f t="shared" si="130"/>
        <v>1.8005373943483938</v>
      </c>
      <c r="BD91" s="360">
        <f t="shared" si="131"/>
        <v>0.56477247408434372</v>
      </c>
      <c r="BE91" s="360">
        <f t="shared" si="132"/>
        <v>1.3361088605620546</v>
      </c>
      <c r="BK91" s="18"/>
      <c r="BL91" s="19"/>
    </row>
    <row r="92" spans="1:64" x14ac:dyDescent="0.25">
      <c r="G92">
        <v>83</v>
      </c>
      <c r="H92" s="548">
        <f t="shared" si="85"/>
        <v>45</v>
      </c>
      <c r="I92" s="4">
        <f t="shared" si="86"/>
        <v>2</v>
      </c>
      <c r="J92" s="360">
        <f t="shared" si="116"/>
        <v>49.8</v>
      </c>
      <c r="K92" s="360">
        <f t="shared" si="87"/>
        <v>24.9</v>
      </c>
      <c r="L92" s="4">
        <f t="shared" si="88"/>
        <v>14.755555555555553</v>
      </c>
      <c r="M92" s="360">
        <f t="shared" si="89"/>
        <v>0.53566924530538162</v>
      </c>
      <c r="N92" s="4">
        <f t="shared" si="90"/>
        <v>5.0938054663395809</v>
      </c>
      <c r="O92" s="4">
        <f t="shared" si="117"/>
        <v>27.446902733169789</v>
      </c>
      <c r="P92" s="4">
        <f t="shared" si="118"/>
        <v>22.353097266830208</v>
      </c>
      <c r="Q92" s="4">
        <f t="shared" si="91"/>
        <v>0</v>
      </c>
      <c r="R92" s="4">
        <f t="shared" si="119"/>
        <v>24.943380641847163</v>
      </c>
      <c r="S92" s="360">
        <f t="shared" si="92"/>
        <v>0.87104113298170605</v>
      </c>
      <c r="T92" s="360">
        <f t="shared" si="93"/>
        <v>0.3</v>
      </c>
      <c r="U92" s="360">
        <f t="shared" si="94"/>
        <v>1.2587553477196678</v>
      </c>
      <c r="V92" s="4">
        <f t="shared" si="120"/>
        <v>1.4704549785953722</v>
      </c>
      <c r="W92" s="360">
        <f t="shared" si="121"/>
        <v>4.3244756881518328E-3</v>
      </c>
      <c r="X92" s="360">
        <f t="shared" si="122"/>
        <v>4.3244756881518328E-3</v>
      </c>
      <c r="Y92" s="4">
        <f t="shared" si="123"/>
        <v>12.439914501150438</v>
      </c>
      <c r="Z92" s="360">
        <f t="shared" si="124"/>
        <v>0.23212720919389943</v>
      </c>
      <c r="AA92" s="541">
        <f t="shared" si="125"/>
        <v>0.23212720919389943</v>
      </c>
      <c r="AB92" s="360">
        <f t="shared" si="126"/>
        <v>18.255917755508666</v>
      </c>
      <c r="AC92" s="360">
        <f t="shared" si="95"/>
        <v>0.5999013595726137</v>
      </c>
      <c r="AD92" s="360">
        <f t="shared" si="96"/>
        <v>0.639650948275862</v>
      </c>
      <c r="AE92" s="360">
        <f t="shared" si="97"/>
        <v>0.39600000000000002</v>
      </c>
      <c r="AF92" s="360">
        <f t="shared" si="98"/>
        <v>0</v>
      </c>
      <c r="AG92" s="360">
        <f t="shared" si="99"/>
        <v>1.7996537467198919</v>
      </c>
      <c r="AH92" s="360">
        <f t="shared" si="100"/>
        <v>16.996873381542244</v>
      </c>
      <c r="AI92" s="360">
        <f t="shared" si="101"/>
        <v>0.52000866854672267</v>
      </c>
      <c r="AJ92" s="360">
        <f t="shared" si="102"/>
        <v>0</v>
      </c>
      <c r="AK92" s="360">
        <f t="shared" si="103"/>
        <v>0.56463843437837635</v>
      </c>
      <c r="AL92" s="360">
        <f t="shared" si="104"/>
        <v>0.11043647999999998</v>
      </c>
      <c r="AM92" s="360">
        <f t="shared" si="105"/>
        <v>4.4549999999999999E-2</v>
      </c>
      <c r="AN92" s="360">
        <f t="shared" si="106"/>
        <v>1.3687789232569667</v>
      </c>
      <c r="AO92" s="360">
        <f t="shared" si="107"/>
        <v>1.5749999999999998E-3</v>
      </c>
      <c r="AP92" s="360">
        <f t="shared" si="108"/>
        <v>0.23760000000000001</v>
      </c>
      <c r="AQ92" s="360">
        <f t="shared" si="109"/>
        <v>0.22704000000000002</v>
      </c>
      <c r="AR92" s="360">
        <f t="shared" si="110"/>
        <v>0.2112</v>
      </c>
      <c r="AS92" s="360">
        <f t="shared" si="133"/>
        <v>0.239175</v>
      </c>
      <c r="AT92" s="360">
        <f t="shared" si="111"/>
        <v>5.6224396169569539</v>
      </c>
      <c r="AU92">
        <f t="shared" si="112"/>
        <v>597.59999999999991</v>
      </c>
      <c r="AV92" s="542">
        <f t="shared" si="127"/>
        <v>0.99067932615284138</v>
      </c>
      <c r="AW92" s="551">
        <f t="shared" si="113"/>
        <v>69.50415637535589</v>
      </c>
      <c r="AX92" s="551">
        <f t="shared" si="114"/>
        <v>22.014917506378303</v>
      </c>
      <c r="AY92" s="9"/>
      <c r="AZ92" s="4">
        <f t="shared" si="128"/>
        <v>99.067932615284136</v>
      </c>
      <c r="BA92" s="360">
        <f t="shared" si="115"/>
        <v>1.2587553477196678</v>
      </c>
      <c r="BB92" s="360">
        <f t="shared" si="129"/>
        <v>2.4088421810982683</v>
      </c>
      <c r="BC92" s="360">
        <f t="shared" si="130"/>
        <v>1.8290567467198919</v>
      </c>
      <c r="BD92" s="360">
        <f t="shared" si="131"/>
        <v>0.57933993437837639</v>
      </c>
      <c r="BE92" s="360">
        <f t="shared" si="132"/>
        <v>1.3687789232569667</v>
      </c>
      <c r="BK92" s="18"/>
      <c r="BL92" s="19"/>
    </row>
    <row r="93" spans="1:64" x14ac:dyDescent="0.25">
      <c r="G93">
        <v>84</v>
      </c>
      <c r="H93" s="548">
        <f t="shared" si="85"/>
        <v>45</v>
      </c>
      <c r="I93" s="4">
        <f t="shared" si="86"/>
        <v>2</v>
      </c>
      <c r="J93" s="360">
        <f t="shared" si="116"/>
        <v>50.4</v>
      </c>
      <c r="K93" s="360">
        <f t="shared" si="87"/>
        <v>25.2</v>
      </c>
      <c r="L93" s="4">
        <f t="shared" si="88"/>
        <v>14.933333333333332</v>
      </c>
      <c r="M93" s="360">
        <f t="shared" si="89"/>
        <v>0.5356973541929676</v>
      </c>
      <c r="N93" s="4">
        <f t="shared" si="90"/>
        <v>5.093839001550089</v>
      </c>
      <c r="O93" s="4">
        <f t="shared" si="117"/>
        <v>27.746919500775043</v>
      </c>
      <c r="P93" s="4">
        <f t="shared" si="118"/>
        <v>22.653080499224956</v>
      </c>
      <c r="Q93" s="4">
        <f t="shared" si="91"/>
        <v>0</v>
      </c>
      <c r="R93" s="4">
        <f t="shared" si="119"/>
        <v>25.242865651793103</v>
      </c>
      <c r="S93" s="360">
        <f t="shared" si="92"/>
        <v>0.89208317284026639</v>
      </c>
      <c r="T93" s="360">
        <f t="shared" si="93"/>
        <v>0.3</v>
      </c>
      <c r="U93" s="360">
        <f t="shared" si="94"/>
        <v>1.2836962809415104</v>
      </c>
      <c r="V93" s="4">
        <f t="shared" si="120"/>
        <v>1.4704646593767792</v>
      </c>
      <c r="W93" s="360">
        <f t="shared" si="121"/>
        <v>4.3245326289521342E-3</v>
      </c>
      <c r="X93" s="360">
        <f t="shared" si="122"/>
        <v>4.3245326289521342E-3</v>
      </c>
      <c r="Y93" s="4">
        <f t="shared" si="123"/>
        <v>12.589224719260507</v>
      </c>
      <c r="Z93" s="360">
        <f t="shared" si="124"/>
        <v>0.23773286854805967</v>
      </c>
      <c r="AA93" s="541">
        <f t="shared" si="125"/>
        <v>0.23773286854805967</v>
      </c>
      <c r="AB93" s="360">
        <f t="shared" si="126"/>
        <v>18.475593851089808</v>
      </c>
      <c r="AC93" s="360">
        <f t="shared" si="95"/>
        <v>0.61442562267076961</v>
      </c>
      <c r="AD93" s="360">
        <f t="shared" si="96"/>
        <v>0.64735758620689654</v>
      </c>
      <c r="AE93" s="360">
        <f t="shared" si="97"/>
        <v>0.39600000000000002</v>
      </c>
      <c r="AF93" s="360">
        <f t="shared" si="98"/>
        <v>0</v>
      </c>
      <c r="AG93" s="360">
        <f t="shared" si="99"/>
        <v>1.8285570820877937</v>
      </c>
      <c r="AH93" s="360">
        <f t="shared" si="100"/>
        <v>17.200427266903823</v>
      </c>
      <c r="AI93" s="360">
        <f t="shared" si="101"/>
        <v>0.53253845669528732</v>
      </c>
      <c r="AJ93" s="360">
        <f t="shared" si="102"/>
        <v>0</v>
      </c>
      <c r="AK93" s="360">
        <f t="shared" si="103"/>
        <v>0.57944186862123559</v>
      </c>
      <c r="AL93" s="360">
        <f t="shared" si="104"/>
        <v>0.11176703999999998</v>
      </c>
      <c r="AM93" s="360">
        <f t="shared" si="105"/>
        <v>4.4549999999999999E-2</v>
      </c>
      <c r="AN93" s="360">
        <f t="shared" si="106"/>
        <v>1.4018449858918474</v>
      </c>
      <c r="AO93" s="360">
        <f t="shared" si="107"/>
        <v>1.5749999999999998E-3</v>
      </c>
      <c r="AP93" s="360">
        <f t="shared" si="108"/>
        <v>0.23760000000000001</v>
      </c>
      <c r="AQ93" s="360">
        <f t="shared" si="109"/>
        <v>0.22704000000000002</v>
      </c>
      <c r="AR93" s="360">
        <f t="shared" si="110"/>
        <v>0.2112</v>
      </c>
      <c r="AS93" s="360">
        <f t="shared" si="133"/>
        <v>0.239175</v>
      </c>
      <c r="AT93" s="360">
        <f t="shared" si="111"/>
        <v>5.7310896587193998</v>
      </c>
      <c r="AU93">
        <f t="shared" si="112"/>
        <v>604.79999999999995</v>
      </c>
      <c r="AV93" s="542">
        <f t="shared" si="127"/>
        <v>0.99061294378649412</v>
      </c>
      <c r="AW93" s="551">
        <f t="shared" si="113"/>
        <v>70.602483119336156</v>
      </c>
      <c r="AX93" s="551">
        <f t="shared" si="114"/>
        <v>22.577448007606954</v>
      </c>
      <c r="AY93" s="9"/>
      <c r="AZ93" s="4">
        <f t="shared" si="128"/>
        <v>99.061294378649407</v>
      </c>
      <c r="BA93" s="360">
        <f t="shared" si="115"/>
        <v>1.2836962809415104</v>
      </c>
      <c r="BB93" s="360">
        <f t="shared" si="129"/>
        <v>2.4525489507090295</v>
      </c>
      <c r="BC93" s="360">
        <f t="shared" si="130"/>
        <v>1.8579600820877937</v>
      </c>
      <c r="BD93" s="360">
        <f t="shared" si="131"/>
        <v>0.59414336862123562</v>
      </c>
      <c r="BE93" s="360">
        <f t="shared" si="132"/>
        <v>1.4018449858918474</v>
      </c>
      <c r="BK93" s="18"/>
      <c r="BL93" s="19"/>
    </row>
    <row r="94" spans="1:64" x14ac:dyDescent="0.25">
      <c r="G94">
        <v>85</v>
      </c>
      <c r="H94" s="548">
        <f t="shared" si="85"/>
        <v>45</v>
      </c>
      <c r="I94" s="4">
        <f t="shared" si="86"/>
        <v>2</v>
      </c>
      <c r="J94" s="360">
        <f t="shared" si="116"/>
        <v>51</v>
      </c>
      <c r="K94" s="360">
        <f t="shared" si="87"/>
        <v>25.5</v>
      </c>
      <c r="L94" s="4">
        <f t="shared" si="88"/>
        <v>15.111111111111111</v>
      </c>
      <c r="M94" s="360">
        <f t="shared" si="89"/>
        <v>0.53572546225705286</v>
      </c>
      <c r="N94" s="4">
        <f t="shared" si="90"/>
        <v>5.0938725043990605</v>
      </c>
      <c r="O94" s="4">
        <f t="shared" si="117"/>
        <v>28.046936252199529</v>
      </c>
      <c r="P94" s="4">
        <f t="shared" si="118"/>
        <v>22.953063747800471</v>
      </c>
      <c r="Q94" s="4">
        <f t="shared" si="91"/>
        <v>0</v>
      </c>
      <c r="R94" s="4">
        <f t="shared" si="119"/>
        <v>25.542362748140381</v>
      </c>
      <c r="S94" s="360">
        <f t="shared" si="92"/>
        <v>0.9133772126606251</v>
      </c>
      <c r="T94" s="360">
        <f t="shared" si="93"/>
        <v>0.3</v>
      </c>
      <c r="U94" s="360">
        <f t="shared" si="94"/>
        <v>1.3090281298214805</v>
      </c>
      <c r="V94" s="4">
        <f t="shared" si="120"/>
        <v>1.4704743308162154</v>
      </c>
      <c r="W94" s="360">
        <f t="shared" si="121"/>
        <v>4.3245895151787922E-3</v>
      </c>
      <c r="X94" s="360">
        <f t="shared" si="122"/>
        <v>4.3245895151787922E-3</v>
      </c>
      <c r="Y94" s="4">
        <f t="shared" si="123"/>
        <v>12.738539721332325</v>
      </c>
      <c r="Z94" s="360">
        <f t="shared" si="124"/>
        <v>0.24340559134794215</v>
      </c>
      <c r="AA94" s="541">
        <f t="shared" si="125"/>
        <v>0.24340559134794215</v>
      </c>
      <c r="AB94" s="360">
        <f t="shared" si="126"/>
        <v>18.695290267636771</v>
      </c>
      <c r="AC94" s="360">
        <f t="shared" si="95"/>
        <v>0.62912498074414946</v>
      </c>
      <c r="AD94" s="360">
        <f t="shared" si="96"/>
        <v>0.65506422413793097</v>
      </c>
      <c r="AE94" s="360">
        <f t="shared" si="97"/>
        <v>0.39600000000000002</v>
      </c>
      <c r="AF94" s="360">
        <f t="shared" si="98"/>
        <v>0</v>
      </c>
      <c r="AG94" s="360">
        <f t="shared" si="99"/>
        <v>1.8578498025088763</v>
      </c>
      <c r="AH94" s="360">
        <f t="shared" si="100"/>
        <v>17.403977033034582</v>
      </c>
      <c r="AI94" s="360">
        <f t="shared" si="101"/>
        <v>0.54521714981951142</v>
      </c>
      <c r="AJ94" s="360">
        <f t="shared" si="102"/>
        <v>0</v>
      </c>
      <c r="AK94" s="360">
        <f t="shared" si="103"/>
        <v>0.59448381068891454</v>
      </c>
      <c r="AL94" s="360">
        <f t="shared" si="104"/>
        <v>0.11309759999999998</v>
      </c>
      <c r="AM94" s="360">
        <f t="shared" si="105"/>
        <v>4.4549999999999999E-2</v>
      </c>
      <c r="AN94" s="360">
        <f t="shared" si="106"/>
        <v>1.4353070484666968</v>
      </c>
      <c r="AO94" s="360">
        <f t="shared" si="107"/>
        <v>1.5749999999999998E-3</v>
      </c>
      <c r="AP94" s="360">
        <f t="shared" si="108"/>
        <v>0.23760000000000001</v>
      </c>
      <c r="AQ94" s="360">
        <f t="shared" si="109"/>
        <v>0.22704000000000002</v>
      </c>
      <c r="AR94" s="360">
        <f t="shared" si="110"/>
        <v>0.2112</v>
      </c>
      <c r="AS94" s="360">
        <f t="shared" si="133"/>
        <v>0.239175</v>
      </c>
      <c r="AT94" s="360">
        <f t="shared" si="111"/>
        <v>5.8412215723490899</v>
      </c>
      <c r="AU94">
        <f t="shared" si="112"/>
        <v>612</v>
      </c>
      <c r="AV94" s="542">
        <f t="shared" si="127"/>
        <v>0.99054575614510831</v>
      </c>
      <c r="AW94" s="551">
        <f t="shared" si="113"/>
        <v>71.715606495337298</v>
      </c>
      <c r="AX94" s="551">
        <f t="shared" si="114"/>
        <v>23.149041806178754</v>
      </c>
      <c r="AY94" s="9"/>
      <c r="AZ94" s="4">
        <f t="shared" si="128"/>
        <v>99.054575614510838</v>
      </c>
      <c r="BA94" s="360">
        <f t="shared" si="115"/>
        <v>1.3090281298214805</v>
      </c>
      <c r="BB94" s="360">
        <f t="shared" si="129"/>
        <v>2.4968836131977907</v>
      </c>
      <c r="BC94" s="360">
        <f t="shared" si="130"/>
        <v>1.8872528025088764</v>
      </c>
      <c r="BD94" s="360">
        <f t="shared" si="131"/>
        <v>0.60918531068891457</v>
      </c>
      <c r="BE94" s="360">
        <f t="shared" si="132"/>
        <v>1.4353070484666968</v>
      </c>
      <c r="BK94" s="18"/>
      <c r="BL94" s="19"/>
    </row>
    <row r="95" spans="1:64" x14ac:dyDescent="0.25">
      <c r="G95">
        <v>86</v>
      </c>
      <c r="H95" s="548">
        <f t="shared" si="85"/>
        <v>45</v>
      </c>
      <c r="I95" s="4">
        <f t="shared" si="86"/>
        <v>2</v>
      </c>
      <c r="J95" s="360">
        <f t="shared" si="116"/>
        <v>51.6</v>
      </c>
      <c r="K95" s="360">
        <f t="shared" si="87"/>
        <v>25.8</v>
      </c>
      <c r="L95" s="4">
        <f t="shared" si="88"/>
        <v>15.28888888888889</v>
      </c>
      <c r="M95" s="360">
        <f t="shared" si="89"/>
        <v>0.53575356949767372</v>
      </c>
      <c r="N95" s="4">
        <f t="shared" si="90"/>
        <v>5.0939059748879174</v>
      </c>
      <c r="O95" s="4">
        <f t="shared" si="117"/>
        <v>28.346952987443959</v>
      </c>
      <c r="P95" s="4">
        <f t="shared" si="118"/>
        <v>23.253047012556042</v>
      </c>
      <c r="Q95" s="4">
        <f t="shared" si="91"/>
        <v>0</v>
      </c>
      <c r="R95" s="4">
        <f t="shared" si="119"/>
        <v>25.841871510659139</v>
      </c>
      <c r="S95" s="360">
        <f t="shared" si="92"/>
        <v>0.93492325244278296</v>
      </c>
      <c r="T95" s="360">
        <f t="shared" si="93"/>
        <v>0.3</v>
      </c>
      <c r="U95" s="360">
        <f t="shared" si="94"/>
        <v>1.3347547095868</v>
      </c>
      <c r="V95" s="4">
        <f t="shared" si="120"/>
        <v>1.4704839929140912</v>
      </c>
      <c r="W95" s="360">
        <f t="shared" si="121"/>
        <v>4.3246463468331374E-3</v>
      </c>
      <c r="X95" s="360">
        <f t="shared" si="122"/>
        <v>4.3246463468331374E-3</v>
      </c>
      <c r="Y95" s="4">
        <f t="shared" si="123"/>
        <v>12.887859296341173</v>
      </c>
      <c r="Z95" s="360">
        <f t="shared" si="124"/>
        <v>0.24914537586343138</v>
      </c>
      <c r="AA95" s="541">
        <f t="shared" si="125"/>
        <v>0.24914537586343138</v>
      </c>
      <c r="AB95" s="360">
        <f t="shared" si="126"/>
        <v>18.915006697302459</v>
      </c>
      <c r="AC95" s="360">
        <f t="shared" si="95"/>
        <v>0.64399946104619443</v>
      </c>
      <c r="AD95" s="360">
        <f t="shared" si="96"/>
        <v>0.66277086206896552</v>
      </c>
      <c r="AE95" s="360">
        <f t="shared" si="97"/>
        <v>0.39600000000000002</v>
      </c>
      <c r="AF95" s="360">
        <f t="shared" si="98"/>
        <v>0</v>
      </c>
      <c r="AG95" s="360">
        <f t="shared" si="99"/>
        <v>1.8875374326982091</v>
      </c>
      <c r="AH95" s="360">
        <f t="shared" si="100"/>
        <v>17.607522392841631</v>
      </c>
      <c r="AI95" s="360">
        <f t="shared" si="101"/>
        <v>0.55804472066595501</v>
      </c>
      <c r="AJ95" s="360">
        <f t="shared" si="102"/>
        <v>0</v>
      </c>
      <c r="AK95" s="360">
        <f t="shared" si="103"/>
        <v>0.60976685079859461</v>
      </c>
      <c r="AL95" s="360">
        <f t="shared" si="104"/>
        <v>0.11442815999999999</v>
      </c>
      <c r="AM95" s="360">
        <f t="shared" si="105"/>
        <v>4.4549999999999999E-2</v>
      </c>
      <c r="AN95" s="360">
        <f t="shared" si="106"/>
        <v>1.4691651109815163</v>
      </c>
      <c r="AO95" s="360">
        <f t="shared" si="107"/>
        <v>1.5749999999999998E-3</v>
      </c>
      <c r="AP95" s="360">
        <f t="shared" si="108"/>
        <v>0.23760000000000001</v>
      </c>
      <c r="AQ95" s="360">
        <f t="shared" si="109"/>
        <v>0.22704000000000002</v>
      </c>
      <c r="AR95" s="360">
        <f t="shared" si="110"/>
        <v>0.2112</v>
      </c>
      <c r="AS95" s="360">
        <f t="shared" si="133"/>
        <v>0.239175</v>
      </c>
      <c r="AT95" s="360">
        <f t="shared" si="111"/>
        <v>5.9528472862753858</v>
      </c>
      <c r="AU95">
        <f t="shared" si="112"/>
        <v>619.20000000000005</v>
      </c>
      <c r="AV95" s="542">
        <f t="shared" si="127"/>
        <v>0.99047777305643558</v>
      </c>
      <c r="AW95" s="551">
        <f t="shared" si="113"/>
        <v>72.843736442531949</v>
      </c>
      <c r="AX95" s="551">
        <f t="shared" si="114"/>
        <v>23.729797330346596</v>
      </c>
      <c r="AY95" s="9"/>
      <c r="AZ95" s="4">
        <f t="shared" si="128"/>
        <v>99.047777305643564</v>
      </c>
      <c r="BA95" s="360">
        <f t="shared" si="115"/>
        <v>1.3347547095868</v>
      </c>
      <c r="BB95" s="360">
        <f t="shared" si="129"/>
        <v>2.5418542834968036</v>
      </c>
      <c r="BC95" s="360">
        <f t="shared" si="130"/>
        <v>1.9169404326982091</v>
      </c>
      <c r="BD95" s="360">
        <f t="shared" si="131"/>
        <v>0.62446835079859464</v>
      </c>
      <c r="BE95" s="360">
        <f t="shared" si="132"/>
        <v>1.4691651109815163</v>
      </c>
      <c r="BK95" s="18"/>
      <c r="BL95" s="19"/>
    </row>
    <row r="96" spans="1:64" x14ac:dyDescent="0.25">
      <c r="G96">
        <v>87</v>
      </c>
      <c r="H96" s="548">
        <f t="shared" si="85"/>
        <v>45</v>
      </c>
      <c r="I96" s="4">
        <f t="shared" si="86"/>
        <v>2</v>
      </c>
      <c r="J96" s="360">
        <f t="shared" si="116"/>
        <v>52.2</v>
      </c>
      <c r="K96" s="360">
        <f t="shared" si="87"/>
        <v>26.1</v>
      </c>
      <c r="L96" s="4">
        <f t="shared" si="88"/>
        <v>15.466666666666669</v>
      </c>
      <c r="M96" s="360">
        <f t="shared" si="89"/>
        <v>0.53578167591486592</v>
      </c>
      <c r="N96" s="4">
        <f t="shared" si="90"/>
        <v>5.0939394130180791</v>
      </c>
      <c r="O96" s="4">
        <f t="shared" si="117"/>
        <v>28.64696970650904</v>
      </c>
      <c r="P96" s="4">
        <f t="shared" si="118"/>
        <v>23.553030293490963</v>
      </c>
      <c r="Q96" s="4">
        <f t="shared" si="91"/>
        <v>0</v>
      </c>
      <c r="R96" s="4">
        <f t="shared" si="119"/>
        <v>26.141391538362267</v>
      </c>
      <c r="S96" s="360">
        <f t="shared" si="92"/>
        <v>0.95672129218674162</v>
      </c>
      <c r="T96" s="360">
        <f t="shared" si="93"/>
        <v>0.3</v>
      </c>
      <c r="U96" s="360">
        <f t="shared" si="94"/>
        <v>1.3608799154872147</v>
      </c>
      <c r="V96" s="4">
        <f t="shared" si="120"/>
        <v>1.4704936456708162</v>
      </c>
      <c r="W96" s="360">
        <f t="shared" si="121"/>
        <v>4.324703123916496E-3</v>
      </c>
      <c r="X96" s="360">
        <f t="shared" si="122"/>
        <v>4.324703123916496E-3</v>
      </c>
      <c r="Y96" s="4">
        <f t="shared" si="123"/>
        <v>13.037183242862461</v>
      </c>
      <c r="Z96" s="360">
        <f t="shared" si="124"/>
        <v>0.25495222036196064</v>
      </c>
      <c r="AA96" s="541">
        <f t="shared" si="125"/>
        <v>0.25495222036196064</v>
      </c>
      <c r="AB96" s="360">
        <f t="shared" si="126"/>
        <v>19.134742846292685</v>
      </c>
      <c r="AC96" s="360">
        <f t="shared" si="95"/>
        <v>0.6590490908287483</v>
      </c>
      <c r="AD96" s="360">
        <f t="shared" si="96"/>
        <v>0.67047749999999995</v>
      </c>
      <c r="AE96" s="360">
        <f t="shared" si="97"/>
        <v>0.39600000000000002</v>
      </c>
      <c r="AF96" s="360">
        <f t="shared" si="98"/>
        <v>0</v>
      </c>
      <c r="AG96" s="360">
        <f t="shared" si="99"/>
        <v>1.9176256232041882</v>
      </c>
      <c r="AH96" s="360">
        <f t="shared" si="100"/>
        <v>17.811063072377497</v>
      </c>
      <c r="AI96" s="360">
        <f t="shared" si="101"/>
        <v>0.57102114198277676</v>
      </c>
      <c r="AJ96" s="360">
        <f t="shared" si="102"/>
        <v>0</v>
      </c>
      <c r="AK96" s="360">
        <f t="shared" si="103"/>
        <v>0.62529363673420091</v>
      </c>
      <c r="AL96" s="360">
        <f t="shared" si="104"/>
        <v>0.11575872</v>
      </c>
      <c r="AM96" s="360">
        <f t="shared" si="105"/>
        <v>4.4549999999999999E-2</v>
      </c>
      <c r="AN96" s="360">
        <f t="shared" si="106"/>
        <v>1.5034191734363085</v>
      </c>
      <c r="AO96" s="360">
        <f t="shared" si="107"/>
        <v>1.5749999999999998E-3</v>
      </c>
      <c r="AP96" s="360">
        <f t="shared" si="108"/>
        <v>0.23760000000000001</v>
      </c>
      <c r="AQ96" s="360">
        <f t="shared" si="109"/>
        <v>0.22704000000000002</v>
      </c>
      <c r="AR96" s="360">
        <f t="shared" si="110"/>
        <v>0.2112</v>
      </c>
      <c r="AS96" s="360">
        <f t="shared" si="133"/>
        <v>0.239175</v>
      </c>
      <c r="AT96" s="360">
        <f t="shared" si="111"/>
        <v>6.0659789923477891</v>
      </c>
      <c r="AU96">
        <f t="shared" si="112"/>
        <v>626.40000000000009</v>
      </c>
      <c r="AV96" s="542">
        <f t="shared" si="127"/>
        <v>0.99040900349768657</v>
      </c>
      <c r="AW96" s="551">
        <f t="shared" si="113"/>
        <v>73.987087681759149</v>
      </c>
      <c r="AX96" s="551">
        <f t="shared" si="114"/>
        <v>24.319815195899636</v>
      </c>
      <c r="AY96" s="9"/>
      <c r="AZ96" s="4">
        <f t="shared" si="128"/>
        <v>99.040900349768663</v>
      </c>
      <c r="BA96" s="360">
        <f t="shared" si="115"/>
        <v>1.3608799154872147</v>
      </c>
      <c r="BB96" s="360">
        <f t="shared" si="129"/>
        <v>2.5874692599383891</v>
      </c>
      <c r="BC96" s="360">
        <f t="shared" si="130"/>
        <v>1.9470286232041882</v>
      </c>
      <c r="BD96" s="360">
        <f t="shared" si="131"/>
        <v>0.63999513673420094</v>
      </c>
      <c r="BE96" s="360">
        <f t="shared" si="132"/>
        <v>1.5034191734363085</v>
      </c>
      <c r="BK96" s="18"/>
      <c r="BL96" s="19"/>
    </row>
    <row r="97" spans="7:64" x14ac:dyDescent="0.25">
      <c r="G97">
        <v>88</v>
      </c>
      <c r="H97" s="548">
        <f t="shared" si="85"/>
        <v>45</v>
      </c>
      <c r="I97" s="4">
        <f t="shared" si="86"/>
        <v>2</v>
      </c>
      <c r="J97" s="360">
        <f t="shared" si="116"/>
        <v>52.8</v>
      </c>
      <c r="K97" s="360">
        <f t="shared" si="87"/>
        <v>26.4</v>
      </c>
      <c r="L97" s="4">
        <f t="shared" si="88"/>
        <v>15.644444444444442</v>
      </c>
      <c r="M97" s="360">
        <f t="shared" si="89"/>
        <v>0.53580978150866621</v>
      </c>
      <c r="N97" s="4">
        <f t="shared" si="90"/>
        <v>5.0939728187909719</v>
      </c>
      <c r="O97" s="4">
        <f t="shared" si="117"/>
        <v>28.946986409395485</v>
      </c>
      <c r="P97" s="4">
        <f t="shared" si="118"/>
        <v>23.853013590604512</v>
      </c>
      <c r="Q97" s="4">
        <f t="shared" si="91"/>
        <v>0</v>
      </c>
      <c r="R97" s="4">
        <f t="shared" si="119"/>
        <v>26.440922448417247</v>
      </c>
      <c r="S97" s="360">
        <f t="shared" si="92"/>
        <v>0.97877133189250121</v>
      </c>
      <c r="T97" s="360">
        <f t="shared" si="93"/>
        <v>0.3</v>
      </c>
      <c r="U97" s="360">
        <f t="shared" si="94"/>
        <v>1.3874077243952434</v>
      </c>
      <c r="V97" s="4">
        <f t="shared" si="120"/>
        <v>1.4705032890868022</v>
      </c>
      <c r="W97" s="360">
        <f t="shared" si="121"/>
        <v>4.3247598464302064E-3</v>
      </c>
      <c r="X97" s="360">
        <f t="shared" si="122"/>
        <v>4.3247598464302064E-3</v>
      </c>
      <c r="Y97" s="4">
        <f t="shared" si="123"/>
        <v>13.186511368528848</v>
      </c>
      <c r="Z97" s="360">
        <f t="shared" si="124"/>
        <v>0.26082612310851083</v>
      </c>
      <c r="AA97" s="541">
        <f t="shared" si="125"/>
        <v>0.26082612310851083</v>
      </c>
      <c r="AB97" s="360">
        <f t="shared" si="126"/>
        <v>19.354498434071512</v>
      </c>
      <c r="AC97" s="360">
        <f t="shared" si="95"/>
        <v>0.67427389734205789</v>
      </c>
      <c r="AD97" s="360">
        <f t="shared" si="96"/>
        <v>0.67818413793103438</v>
      </c>
      <c r="AE97" s="360">
        <f t="shared" si="97"/>
        <v>0.39600000000000002</v>
      </c>
      <c r="AF97" s="360">
        <f t="shared" si="98"/>
        <v>0</v>
      </c>
      <c r="AG97" s="360">
        <f t="shared" si="99"/>
        <v>1.9481201536877777</v>
      </c>
      <c r="AH97" s="360">
        <f t="shared" si="100"/>
        <v>18.014598810096729</v>
      </c>
      <c r="AI97" s="360">
        <f t="shared" si="101"/>
        <v>0.58414638651972928</v>
      </c>
      <c r="AJ97" s="360">
        <f t="shared" si="102"/>
        <v>0</v>
      </c>
      <c r="AK97" s="360">
        <f t="shared" si="103"/>
        <v>0.64106687510879878</v>
      </c>
      <c r="AL97" s="360">
        <f t="shared" si="104"/>
        <v>0.11708927999999998</v>
      </c>
      <c r="AM97" s="360">
        <f t="shared" si="105"/>
        <v>4.4549999999999999E-2</v>
      </c>
      <c r="AN97" s="360">
        <f t="shared" si="106"/>
        <v>1.5380692358310735</v>
      </c>
      <c r="AO97" s="360">
        <f t="shared" si="107"/>
        <v>1.5749999999999998E-3</v>
      </c>
      <c r="AP97" s="360">
        <f t="shared" si="108"/>
        <v>0.23760000000000001</v>
      </c>
      <c r="AQ97" s="360">
        <f t="shared" si="109"/>
        <v>0.22704000000000002</v>
      </c>
      <c r="AR97" s="360">
        <f t="shared" si="110"/>
        <v>0.2112</v>
      </c>
      <c r="AS97" s="360">
        <f t="shared" si="133"/>
        <v>0.239175</v>
      </c>
      <c r="AT97" s="360">
        <f t="shared" si="111"/>
        <v>6.1806291519778345</v>
      </c>
      <c r="AU97">
        <f t="shared" si="112"/>
        <v>633.59999999999991</v>
      </c>
      <c r="AV97" s="542">
        <f t="shared" si="127"/>
        <v>0.99033945563470682</v>
      </c>
      <c r="AW97" s="551">
        <f t="shared" si="113"/>
        <v>75.145879840135549</v>
      </c>
      <c r="AX97" s="551">
        <f t="shared" si="114"/>
        <v>24.919198254134354</v>
      </c>
      <c r="AY97" s="9"/>
      <c r="AZ97" s="4">
        <f t="shared" si="128"/>
        <v>99.033945563470681</v>
      </c>
      <c r="BA97" s="360">
        <f t="shared" si="115"/>
        <v>1.3874077243952434</v>
      </c>
      <c r="BB97" s="360">
        <f t="shared" si="129"/>
        <v>2.6337370287965767</v>
      </c>
      <c r="BC97" s="360">
        <f t="shared" si="130"/>
        <v>1.9775231536877778</v>
      </c>
      <c r="BD97" s="360">
        <f t="shared" si="131"/>
        <v>0.65576837510879882</v>
      </c>
      <c r="BE97" s="360">
        <f t="shared" si="132"/>
        <v>1.5380692358310735</v>
      </c>
      <c r="BK97" s="18"/>
      <c r="BL97" s="19"/>
    </row>
    <row r="98" spans="7:64" x14ac:dyDescent="0.25">
      <c r="G98">
        <v>89</v>
      </c>
      <c r="H98" s="548">
        <f t="shared" si="85"/>
        <v>45</v>
      </c>
      <c r="I98" s="4">
        <f t="shared" si="86"/>
        <v>2</v>
      </c>
      <c r="J98" s="360">
        <f t="shared" si="116"/>
        <v>53.4</v>
      </c>
      <c r="K98" s="360">
        <f t="shared" si="87"/>
        <v>26.7</v>
      </c>
      <c r="L98" s="4">
        <f t="shared" si="88"/>
        <v>15.822222222222221</v>
      </c>
      <c r="M98" s="360">
        <f t="shared" si="89"/>
        <v>0.53583788627911033</v>
      </c>
      <c r="N98" s="4">
        <f t="shared" si="90"/>
        <v>5.0940061922080133</v>
      </c>
      <c r="O98" s="4">
        <f t="shared" si="117"/>
        <v>29.247003096104006</v>
      </c>
      <c r="P98" s="4">
        <f t="shared" si="118"/>
        <v>24.152996903895993</v>
      </c>
      <c r="Q98" s="4">
        <f t="shared" si="91"/>
        <v>0</v>
      </c>
      <c r="R98" s="4">
        <f t="shared" si="119"/>
        <v>26.740463875131034</v>
      </c>
      <c r="S98" s="360">
        <f t="shared" si="92"/>
        <v>1.001073371560063</v>
      </c>
      <c r="T98" s="360">
        <f t="shared" si="93"/>
        <v>0.3</v>
      </c>
      <c r="U98" s="360">
        <f t="shared" si="94"/>
        <v>1.4143421964513614</v>
      </c>
      <c r="V98" s="4">
        <f t="shared" si="120"/>
        <v>1.4705129231624585</v>
      </c>
      <c r="W98" s="360">
        <f t="shared" si="121"/>
        <v>4.3248165143755972E-3</v>
      </c>
      <c r="X98" s="360">
        <f t="shared" si="122"/>
        <v>4.3248165143755972E-3</v>
      </c>
      <c r="Y98" s="4">
        <f t="shared" si="123"/>
        <v>13.335843489523821</v>
      </c>
      <c r="Z98" s="360">
        <f t="shared" si="124"/>
        <v>0.26676708236561236</v>
      </c>
      <c r="AA98" s="541">
        <f t="shared" si="125"/>
        <v>0.26676708236561236</v>
      </c>
      <c r="AB98" s="360">
        <f t="shared" si="126"/>
        <v>19.574273192619927</v>
      </c>
      <c r="AC98" s="360">
        <f t="shared" si="95"/>
        <v>0.68967390783477434</v>
      </c>
      <c r="AD98" s="360">
        <f t="shared" si="96"/>
        <v>0.68589077586206892</v>
      </c>
      <c r="AE98" s="360">
        <f t="shared" si="97"/>
        <v>0.39600000000000002</v>
      </c>
      <c r="AF98" s="360">
        <f t="shared" si="98"/>
        <v>0</v>
      </c>
      <c r="AG98" s="360">
        <f t="shared" si="99"/>
        <v>1.9790269363098585</v>
      </c>
      <c r="AH98" s="360">
        <f t="shared" si="100"/>
        <v>18.218129356162475</v>
      </c>
      <c r="AI98" s="360">
        <f t="shared" si="101"/>
        <v>0.59742042702816411</v>
      </c>
      <c r="AJ98" s="360">
        <f t="shared" si="102"/>
        <v>0</v>
      </c>
      <c r="AK98" s="360">
        <f t="shared" si="103"/>
        <v>0.65708933266505853</v>
      </c>
      <c r="AL98" s="360">
        <f t="shared" si="104"/>
        <v>0.11841983999999998</v>
      </c>
      <c r="AM98" s="360">
        <f t="shared" si="105"/>
        <v>4.4549999999999999E-2</v>
      </c>
      <c r="AN98" s="360">
        <f t="shared" si="106"/>
        <v>1.5731152981658134</v>
      </c>
      <c r="AO98" s="360">
        <f t="shared" si="107"/>
        <v>1.5749999999999998E-3</v>
      </c>
      <c r="AP98" s="360">
        <f t="shared" si="108"/>
        <v>0.23760000000000001</v>
      </c>
      <c r="AQ98" s="360">
        <f t="shared" si="109"/>
        <v>0.22704000000000002</v>
      </c>
      <c r="AR98" s="360">
        <f t="shared" si="110"/>
        <v>0.2112</v>
      </c>
      <c r="AS98" s="360">
        <f t="shared" si="133"/>
        <v>0.239175</v>
      </c>
      <c r="AT98" s="360">
        <f t="shared" si="111"/>
        <v>6.2968105024720797</v>
      </c>
      <c r="AU98">
        <f t="shared" si="112"/>
        <v>640.79999999999995</v>
      </c>
      <c r="AV98" s="542">
        <f t="shared" si="127"/>
        <v>0.99026913685823514</v>
      </c>
      <c r="AW98" s="551">
        <f t="shared" si="113"/>
        <v>76.32033757977463</v>
      </c>
      <c r="AX98" s="551">
        <f t="shared" si="114"/>
        <v>25.528051641272224</v>
      </c>
      <c r="AY98" s="9"/>
      <c r="AZ98" s="4">
        <f t="shared" si="128"/>
        <v>99.026913685823516</v>
      </c>
      <c r="BA98" s="360">
        <f t="shared" si="115"/>
        <v>1.4143421964513614</v>
      </c>
      <c r="BB98" s="360">
        <f t="shared" si="129"/>
        <v>2.680666268974917</v>
      </c>
      <c r="BC98" s="360">
        <f t="shared" si="130"/>
        <v>2.0084299363098586</v>
      </c>
      <c r="BD98" s="360">
        <f t="shared" si="131"/>
        <v>0.67179083266505857</v>
      </c>
      <c r="BE98" s="360">
        <f t="shared" si="132"/>
        <v>1.5731152981658134</v>
      </c>
      <c r="BK98" s="18"/>
      <c r="BL98" s="19"/>
    </row>
    <row r="99" spans="7:64" x14ac:dyDescent="0.25">
      <c r="G99">
        <v>90</v>
      </c>
      <c r="H99" s="548">
        <f t="shared" si="85"/>
        <v>45</v>
      </c>
      <c r="I99" s="4">
        <f t="shared" si="86"/>
        <v>2</v>
      </c>
      <c r="J99" s="360">
        <f t="shared" si="116"/>
        <v>54</v>
      </c>
      <c r="K99" s="360">
        <f t="shared" si="87"/>
        <v>27</v>
      </c>
      <c r="L99" s="4">
        <f t="shared" si="88"/>
        <v>16</v>
      </c>
      <c r="M99" s="360">
        <f t="shared" si="89"/>
        <v>0.53586599022623482</v>
      </c>
      <c r="N99" s="4">
        <f t="shared" si="90"/>
        <v>5.0940395332706299</v>
      </c>
      <c r="O99" s="4">
        <f t="shared" si="117"/>
        <v>29.547019766635316</v>
      </c>
      <c r="P99" s="4">
        <f t="shared" si="118"/>
        <v>24.452980233364684</v>
      </c>
      <c r="Q99" s="4">
        <f t="shared" si="91"/>
        <v>0</v>
      </c>
      <c r="R99" s="4">
        <f t="shared" si="119"/>
        <v>27.040015469002178</v>
      </c>
      <c r="S99" s="360">
        <f t="shared" si="92"/>
        <v>1.0236274111894279</v>
      </c>
      <c r="T99" s="360">
        <f t="shared" si="93"/>
        <v>0.3</v>
      </c>
      <c r="U99" s="360">
        <f t="shared" si="94"/>
        <v>1.4416874767554608</v>
      </c>
      <c r="V99" s="4">
        <f t="shared" si="120"/>
        <v>1.4705225478981969</v>
      </c>
      <c r="W99" s="360">
        <f t="shared" si="121"/>
        <v>4.3248731277540095E-3</v>
      </c>
      <c r="X99" s="360">
        <f t="shared" si="122"/>
        <v>4.3248731277540095E-3</v>
      </c>
      <c r="Y99" s="4">
        <f t="shared" si="123"/>
        <v>13.485179430108804</v>
      </c>
      <c r="Z99" s="360">
        <f t="shared" si="124"/>
        <v>0.27277509639334441</v>
      </c>
      <c r="AA99" s="541">
        <f t="shared" si="125"/>
        <v>0.27277509639334441</v>
      </c>
      <c r="AB99" s="360">
        <f t="shared" si="126"/>
        <v>19.794066865743599</v>
      </c>
      <c r="AC99" s="360">
        <f t="shared" si="95"/>
        <v>0.70524914955395146</v>
      </c>
      <c r="AD99" s="360">
        <f t="shared" si="96"/>
        <v>0.69359741379310336</v>
      </c>
      <c r="AE99" s="360">
        <f t="shared" si="97"/>
        <v>0.39600000000000002</v>
      </c>
      <c r="AF99" s="360">
        <f t="shared" si="98"/>
        <v>0</v>
      </c>
      <c r="AG99" s="360">
        <f t="shared" si="99"/>
        <v>2.010352019230774</v>
      </c>
      <c r="AH99" s="360">
        <f t="shared" si="100"/>
        <v>18.421654471798902</v>
      </c>
      <c r="AI99" s="360">
        <f t="shared" si="101"/>
        <v>0.61084323626102732</v>
      </c>
      <c r="AJ99" s="360">
        <f t="shared" si="102"/>
        <v>0</v>
      </c>
      <c r="AK99" s="360">
        <f t="shared" si="103"/>
        <v>0.67336383761501195</v>
      </c>
      <c r="AL99" s="360">
        <f t="shared" si="104"/>
        <v>0.11975039999999998</v>
      </c>
      <c r="AM99" s="360">
        <f t="shared" si="105"/>
        <v>4.4549999999999999E-2</v>
      </c>
      <c r="AN99" s="360">
        <f t="shared" si="106"/>
        <v>1.6085573604405297</v>
      </c>
      <c r="AO99" s="360">
        <f t="shared" si="107"/>
        <v>1.5749999999999998E-3</v>
      </c>
      <c r="AP99" s="360">
        <f t="shared" si="108"/>
        <v>0.23760000000000001</v>
      </c>
      <c r="AQ99" s="360">
        <f t="shared" si="109"/>
        <v>0.22704000000000002</v>
      </c>
      <c r="AR99" s="360">
        <f t="shared" si="110"/>
        <v>0.2112</v>
      </c>
      <c r="AS99" s="360">
        <f t="shared" si="133"/>
        <v>0.239175</v>
      </c>
      <c r="AT99" s="360">
        <f t="shared" si="111"/>
        <v>6.4145360635628759</v>
      </c>
      <c r="AU99">
        <f t="shared" si="112"/>
        <v>648</v>
      </c>
      <c r="AV99" s="542">
        <f t="shared" si="127"/>
        <v>0.99019805381746617</v>
      </c>
      <c r="AW99" s="551">
        <f t="shared" si="113"/>
        <v>77.510690730769412</v>
      </c>
      <c r="AX99" s="551">
        <f t="shared" si="114"/>
        <v>26.146482829370456</v>
      </c>
      <c r="AY99" s="9"/>
      <c r="AZ99" s="4">
        <f t="shared" si="128"/>
        <v>99.019805381746622</v>
      </c>
      <c r="BA99" s="360">
        <f t="shared" si="115"/>
        <v>1.4416874767554608</v>
      </c>
      <c r="BB99" s="360">
        <f t="shared" si="129"/>
        <v>2.7282658568457858</v>
      </c>
      <c r="BC99" s="360">
        <f t="shared" si="130"/>
        <v>2.0397550192307738</v>
      </c>
      <c r="BD99" s="360">
        <f t="shared" si="131"/>
        <v>0.68806533761501198</v>
      </c>
      <c r="BE99" s="360">
        <f t="shared" si="132"/>
        <v>1.6085573604405297</v>
      </c>
      <c r="BK99" s="18"/>
      <c r="BL99" s="19"/>
    </row>
    <row r="100" spans="7:64" x14ac:dyDescent="0.25">
      <c r="G100">
        <v>91</v>
      </c>
      <c r="H100" s="548">
        <f t="shared" si="85"/>
        <v>45</v>
      </c>
      <c r="I100" s="4">
        <f t="shared" si="86"/>
        <v>2</v>
      </c>
      <c r="J100" s="360">
        <f t="shared" si="116"/>
        <v>54.6</v>
      </c>
      <c r="K100" s="360">
        <f t="shared" si="87"/>
        <v>27.3</v>
      </c>
      <c r="L100" s="4">
        <f t="shared" si="88"/>
        <v>16.177777777777777</v>
      </c>
      <c r="M100" s="360">
        <f t="shared" si="89"/>
        <v>0.53589409335007543</v>
      </c>
      <c r="N100" s="4">
        <f t="shared" si="90"/>
        <v>5.0940728419802372</v>
      </c>
      <c r="O100" s="4">
        <f t="shared" si="117"/>
        <v>29.847036420990118</v>
      </c>
      <c r="P100" s="4">
        <f t="shared" si="118"/>
        <v>24.752963579009883</v>
      </c>
      <c r="Q100" s="4">
        <f t="shared" si="91"/>
        <v>0</v>
      </c>
      <c r="R100" s="4">
        <f t="shared" si="119"/>
        <v>27.339576895835155</v>
      </c>
      <c r="S100" s="360">
        <f t="shared" si="92"/>
        <v>1.0464334507805966</v>
      </c>
      <c r="T100" s="360">
        <f t="shared" si="93"/>
        <v>0.3</v>
      </c>
      <c r="U100" s="360">
        <f t="shared" si="94"/>
        <v>1.4694477971060032</v>
      </c>
      <c r="V100" s="4">
        <f t="shared" si="120"/>
        <v>1.4705321632944262</v>
      </c>
      <c r="W100" s="360">
        <f t="shared" si="121"/>
        <v>4.3249296865667695E-3</v>
      </c>
      <c r="X100" s="360">
        <f t="shared" si="122"/>
        <v>4.3249296865667695E-3</v>
      </c>
      <c r="Y100" s="4">
        <f t="shared" si="123"/>
        <v>13.634519022181308</v>
      </c>
      <c r="Z100" s="360">
        <f t="shared" si="124"/>
        <v>0.27885016344933594</v>
      </c>
      <c r="AA100" s="541">
        <f t="shared" si="125"/>
        <v>0.27885016344933594</v>
      </c>
      <c r="AB100" s="360">
        <f t="shared" si="126"/>
        <v>20.013879208426097</v>
      </c>
      <c r="AC100" s="360">
        <f t="shared" si="95"/>
        <v>0.72099964974504671</v>
      </c>
      <c r="AD100" s="360">
        <f t="shared" si="96"/>
        <v>0.7013040517241379</v>
      </c>
      <c r="AE100" s="360">
        <f t="shared" si="97"/>
        <v>0.39600000000000002</v>
      </c>
      <c r="AF100" s="360">
        <f t="shared" si="98"/>
        <v>0</v>
      </c>
      <c r="AG100" s="360">
        <f t="shared" si="99"/>
        <v>2.0421015902263266</v>
      </c>
      <c r="AH100" s="360">
        <f t="shared" si="100"/>
        <v>18.625173928686223</v>
      </c>
      <c r="AI100" s="360">
        <f t="shared" si="101"/>
        <v>0.62441478697286346</v>
      </c>
      <c r="AJ100" s="360">
        <f t="shared" si="102"/>
        <v>0</v>
      </c>
      <c r="AK100" s="360">
        <f t="shared" si="103"/>
        <v>0.68989328102042502</v>
      </c>
      <c r="AL100" s="360">
        <f t="shared" si="104"/>
        <v>0.12108095999999999</v>
      </c>
      <c r="AM100" s="360">
        <f t="shared" si="105"/>
        <v>4.4549999999999999E-2</v>
      </c>
      <c r="AN100" s="360">
        <f t="shared" si="106"/>
        <v>1.6443954226552235</v>
      </c>
      <c r="AO100" s="360">
        <f t="shared" si="107"/>
        <v>1.5749999999999998E-3</v>
      </c>
      <c r="AP100" s="360">
        <f t="shared" si="108"/>
        <v>0.23760000000000001</v>
      </c>
      <c r="AQ100" s="360">
        <f t="shared" si="109"/>
        <v>0.22704000000000002</v>
      </c>
      <c r="AR100" s="360">
        <f t="shared" si="110"/>
        <v>0.2112</v>
      </c>
      <c r="AS100" s="360">
        <f t="shared" si="133"/>
        <v>0.239175</v>
      </c>
      <c r="AT100" s="360">
        <f t="shared" si="111"/>
        <v>6.533819144143882</v>
      </c>
      <c r="AU100">
        <f t="shared" si="112"/>
        <v>655.20000000000005</v>
      </c>
      <c r="AV100" s="542">
        <f t="shared" si="127"/>
        <v>0.99012621245111154</v>
      </c>
      <c r="AW100" s="551">
        <f t="shared" si="113"/>
        <v>78.717174428600401</v>
      </c>
      <c r="AX100" s="551">
        <f t="shared" si="114"/>
        <v>26.77460167877615</v>
      </c>
      <c r="AY100" s="9"/>
      <c r="AZ100" s="4">
        <f t="shared" si="128"/>
        <v>99.012621245111148</v>
      </c>
      <c r="BA100" s="360">
        <f t="shared" si="115"/>
        <v>1.4694477971060032</v>
      </c>
      <c r="BB100" s="360">
        <f t="shared" si="129"/>
        <v>2.7765448712467515</v>
      </c>
      <c r="BC100" s="360">
        <f t="shared" si="130"/>
        <v>2.0715045902263265</v>
      </c>
      <c r="BD100" s="360">
        <f t="shared" si="131"/>
        <v>0.70459478102042505</v>
      </c>
      <c r="BE100" s="360">
        <f t="shared" si="132"/>
        <v>1.6443954226552235</v>
      </c>
      <c r="BK100" s="18"/>
      <c r="BL100" s="19"/>
    </row>
    <row r="101" spans="7:64" x14ac:dyDescent="0.25">
      <c r="G101">
        <v>92</v>
      </c>
      <c r="H101" s="548">
        <f t="shared" si="85"/>
        <v>45</v>
      </c>
      <c r="I101" s="4">
        <f t="shared" si="86"/>
        <v>2</v>
      </c>
      <c r="J101" s="360">
        <f t="shared" si="116"/>
        <v>55.2</v>
      </c>
      <c r="K101" s="360">
        <f t="shared" si="87"/>
        <v>27.6</v>
      </c>
      <c r="L101" s="4">
        <f t="shared" si="88"/>
        <v>16.355555555555558</v>
      </c>
      <c r="M101" s="360">
        <f t="shared" si="89"/>
        <v>0.53592219565066868</v>
      </c>
      <c r="N101" s="4">
        <f t="shared" si="90"/>
        <v>5.094106118338261</v>
      </c>
      <c r="O101" s="4">
        <f t="shared" si="117"/>
        <v>30.147053059169131</v>
      </c>
      <c r="P101" s="4">
        <f t="shared" si="118"/>
        <v>25.052946940830871</v>
      </c>
      <c r="Q101" s="4">
        <f t="shared" si="91"/>
        <v>0</v>
      </c>
      <c r="R101" s="4">
        <f t="shared" si="119"/>
        <v>27.639147835912159</v>
      </c>
      <c r="S101" s="360">
        <f t="shared" si="92"/>
        <v>1.0694914903335708</v>
      </c>
      <c r="T101" s="360">
        <f t="shared" si="93"/>
        <v>0.3</v>
      </c>
      <c r="U101" s="360">
        <f t="shared" si="94"/>
        <v>1.4976274777883176</v>
      </c>
      <c r="V101" s="4">
        <f t="shared" si="120"/>
        <v>1.4705417693515574</v>
      </c>
      <c r="W101" s="360">
        <f t="shared" si="121"/>
        <v>4.3249861908152189E-3</v>
      </c>
      <c r="X101" s="360">
        <f t="shared" si="122"/>
        <v>4.3249861908152189E-3</v>
      </c>
      <c r="Y101" s="4">
        <f t="shared" si="123"/>
        <v>13.783862104861749</v>
      </c>
      <c r="Z101" s="360">
        <f t="shared" si="124"/>
        <v>0.28499228178876562</v>
      </c>
      <c r="AA101" s="541">
        <f t="shared" si="125"/>
        <v>0.28499228178876562</v>
      </c>
      <c r="AB101" s="360">
        <f t="shared" si="126"/>
        <v>20.233709986224071</v>
      </c>
      <c r="AC101" s="360">
        <f t="shared" si="95"/>
        <v>0.73692543565192259</v>
      </c>
      <c r="AD101" s="360">
        <f t="shared" si="96"/>
        <v>0.70901068965517233</v>
      </c>
      <c r="AE101" s="360">
        <f t="shared" si="97"/>
        <v>0.39600000000000002</v>
      </c>
      <c r="AF101" s="360">
        <f t="shared" si="98"/>
        <v>0</v>
      </c>
      <c r="AG101" s="360">
        <f t="shared" si="99"/>
        <v>2.0742819804246824</v>
      </c>
      <c r="AH101" s="360">
        <f t="shared" si="100"/>
        <v>18.828687508394843</v>
      </c>
      <c r="AI101" s="360">
        <f t="shared" si="101"/>
        <v>0.63813505191981124</v>
      </c>
      <c r="AJ101" s="360">
        <f t="shared" si="102"/>
        <v>0</v>
      </c>
      <c r="AK101" s="360">
        <f t="shared" si="103"/>
        <v>0.7066806182151163</v>
      </c>
      <c r="AL101" s="360">
        <f t="shared" si="104"/>
        <v>0.12241152</v>
      </c>
      <c r="AM101" s="360">
        <f t="shared" si="105"/>
        <v>4.4549999999999999E-2</v>
      </c>
      <c r="AN101" s="360">
        <f t="shared" si="106"/>
        <v>1.680629484809897</v>
      </c>
      <c r="AO101" s="360">
        <f t="shared" si="107"/>
        <v>1.5749999999999998E-3</v>
      </c>
      <c r="AP101" s="360">
        <f t="shared" si="108"/>
        <v>0.23760000000000001</v>
      </c>
      <c r="AQ101" s="360">
        <f t="shared" si="109"/>
        <v>0.22704000000000002</v>
      </c>
      <c r="AR101" s="360">
        <f t="shared" si="110"/>
        <v>0.2112</v>
      </c>
      <c r="AS101" s="360">
        <f t="shared" si="133"/>
        <v>0.239175</v>
      </c>
      <c r="AT101" s="360">
        <f t="shared" si="111"/>
        <v>6.6546733492175942</v>
      </c>
      <c r="AU101">
        <f t="shared" si="112"/>
        <v>662.40000000000009</v>
      </c>
      <c r="AV101" s="542">
        <f t="shared" si="127"/>
        <v>0.99005361801614067</v>
      </c>
      <c r="AW101" s="551">
        <f t="shared" si="113"/>
        <v>79.940029256137919</v>
      </c>
      <c r="AX101" s="551">
        <f t="shared" si="114"/>
        <v>27.412520492174419</v>
      </c>
      <c r="AY101" s="9"/>
      <c r="AZ101" s="4">
        <f t="shared" si="128"/>
        <v>99.005361801614072</v>
      </c>
      <c r="BA101" s="360">
        <f t="shared" si="115"/>
        <v>1.4976274777883176</v>
      </c>
      <c r="BB101" s="360">
        <f t="shared" si="129"/>
        <v>2.8255125986397989</v>
      </c>
      <c r="BC101" s="360">
        <f t="shared" si="130"/>
        <v>2.1036849804246822</v>
      </c>
      <c r="BD101" s="360">
        <f t="shared" si="131"/>
        <v>0.72138211821511633</v>
      </c>
      <c r="BE101" s="360">
        <f t="shared" si="132"/>
        <v>1.680629484809897</v>
      </c>
      <c r="BK101" s="18"/>
      <c r="BL101" s="19"/>
    </row>
    <row r="102" spans="7:64" x14ac:dyDescent="0.25">
      <c r="G102">
        <v>93</v>
      </c>
      <c r="H102" s="548">
        <f t="shared" si="85"/>
        <v>45</v>
      </c>
      <c r="I102" s="4">
        <f t="shared" si="86"/>
        <v>2</v>
      </c>
      <c r="J102" s="360">
        <f t="shared" si="116"/>
        <v>55.8</v>
      </c>
      <c r="K102" s="360">
        <f t="shared" si="87"/>
        <v>27.9</v>
      </c>
      <c r="L102" s="4">
        <f t="shared" si="88"/>
        <v>16.533333333333331</v>
      </c>
      <c r="M102" s="360">
        <f t="shared" si="89"/>
        <v>0.53595029712805065</v>
      </c>
      <c r="N102" s="4">
        <f t="shared" si="90"/>
        <v>5.0941393623461222</v>
      </c>
      <c r="O102" s="4">
        <f t="shared" si="117"/>
        <v>30.447069681173058</v>
      </c>
      <c r="P102" s="4">
        <f t="shared" si="118"/>
        <v>25.352930318826939</v>
      </c>
      <c r="Q102" s="4">
        <f t="shared" si="91"/>
        <v>0</v>
      </c>
      <c r="R102" s="4">
        <f t="shared" si="119"/>
        <v>27.938727983218033</v>
      </c>
      <c r="S102" s="360">
        <f t="shared" si="92"/>
        <v>1.0928015298483507</v>
      </c>
      <c r="T102" s="360">
        <f t="shared" si="93"/>
        <v>0.3</v>
      </c>
      <c r="U102" s="360">
        <f t="shared" si="94"/>
        <v>1.5262309294135505</v>
      </c>
      <c r="V102" s="4">
        <f t="shared" si="120"/>
        <v>1.4705513660700011</v>
      </c>
      <c r="W102" s="360">
        <f t="shared" si="121"/>
        <v>4.3250426405006936E-3</v>
      </c>
      <c r="X102" s="360">
        <f t="shared" si="122"/>
        <v>4.3250426405006936E-3</v>
      </c>
      <c r="Y102" s="4">
        <f t="shared" si="123"/>
        <v>13.933208524106774</v>
      </c>
      <c r="Z102" s="360">
        <f t="shared" si="124"/>
        <v>0.29120144966436251</v>
      </c>
      <c r="AA102" s="541">
        <f t="shared" si="125"/>
        <v>0.29120144966436251</v>
      </c>
      <c r="AB102" s="360">
        <f t="shared" si="126"/>
        <v>20.453558974701199</v>
      </c>
      <c r="AC102" s="360">
        <f t="shared" si="95"/>
        <v>0.75302653451684387</v>
      </c>
      <c r="AD102" s="360">
        <f t="shared" si="96"/>
        <v>0.71671732758620688</v>
      </c>
      <c r="AE102" s="360">
        <f t="shared" si="97"/>
        <v>0.39600000000000002</v>
      </c>
      <c r="AF102" s="360">
        <f t="shared" si="98"/>
        <v>0</v>
      </c>
      <c r="AG102" s="360">
        <f t="shared" si="99"/>
        <v>2.106899668168821</v>
      </c>
      <c r="AH102" s="360">
        <f t="shared" si="100"/>
        <v>19.03219500185595</v>
      </c>
      <c r="AI102" s="360">
        <f t="shared" si="101"/>
        <v>0.65200400385960711</v>
      </c>
      <c r="AJ102" s="360">
        <f t="shared" si="102"/>
        <v>0</v>
      </c>
      <c r="AK102" s="360">
        <f t="shared" si="103"/>
        <v>0.72372887027064525</v>
      </c>
      <c r="AL102" s="360">
        <f t="shared" si="104"/>
        <v>0.12374207999999998</v>
      </c>
      <c r="AM102" s="360">
        <f t="shared" si="105"/>
        <v>4.4549999999999999E-2</v>
      </c>
      <c r="AN102" s="360">
        <f t="shared" si="106"/>
        <v>1.7172595469045511</v>
      </c>
      <c r="AO102" s="360">
        <f t="shared" si="107"/>
        <v>1.5749999999999998E-3</v>
      </c>
      <c r="AP102" s="360">
        <f t="shared" si="108"/>
        <v>0.23760000000000001</v>
      </c>
      <c r="AQ102" s="360">
        <f t="shared" si="109"/>
        <v>0.22704000000000002</v>
      </c>
      <c r="AR102" s="360">
        <f t="shared" si="110"/>
        <v>0.2112</v>
      </c>
      <c r="AS102" s="360">
        <f t="shared" si="133"/>
        <v>0.239175</v>
      </c>
      <c r="AT102" s="360">
        <f t="shared" si="111"/>
        <v>6.7771125870624322</v>
      </c>
      <c r="AU102">
        <f t="shared" si="112"/>
        <v>669.59999999999991</v>
      </c>
      <c r="AV102" s="542">
        <f t="shared" si="127"/>
        <v>0.98998027511436515</v>
      </c>
      <c r="AW102" s="551">
        <f t="shared" si="113"/>
        <v>81.179501390415197</v>
      </c>
      <c r="AX102" s="551">
        <f t="shared" si="114"/>
        <v>28.060354070284522</v>
      </c>
      <c r="AY102" s="9"/>
      <c r="AZ102" s="4">
        <f t="shared" si="128"/>
        <v>98.998027511436518</v>
      </c>
      <c r="BA102" s="360">
        <f t="shared" si="115"/>
        <v>1.5262309294135505</v>
      </c>
      <c r="BB102" s="360">
        <f t="shared" si="129"/>
        <v>2.8751785384394664</v>
      </c>
      <c r="BC102" s="360">
        <f t="shared" si="130"/>
        <v>2.1363026681688209</v>
      </c>
      <c r="BD102" s="360">
        <f t="shared" si="131"/>
        <v>0.73843037027064529</v>
      </c>
      <c r="BE102" s="360">
        <f t="shared" si="132"/>
        <v>1.7172595469045511</v>
      </c>
      <c r="BK102" s="18"/>
      <c r="BL102" s="19"/>
    </row>
    <row r="103" spans="7:64" x14ac:dyDescent="0.25">
      <c r="G103">
        <v>94</v>
      </c>
      <c r="H103" s="548">
        <f t="shared" si="85"/>
        <v>45</v>
      </c>
      <c r="I103" s="4">
        <f t="shared" si="86"/>
        <v>2</v>
      </c>
      <c r="J103" s="360">
        <f t="shared" si="116"/>
        <v>56.4</v>
      </c>
      <c r="K103" s="360">
        <f t="shared" si="87"/>
        <v>28.2</v>
      </c>
      <c r="L103" s="4">
        <f t="shared" si="88"/>
        <v>16.711111111111109</v>
      </c>
      <c r="M103" s="360">
        <f t="shared" si="89"/>
        <v>0.53597839778225753</v>
      </c>
      <c r="N103" s="4">
        <f t="shared" si="90"/>
        <v>5.0941725740052437</v>
      </c>
      <c r="O103" s="4">
        <f t="shared" si="117"/>
        <v>30.74708628700262</v>
      </c>
      <c r="P103" s="4">
        <f t="shared" si="118"/>
        <v>25.652913712997378</v>
      </c>
      <c r="Q103" s="4">
        <f t="shared" si="91"/>
        <v>0</v>
      </c>
      <c r="R103" s="4">
        <f t="shared" si="119"/>
        <v>28.238317044714481</v>
      </c>
      <c r="S103" s="360">
        <f t="shared" si="92"/>
        <v>1.1163635693249374</v>
      </c>
      <c r="T103" s="360">
        <f t="shared" si="93"/>
        <v>0.3</v>
      </c>
      <c r="U103" s="360">
        <f t="shared" si="94"/>
        <v>1.5552626548098409</v>
      </c>
      <c r="V103" s="4">
        <f t="shared" si="120"/>
        <v>1.4705609534501682</v>
      </c>
      <c r="W103" s="360">
        <f t="shared" si="121"/>
        <v>4.3250990356245361E-3</v>
      </c>
      <c r="X103" s="360">
        <f t="shared" si="122"/>
        <v>4.3250990356245361E-3</v>
      </c>
      <c r="Y103" s="4">
        <f t="shared" si="123"/>
        <v>14.082558132347181</v>
      </c>
      <c r="Z103" s="360">
        <f t="shared" si="124"/>
        <v>0.29747766532640663</v>
      </c>
      <c r="AA103" s="541">
        <f t="shared" si="125"/>
        <v>0.29747766532640663</v>
      </c>
      <c r="AB103" s="360">
        <f t="shared" si="126"/>
        <v>20.673425958898161</v>
      </c>
      <c r="AC103" s="360">
        <f t="shared" si="95"/>
        <v>0.76930297358047983</v>
      </c>
      <c r="AD103" s="360">
        <f t="shared" si="96"/>
        <v>0.72442396551724131</v>
      </c>
      <c r="AE103" s="360">
        <f t="shared" si="97"/>
        <v>0.39600000000000002</v>
      </c>
      <c r="AF103" s="360">
        <f t="shared" si="98"/>
        <v>0</v>
      </c>
      <c r="AG103" s="360">
        <f t="shared" si="99"/>
        <v>2.1399612830093866</v>
      </c>
      <c r="AH103" s="360">
        <f t="shared" si="100"/>
        <v>19.23569620886564</v>
      </c>
      <c r="AI103" s="360">
        <f t="shared" si="101"/>
        <v>0.66602161555158224</v>
      </c>
      <c r="AJ103" s="360">
        <f t="shared" si="102"/>
        <v>0</v>
      </c>
      <c r="AK103" s="360">
        <f t="shared" si="103"/>
        <v>0.74104112550681434</v>
      </c>
      <c r="AL103" s="360">
        <f t="shared" si="104"/>
        <v>0.12507263999999998</v>
      </c>
      <c r="AM103" s="360">
        <f t="shared" si="105"/>
        <v>4.4549999999999999E-2</v>
      </c>
      <c r="AN103" s="360">
        <f t="shared" si="106"/>
        <v>1.7542856089391874</v>
      </c>
      <c r="AO103" s="360">
        <f t="shared" si="107"/>
        <v>1.5749999999999998E-3</v>
      </c>
      <c r="AP103" s="360">
        <f t="shared" si="108"/>
        <v>0.23760000000000001</v>
      </c>
      <c r="AQ103" s="360">
        <f t="shared" si="109"/>
        <v>0.22704000000000002</v>
      </c>
      <c r="AR103" s="360">
        <f t="shared" si="110"/>
        <v>0.2112</v>
      </c>
      <c r="AS103" s="360">
        <f t="shared" si="133"/>
        <v>0.239175</v>
      </c>
      <c r="AT103" s="360">
        <f t="shared" si="111"/>
        <v>6.9011510766272615</v>
      </c>
      <c r="AU103">
        <f t="shared" si="112"/>
        <v>676.8</v>
      </c>
      <c r="AV103" s="542">
        <f t="shared" si="127"/>
        <v>0.98990618771701644</v>
      </c>
      <c r="AW103" s="551">
        <f t="shared" si="113"/>
        <v>82.435842754356685</v>
      </c>
      <c r="AX103" s="551">
        <f t="shared" si="114"/>
        <v>28.718219769258948</v>
      </c>
      <c r="AY103" s="9"/>
      <c r="AZ103" s="4">
        <f t="shared" si="128"/>
        <v>98.990618771701648</v>
      </c>
      <c r="BA103" s="360">
        <f t="shared" si="115"/>
        <v>1.5552626548098409</v>
      </c>
      <c r="BB103" s="360">
        <f t="shared" si="129"/>
        <v>2.925552408516201</v>
      </c>
      <c r="BC103" s="360">
        <f t="shared" si="130"/>
        <v>2.1693642830093864</v>
      </c>
      <c r="BD103" s="360">
        <f t="shared" si="131"/>
        <v>0.75574262550681437</v>
      </c>
      <c r="BE103" s="360">
        <f t="shared" si="132"/>
        <v>1.7542856089391874</v>
      </c>
      <c r="BK103" s="18"/>
      <c r="BL103" s="19"/>
    </row>
    <row r="104" spans="7:64" x14ac:dyDescent="0.25">
      <c r="G104">
        <v>95</v>
      </c>
      <c r="H104" s="548">
        <f t="shared" si="85"/>
        <v>45</v>
      </c>
      <c r="I104" s="4">
        <f t="shared" si="86"/>
        <v>2</v>
      </c>
      <c r="J104" s="360">
        <f t="shared" si="116"/>
        <v>57</v>
      </c>
      <c r="K104" s="360">
        <f t="shared" si="87"/>
        <v>28.5</v>
      </c>
      <c r="L104" s="4">
        <f t="shared" si="88"/>
        <v>16.888888888888889</v>
      </c>
      <c r="M104" s="360">
        <f t="shared" si="89"/>
        <v>0.53600649761332542</v>
      </c>
      <c r="N104" s="4">
        <f t="shared" si="90"/>
        <v>5.0942057533170448</v>
      </c>
      <c r="O104" s="4">
        <f t="shared" si="117"/>
        <v>31.047102876658521</v>
      </c>
      <c r="P104" s="4">
        <f t="shared" si="118"/>
        <v>25.952897123341479</v>
      </c>
      <c r="Q104" s="4">
        <f t="shared" si="91"/>
        <v>0</v>
      </c>
      <c r="R104" s="4">
        <f t="shared" si="119"/>
        <v>28.537914739659836</v>
      </c>
      <c r="S104" s="360">
        <f t="shared" si="92"/>
        <v>1.140177608763332</v>
      </c>
      <c r="T104" s="360">
        <f t="shared" si="93"/>
        <v>0.3</v>
      </c>
      <c r="U104" s="360">
        <f t="shared" si="94"/>
        <v>1.5847272509673338</v>
      </c>
      <c r="V104" s="4">
        <f t="shared" si="120"/>
        <v>1.4705705314924682</v>
      </c>
      <c r="W104" s="360">
        <f t="shared" si="121"/>
        <v>4.3251553761880805E-3</v>
      </c>
      <c r="X104" s="360">
        <f t="shared" si="122"/>
        <v>4.3251553761880805E-3</v>
      </c>
      <c r="Y104" s="4">
        <f t="shared" si="123"/>
        <v>14.231910788148543</v>
      </c>
      <c r="Z104" s="360">
        <f t="shared" si="124"/>
        <v>0.30382092702272834</v>
      </c>
      <c r="AA104" s="541">
        <f t="shared" si="125"/>
        <v>0.30382092702272834</v>
      </c>
      <c r="AB104" s="360">
        <f t="shared" si="126"/>
        <v>20.893310732835896</v>
      </c>
      <c r="AC104" s="360">
        <f t="shared" si="95"/>
        <v>0.78575478008190414</v>
      </c>
      <c r="AD104" s="360">
        <f t="shared" si="96"/>
        <v>0.73213060344827585</v>
      </c>
      <c r="AE104" s="360">
        <f t="shared" si="97"/>
        <v>0.39600000000000002</v>
      </c>
      <c r="AF104" s="360">
        <f t="shared" si="98"/>
        <v>0</v>
      </c>
      <c r="AG104" s="360">
        <f t="shared" si="99"/>
        <v>2.1734736098330218</v>
      </c>
      <c r="AH104" s="360">
        <f t="shared" si="100"/>
        <v>19.439190937620282</v>
      </c>
      <c r="AI104" s="360">
        <f t="shared" si="101"/>
        <v>0.68018785975666529</v>
      </c>
      <c r="AJ104" s="360">
        <f t="shared" si="102"/>
        <v>0</v>
      </c>
      <c r="AK104" s="360">
        <f t="shared" si="103"/>
        <v>0.75862054104851684</v>
      </c>
      <c r="AL104" s="360">
        <f t="shared" si="104"/>
        <v>0.12640319999999999</v>
      </c>
      <c r="AM104" s="360">
        <f t="shared" si="105"/>
        <v>4.4549999999999999E-2</v>
      </c>
      <c r="AN104" s="360">
        <f t="shared" si="106"/>
        <v>1.7917076709138073</v>
      </c>
      <c r="AO104" s="360">
        <f t="shared" si="107"/>
        <v>1.5749999999999998E-3</v>
      </c>
      <c r="AP104" s="360">
        <f t="shared" si="108"/>
        <v>0.23760000000000001</v>
      </c>
      <c r="AQ104" s="360">
        <f t="shared" si="109"/>
        <v>0.22704000000000002</v>
      </c>
      <c r="AR104" s="360">
        <f t="shared" si="110"/>
        <v>0.2112</v>
      </c>
      <c r="AS104" s="360">
        <f t="shared" si="133"/>
        <v>0.239175</v>
      </c>
      <c r="AT104" s="360">
        <f t="shared" si="111"/>
        <v>7.0268033551615972</v>
      </c>
      <c r="AU104">
        <f t="shared" si="112"/>
        <v>684</v>
      </c>
      <c r="AV104" s="542">
        <f t="shared" si="127"/>
        <v>0.98983135918745235</v>
      </c>
      <c r="AW104" s="551">
        <f t="shared" si="113"/>
        <v>83.709311173654825</v>
      </c>
      <c r="AX104" s="551">
        <f t="shared" si="114"/>
        <v>29.386237559843643</v>
      </c>
      <c r="AY104" s="9"/>
      <c r="AZ104" s="4">
        <f t="shared" si="128"/>
        <v>98.983135918745234</v>
      </c>
      <c r="BA104" s="360">
        <f t="shared" si="115"/>
        <v>1.5847272509673338</v>
      </c>
      <c r="BB104" s="360">
        <f t="shared" si="129"/>
        <v>2.9766441508815387</v>
      </c>
      <c r="BC104" s="360">
        <f t="shared" si="130"/>
        <v>2.2028766098330217</v>
      </c>
      <c r="BD104" s="360">
        <f t="shared" si="131"/>
        <v>0.77332204104851687</v>
      </c>
      <c r="BE104" s="360">
        <f t="shared" si="132"/>
        <v>1.7917076709138073</v>
      </c>
      <c r="BK104" s="18"/>
      <c r="BL104" s="19"/>
    </row>
    <row r="105" spans="7:64" x14ac:dyDescent="0.25">
      <c r="G105">
        <v>96</v>
      </c>
      <c r="H105" s="548">
        <f t="shared" si="85"/>
        <v>45</v>
      </c>
      <c r="I105" s="4">
        <f t="shared" si="86"/>
        <v>2</v>
      </c>
      <c r="J105" s="360">
        <f t="shared" si="116"/>
        <v>57.6</v>
      </c>
      <c r="K105" s="360">
        <f t="shared" si="87"/>
        <v>28.8</v>
      </c>
      <c r="L105" s="4">
        <f t="shared" ref="L105:L109" si="134">Vout*K105/(Vin*Efficiency)</f>
        <v>17.066666666666666</v>
      </c>
      <c r="M105" s="360">
        <f t="shared" si="89"/>
        <v>0.53603459662129049</v>
      </c>
      <c r="N105" s="4">
        <f t="shared" ref="N105:N109" si="135">(Vin-(Rdson1+Rdcr)*K105-Vout)*M105/(Fsw*Lf)</f>
        <v>5.0942389002829458</v>
      </c>
      <c r="O105" s="4">
        <f t="shared" si="117"/>
        <v>31.347119450141474</v>
      </c>
      <c r="P105" s="4">
        <f t="shared" si="118"/>
        <v>26.252880549858528</v>
      </c>
      <c r="Q105" s="4">
        <f t="shared" ref="Q105:Q109" si="136">IF(MIN(Vin, -P105/(Coss_Q1+Coss_Q2)*0.00000002)&lt;0, 0, MIN(Vin, -P105/(Coss_Q1+Coss_Q2)*0.00000002))</f>
        <v>0</v>
      </c>
      <c r="R105" s="4">
        <f t="shared" si="119"/>
        <v>28.837520798971198</v>
      </c>
      <c r="S105" s="360">
        <f t="shared" ref="S105:S109" si="137">R105^2*Rdcr</f>
        <v>1.164243648163535</v>
      </c>
      <c r="T105" s="360">
        <f t="shared" si="93"/>
        <v>0.3</v>
      </c>
      <c r="U105" s="360">
        <f t="shared" ref="U105:U109" si="138">(T105+S105*(1+Ltc*(Ta-25)))/(1-S105*Ltc*ThetaCa)</f>
        <v>1.614629411038724</v>
      </c>
      <c r="V105" s="4">
        <f t="shared" si="120"/>
        <v>1.4705801001973111</v>
      </c>
      <c r="W105" s="360">
        <f t="shared" si="121"/>
        <v>4.3252116621926677E-3</v>
      </c>
      <c r="X105" s="360">
        <f t="shared" si="122"/>
        <v>4.3252116621926677E-3</v>
      </c>
      <c r="Y105" s="4">
        <f t="shared" si="123"/>
        <v>14.381266355893001</v>
      </c>
      <c r="Z105" s="360">
        <f t="shared" si="124"/>
        <v>0.31023123299870992</v>
      </c>
      <c r="AA105" s="541">
        <f t="shared" si="125"/>
        <v>0.31023123299870992</v>
      </c>
      <c r="AB105" s="360">
        <f t="shared" si="126"/>
        <v>21.113213099049748</v>
      </c>
      <c r="AC105" s="360">
        <f t="shared" ref="AC105:AC109" si="139">Rdson1*AB105^2</f>
        <v>0.8023819812585945</v>
      </c>
      <c r="AD105" s="360">
        <f t="shared" si="96"/>
        <v>0.73983724137931028</v>
      </c>
      <c r="AE105" s="360">
        <f t="shared" si="97"/>
        <v>0.39600000000000002</v>
      </c>
      <c r="AF105" s="360">
        <f t="shared" si="98"/>
        <v>0</v>
      </c>
      <c r="AG105" s="360">
        <f t="shared" ref="AG105:AG109" si="140">(AF105+AE105+AD105+AC105*(1+RdsonTopTc*Ta-RdsonTopTc*25))/(1-AC105*RdsonTopTc*ThetaJA_Q1)</f>
        <v>2.2074435931314635</v>
      </c>
      <c r="AH105" s="360">
        <f t="shared" si="100"/>
        <v>19.642679004280719</v>
      </c>
      <c r="AI105" s="360">
        <f t="shared" ref="AI105:AI109" si="141">Rdson2*AH105^2</f>
        <v>0.694502709237379</v>
      </c>
      <c r="AJ105" s="360">
        <f t="shared" si="102"/>
        <v>0</v>
      </c>
      <c r="AK105" s="360">
        <f t="shared" ref="AK105:AK109" si="142">(AJ105+AI105*(1+RdsonBotTc*Ta-RdsonBotTc*25))/(1-AI105*RdsonBotTc*ThetaJA_Q2)</f>
        <v>0.77647034443049712</v>
      </c>
      <c r="AL105" s="360">
        <f t="shared" si="104"/>
        <v>0.12773375999999997</v>
      </c>
      <c r="AM105" s="360">
        <f t="shared" si="105"/>
        <v>4.4549999999999999E-2</v>
      </c>
      <c r="AN105" s="360">
        <f t="shared" si="106"/>
        <v>1.8295257328284122</v>
      </c>
      <c r="AO105" s="360">
        <f t="shared" si="107"/>
        <v>1.5749999999999998E-3</v>
      </c>
      <c r="AP105" s="360">
        <f t="shared" si="108"/>
        <v>0.23760000000000001</v>
      </c>
      <c r="AQ105" s="360">
        <f t="shared" si="109"/>
        <v>0.22704000000000002</v>
      </c>
      <c r="AR105" s="360">
        <f t="shared" si="110"/>
        <v>0.2112</v>
      </c>
      <c r="AS105" s="360">
        <f t="shared" si="133"/>
        <v>0.239175</v>
      </c>
      <c r="AT105" s="360">
        <f t="shared" ref="AT105:AT109" si="143" xml:space="preserve"> SUM(U105,X105,AA105,AG105,AK105,AL105,AM105,AS105,AN105)</f>
        <v>7.1540842860900007</v>
      </c>
      <c r="AU105">
        <f t="shared" si="112"/>
        <v>691.2</v>
      </c>
      <c r="AV105" s="542">
        <f t="shared" si="127"/>
        <v>0.9897557923021193</v>
      </c>
      <c r="AW105" s="551">
        <f t="shared" si="113"/>
        <v>85.000170538995604</v>
      </c>
      <c r="AX105" s="551">
        <f t="shared" si="114"/>
        <v>30.064530088358893</v>
      </c>
      <c r="AY105" s="9"/>
      <c r="AZ105" s="4">
        <f t="shared" si="128"/>
        <v>98.975579230211935</v>
      </c>
      <c r="BA105" s="360">
        <f t="shared" si="115"/>
        <v>1.614629411038724</v>
      </c>
      <c r="BB105" s="360">
        <f t="shared" si="129"/>
        <v>3.0284639375619609</v>
      </c>
      <c r="BC105" s="360">
        <f t="shared" si="130"/>
        <v>2.2368465931314634</v>
      </c>
      <c r="BD105" s="360">
        <f t="shared" si="131"/>
        <v>0.79117184443049715</v>
      </c>
      <c r="BE105" s="360">
        <f t="shared" si="132"/>
        <v>1.8295257328284122</v>
      </c>
      <c r="BK105" s="18"/>
      <c r="BL105" s="19"/>
    </row>
    <row r="106" spans="7:64" x14ac:dyDescent="0.25">
      <c r="G106">
        <v>97</v>
      </c>
      <c r="H106" s="548">
        <f t="shared" si="85"/>
        <v>45</v>
      </c>
      <c r="I106" s="4">
        <f t="shared" si="86"/>
        <v>2</v>
      </c>
      <c r="J106" s="360">
        <f t="shared" si="116"/>
        <v>58.2</v>
      </c>
      <c r="K106" s="360">
        <f t="shared" si="87"/>
        <v>29.1</v>
      </c>
      <c r="L106" s="4">
        <f t="shared" si="134"/>
        <v>17.244444444444447</v>
      </c>
      <c r="M106" s="360">
        <f t="shared" si="89"/>
        <v>0.53606269480618907</v>
      </c>
      <c r="N106" s="4">
        <f t="shared" si="135"/>
        <v>5.0942720149043721</v>
      </c>
      <c r="O106" s="4">
        <f t="shared" si="117"/>
        <v>31.647136007452186</v>
      </c>
      <c r="P106" s="4">
        <f t="shared" si="118"/>
        <v>26.552863992547817</v>
      </c>
      <c r="Q106" s="4">
        <f t="shared" si="136"/>
        <v>0</v>
      </c>
      <c r="R106" s="4">
        <f t="shared" si="119"/>
        <v>29.137134964625808</v>
      </c>
      <c r="S106" s="360">
        <f t="shared" si="137"/>
        <v>1.1885616875255476</v>
      </c>
      <c r="T106" s="360">
        <f t="shared" si="93"/>
        <v>0.3</v>
      </c>
      <c r="U106" s="360">
        <f t="shared" si="138"/>
        <v>1.64497392639707</v>
      </c>
      <c r="V106" s="4">
        <f t="shared" si="120"/>
        <v>1.4705896595651082</v>
      </c>
      <c r="W106" s="360">
        <f t="shared" si="121"/>
        <v>4.3252678936396413E-3</v>
      </c>
      <c r="X106" s="360">
        <f t="shared" si="122"/>
        <v>4.3252678936396413E-3</v>
      </c>
      <c r="Y106" s="4">
        <f t="shared" si="123"/>
        <v>14.53062470548061</v>
      </c>
      <c r="Z106" s="360">
        <f t="shared" si="124"/>
        <v>0.31670858149728526</v>
      </c>
      <c r="AA106" s="541">
        <f t="shared" si="125"/>
        <v>0.31670858149728526</v>
      </c>
      <c r="AB106" s="360">
        <f t="shared" si="126"/>
        <v>21.333132868152312</v>
      </c>
      <c r="AC106" s="360">
        <f t="shared" si="139"/>
        <v>0.81918460434643281</v>
      </c>
      <c r="AD106" s="360">
        <f t="shared" si="96"/>
        <v>0.74754387931034472</v>
      </c>
      <c r="AE106" s="360">
        <f t="shared" si="97"/>
        <v>0.39600000000000002</v>
      </c>
      <c r="AF106" s="360">
        <f t="shared" si="98"/>
        <v>0</v>
      </c>
      <c r="AG106" s="360">
        <f t="shared" si="140"/>
        <v>2.2418783414169647</v>
      </c>
      <c r="AH106" s="360">
        <f t="shared" si="100"/>
        <v>19.846160232563356</v>
      </c>
      <c r="AI106" s="360">
        <f t="shared" si="141"/>
        <v>0.70896613675784248</v>
      </c>
      <c r="AJ106" s="360">
        <f t="shared" si="102"/>
        <v>0</v>
      </c>
      <c r="AK106" s="360">
        <f t="shared" si="142"/>
        <v>0.79459383525167959</v>
      </c>
      <c r="AL106" s="360">
        <f t="shared" si="104"/>
        <v>0.12906431999999998</v>
      </c>
      <c r="AM106" s="360">
        <f t="shared" si="105"/>
        <v>4.4549999999999999E-2</v>
      </c>
      <c r="AN106" s="360">
        <f t="shared" si="106"/>
        <v>1.8677397946830037</v>
      </c>
      <c r="AO106" s="360">
        <f t="shared" si="107"/>
        <v>1.5749999999999998E-3</v>
      </c>
      <c r="AP106" s="360">
        <f t="shared" si="108"/>
        <v>0.23760000000000001</v>
      </c>
      <c r="AQ106" s="360">
        <f t="shared" si="109"/>
        <v>0.22704000000000002</v>
      </c>
      <c r="AR106" s="360">
        <f t="shared" si="110"/>
        <v>0.2112</v>
      </c>
      <c r="AS106" s="360">
        <f t="shared" si="133"/>
        <v>0.239175</v>
      </c>
      <c r="AT106" s="360">
        <f t="shared" si="143"/>
        <v>7.283009067139643</v>
      </c>
      <c r="AU106">
        <f t="shared" si="112"/>
        <v>698.40000000000009</v>
      </c>
      <c r="AV106" s="542">
        <f t="shared" si="127"/>
        <v>0.98967948926988158</v>
      </c>
      <c r="AW106" s="551">
        <f t="shared" si="113"/>
        <v>86.308690973844648</v>
      </c>
      <c r="AX106" s="551">
        <f t="shared" si="114"/>
        <v>30.753222739563824</v>
      </c>
      <c r="AY106" s="9"/>
      <c r="AZ106" s="4">
        <f t="shared" si="128"/>
        <v>98.967948926988157</v>
      </c>
      <c r="BA106" s="360">
        <f t="shared" si="115"/>
        <v>1.64497392639707</v>
      </c>
      <c r="BB106" s="360">
        <f t="shared" si="129"/>
        <v>3.0810221766686445</v>
      </c>
      <c r="BC106" s="360">
        <f t="shared" si="130"/>
        <v>2.2712813414169646</v>
      </c>
      <c r="BD106" s="360">
        <f t="shared" si="131"/>
        <v>0.80929533525167963</v>
      </c>
      <c r="BE106" s="360">
        <f t="shared" si="132"/>
        <v>1.8677397946830037</v>
      </c>
      <c r="BK106" s="18"/>
      <c r="BL106" s="19"/>
    </row>
    <row r="107" spans="7:64" x14ac:dyDescent="0.25">
      <c r="G107">
        <v>98</v>
      </c>
      <c r="H107" s="548">
        <f t="shared" si="85"/>
        <v>45</v>
      </c>
      <c r="I107" s="4">
        <f t="shared" si="86"/>
        <v>2</v>
      </c>
      <c r="J107" s="360">
        <f t="shared" si="116"/>
        <v>58.8</v>
      </c>
      <c r="K107" s="360">
        <f t="shared" si="87"/>
        <v>29.4</v>
      </c>
      <c r="L107" s="4">
        <f t="shared" si="134"/>
        <v>17.422222222222221</v>
      </c>
      <c r="M107" s="360">
        <f t="shared" si="89"/>
        <v>0.53609079216805711</v>
      </c>
      <c r="N107" s="4">
        <f t="shared" si="135"/>
        <v>5.0943050971827404</v>
      </c>
      <c r="O107" s="4">
        <f t="shared" si="117"/>
        <v>31.947152548591369</v>
      </c>
      <c r="P107" s="4">
        <f t="shared" si="118"/>
        <v>26.852847451408628</v>
      </c>
      <c r="Q107" s="4">
        <f t="shared" si="136"/>
        <v>0</v>
      </c>
      <c r="R107" s="4">
        <f t="shared" si="119"/>
        <v>29.436756989098935</v>
      </c>
      <c r="S107" s="360">
        <f t="shared" si="137"/>
        <v>1.2131317268493711</v>
      </c>
      <c r="T107" s="360">
        <f t="shared" si="93"/>
        <v>0.3</v>
      </c>
      <c r="U107" s="360">
        <f t="shared" si="138"/>
        <v>1.6757656887526893</v>
      </c>
      <c r="V107" s="4">
        <f t="shared" si="120"/>
        <v>1.470599209596269</v>
      </c>
      <c r="W107" s="360">
        <f t="shared" si="121"/>
        <v>4.325324070530343E-3</v>
      </c>
      <c r="X107" s="360">
        <f t="shared" si="122"/>
        <v>4.325324070530343E-3</v>
      </c>
      <c r="Y107" s="4">
        <f t="shared" si="123"/>
        <v>14.679985712048914</v>
      </c>
      <c r="Z107" s="360">
        <f t="shared" si="124"/>
        <v>0.32325297075894038</v>
      </c>
      <c r="AA107" s="541">
        <f t="shared" si="125"/>
        <v>0.32325297075894038</v>
      </c>
      <c r="AB107" s="360">
        <f t="shared" si="126"/>
        <v>21.553069858422926</v>
      </c>
      <c r="AC107" s="360">
        <f t="shared" si="139"/>
        <v>0.83616267657970589</v>
      </c>
      <c r="AD107" s="360">
        <f t="shared" si="96"/>
        <v>0.75525051724137926</v>
      </c>
      <c r="AE107" s="360">
        <f t="shared" si="97"/>
        <v>0.39600000000000002</v>
      </c>
      <c r="AF107" s="360">
        <f t="shared" si="98"/>
        <v>0</v>
      </c>
      <c r="AG107" s="360">
        <f t="shared" si="140"/>
        <v>2.2767851317898105</v>
      </c>
      <c r="AH107" s="360">
        <f t="shared" si="100"/>
        <v>20.049634453356155</v>
      </c>
      <c r="AI107" s="360">
        <f t="shared" si="141"/>
        <v>0.72357811508377112</v>
      </c>
      <c r="AJ107" s="360">
        <f t="shared" si="102"/>
        <v>0</v>
      </c>
      <c r="AK107" s="360">
        <f t="shared" si="142"/>
        <v>0.81299438688076764</v>
      </c>
      <c r="AL107" s="360">
        <f t="shared" si="104"/>
        <v>0.13039487999999996</v>
      </c>
      <c r="AM107" s="360">
        <f t="shared" si="105"/>
        <v>4.4549999999999999E-2</v>
      </c>
      <c r="AN107" s="360">
        <f t="shared" si="106"/>
        <v>1.9063498564775831</v>
      </c>
      <c r="AO107" s="360">
        <f t="shared" si="107"/>
        <v>1.5749999999999998E-3</v>
      </c>
      <c r="AP107" s="360">
        <f t="shared" si="108"/>
        <v>0.23760000000000001</v>
      </c>
      <c r="AQ107" s="360">
        <f t="shared" si="109"/>
        <v>0.22704000000000002</v>
      </c>
      <c r="AR107" s="360">
        <f t="shared" si="110"/>
        <v>0.2112</v>
      </c>
      <c r="AS107" s="360">
        <f t="shared" si="133"/>
        <v>0.239175</v>
      </c>
      <c r="AT107" s="360">
        <f t="shared" si="143"/>
        <v>7.4135932387303214</v>
      </c>
      <c r="AU107">
        <f t="shared" si="112"/>
        <v>705.59999999999991</v>
      </c>
      <c r="AV107" s="542">
        <f t="shared" si="127"/>
        <v>0.98960245174982508</v>
      </c>
      <c r="AW107" s="551">
        <f t="shared" si="113"/>
        <v>87.635149008012789</v>
      </c>
      <c r="AX107" s="551">
        <f t="shared" si="114"/>
        <v>31.452443701469171</v>
      </c>
      <c r="AY107" s="9"/>
      <c r="AZ107" s="4">
        <f t="shared" si="128"/>
        <v>98.960245174982504</v>
      </c>
      <c r="BA107" s="360">
        <f t="shared" si="115"/>
        <v>1.6757656887526893</v>
      </c>
      <c r="BB107" s="360">
        <f t="shared" si="129"/>
        <v>3.1343295186705782</v>
      </c>
      <c r="BC107" s="360">
        <f t="shared" si="130"/>
        <v>2.3061881317898103</v>
      </c>
      <c r="BD107" s="360">
        <f t="shared" si="131"/>
        <v>0.82769588688076767</v>
      </c>
      <c r="BE107" s="360">
        <f t="shared" si="132"/>
        <v>1.9063498564775831</v>
      </c>
      <c r="BK107" s="18"/>
      <c r="BL107" s="19"/>
    </row>
    <row r="108" spans="7:64" x14ac:dyDescent="0.25">
      <c r="G108">
        <v>99</v>
      </c>
      <c r="H108" s="548">
        <f t="shared" si="85"/>
        <v>45</v>
      </c>
      <c r="I108" s="4">
        <f t="shared" si="86"/>
        <v>2</v>
      </c>
      <c r="J108" s="360">
        <f t="shared" si="116"/>
        <v>59.4</v>
      </c>
      <c r="K108" s="360">
        <f t="shared" si="87"/>
        <v>29.7</v>
      </c>
      <c r="L108" s="4">
        <f t="shared" si="134"/>
        <v>17.599999999999998</v>
      </c>
      <c r="M108" s="360">
        <f t="shared" si="89"/>
        <v>0.53611888870693092</v>
      </c>
      <c r="N108" s="4">
        <f t="shared" si="135"/>
        <v>5.0943381471194735</v>
      </c>
      <c r="O108" s="4">
        <f t="shared" si="117"/>
        <v>32.247169073559739</v>
      </c>
      <c r="P108" s="4">
        <f t="shared" si="118"/>
        <v>27.152830926440263</v>
      </c>
      <c r="Q108" s="4">
        <f t="shared" si="136"/>
        <v>0</v>
      </c>
      <c r="R108" s="4">
        <f t="shared" si="119"/>
        <v>29.736386634835661</v>
      </c>
      <c r="S108" s="360">
        <f t="shared" si="137"/>
        <v>1.2379537661350062</v>
      </c>
      <c r="T108" s="360">
        <f t="shared" si="93"/>
        <v>0.3</v>
      </c>
      <c r="U108" s="360">
        <f t="shared" si="138"/>
        <v>1.7070096923310176</v>
      </c>
      <c r="V108" s="4">
        <f t="shared" si="120"/>
        <v>1.4706087502912037</v>
      </c>
      <c r="W108" s="360">
        <f t="shared" si="121"/>
        <v>4.3253801928661122E-3</v>
      </c>
      <c r="X108" s="360">
        <f t="shared" si="122"/>
        <v>4.3253801928661122E-3</v>
      </c>
      <c r="Y108" s="4">
        <f t="shared" si="123"/>
        <v>14.829349255709408</v>
      </c>
      <c r="Z108" s="360">
        <f t="shared" si="124"/>
        <v>0.32986439902171377</v>
      </c>
      <c r="AA108" s="541">
        <f t="shared" si="125"/>
        <v>0.32986439902171377</v>
      </c>
      <c r="AB108" s="360">
        <f t="shared" si="126"/>
        <v>21.773023895421915</v>
      </c>
      <c r="AC108" s="360">
        <f t="shared" si="139"/>
        <v>0.85331622519110462</v>
      </c>
      <c r="AD108" s="360">
        <f t="shared" si="96"/>
        <v>0.76295715517241369</v>
      </c>
      <c r="AE108" s="360">
        <f t="shared" si="97"/>
        <v>0.39600000000000002</v>
      </c>
      <c r="AF108" s="360">
        <f t="shared" si="98"/>
        <v>0</v>
      </c>
      <c r="AG108" s="360">
        <f t="shared" si="140"/>
        <v>2.31217141466401</v>
      </c>
      <c r="AH108" s="360">
        <f t="shared" si="100"/>
        <v>20.253101504357776</v>
      </c>
      <c r="AI108" s="360">
        <f t="shared" si="141"/>
        <v>0.7383386169824746</v>
      </c>
      <c r="AJ108" s="360">
        <f t="shared" si="102"/>
        <v>0</v>
      </c>
      <c r="AK108" s="360">
        <f t="shared" si="142"/>
        <v>0.83167544821489037</v>
      </c>
      <c r="AL108" s="360">
        <f t="shared" si="104"/>
        <v>0.13172543999999997</v>
      </c>
      <c r="AM108" s="360">
        <f t="shared" si="105"/>
        <v>4.4549999999999999E-2</v>
      </c>
      <c r="AN108" s="360">
        <f t="shared" si="106"/>
        <v>1.9453559182121527</v>
      </c>
      <c r="AO108" s="360">
        <f t="shared" si="107"/>
        <v>1.5749999999999998E-3</v>
      </c>
      <c r="AP108" s="360">
        <f t="shared" si="108"/>
        <v>0.23760000000000001</v>
      </c>
      <c r="AQ108" s="360">
        <f t="shared" si="109"/>
        <v>0.22704000000000002</v>
      </c>
      <c r="AR108" s="360">
        <f t="shared" si="110"/>
        <v>0.2112</v>
      </c>
      <c r="AS108" s="360">
        <f t="shared" si="133"/>
        <v>0.239175</v>
      </c>
      <c r="AT108" s="360">
        <f t="shared" si="143"/>
        <v>7.5458526926366511</v>
      </c>
      <c r="AU108">
        <f t="shared" si="112"/>
        <v>712.8</v>
      </c>
      <c r="AV108" s="542">
        <f t="shared" si="127"/>
        <v>0.98952468086762702</v>
      </c>
      <c r="AW108" s="551">
        <f t="shared" si="113"/>
        <v>88.979827757232371</v>
      </c>
      <c r="AX108" s="551">
        <f t="shared" si="114"/>
        <v>32.162324032165834</v>
      </c>
      <c r="AY108" s="9"/>
      <c r="AZ108" s="4">
        <f t="shared" si="128"/>
        <v>98.952468086762707</v>
      </c>
      <c r="BA108" s="360">
        <f t="shared" si="115"/>
        <v>1.7070096923310176</v>
      </c>
      <c r="BB108" s="360">
        <f t="shared" si="129"/>
        <v>3.1883968628789003</v>
      </c>
      <c r="BC108" s="360">
        <f t="shared" si="130"/>
        <v>2.3415744146640098</v>
      </c>
      <c r="BD108" s="360">
        <f t="shared" si="131"/>
        <v>0.8463769482148904</v>
      </c>
      <c r="BE108" s="360">
        <f t="shared" si="132"/>
        <v>1.9453559182121527</v>
      </c>
      <c r="BK108" s="18"/>
      <c r="BL108" s="19"/>
    </row>
    <row r="109" spans="7:64" x14ac:dyDescent="0.25">
      <c r="G109">
        <v>100</v>
      </c>
      <c r="H109" s="548">
        <f t="shared" si="85"/>
        <v>45</v>
      </c>
      <c r="I109" s="4">
        <f t="shared" si="86"/>
        <v>2</v>
      </c>
      <c r="J109" s="360">
        <f t="shared" si="116"/>
        <v>60</v>
      </c>
      <c r="K109" s="360">
        <f t="shared" si="87"/>
        <v>30</v>
      </c>
      <c r="L109" s="4">
        <f t="shared" si="134"/>
        <v>17.777777777777779</v>
      </c>
      <c r="M109" s="360">
        <f t="shared" si="89"/>
        <v>0.53614698442284647</v>
      </c>
      <c r="N109" s="4">
        <f t="shared" si="135"/>
        <v>5.0943711647159926</v>
      </c>
      <c r="O109" s="4">
        <f t="shared" si="117"/>
        <v>32.547185582357997</v>
      </c>
      <c r="P109" s="4">
        <f t="shared" si="118"/>
        <v>27.452814417642003</v>
      </c>
      <c r="Q109" s="4">
        <f t="shared" si="136"/>
        <v>0</v>
      </c>
      <c r="R109" s="4">
        <f t="shared" si="119"/>
        <v>30.036023673754222</v>
      </c>
      <c r="S109" s="360">
        <f t="shared" si="137"/>
        <v>1.2630278053824537</v>
      </c>
      <c r="T109" s="360">
        <f t="shared" si="93"/>
        <v>0.3</v>
      </c>
      <c r="U109" s="360">
        <f t="shared" si="138"/>
        <v>1.7387110361133762</v>
      </c>
      <c r="V109" s="4">
        <f t="shared" si="120"/>
        <v>1.4706182816503228</v>
      </c>
      <c r="W109" s="360">
        <f t="shared" si="121"/>
        <v>4.3254362606482966E-3</v>
      </c>
      <c r="X109" s="360">
        <f t="shared" si="122"/>
        <v>4.3254362606482966E-3</v>
      </c>
      <c r="Y109" s="4">
        <f t="shared" si="123"/>
        <v>14.978715221299783</v>
      </c>
      <c r="Z109" s="360">
        <f t="shared" si="124"/>
        <v>0.33654286452119675</v>
      </c>
      <c r="AA109" s="541">
        <f t="shared" si="125"/>
        <v>0.33654286452119675</v>
      </c>
      <c r="AB109" s="360">
        <f t="shared" si="126"/>
        <v>21.992994811627899</v>
      </c>
      <c r="AC109" s="360">
        <f t="shared" si="139"/>
        <v>0.87064527741172504</v>
      </c>
      <c r="AD109" s="360">
        <f t="shared" si="96"/>
        <v>0.77066379310344824</v>
      </c>
      <c r="AE109" s="360">
        <f t="shared" si="97"/>
        <v>0.39600000000000002</v>
      </c>
      <c r="AF109" s="360">
        <f t="shared" si="98"/>
        <v>0</v>
      </c>
      <c r="AG109" s="360">
        <f t="shared" si="140"/>
        <v>2.3480448186574852</v>
      </c>
      <c r="AH109" s="360">
        <f t="shared" si="100"/>
        <v>20.456561229738305</v>
      </c>
      <c r="AI109" s="360">
        <f t="shared" si="141"/>
        <v>0.75324761522285821</v>
      </c>
      <c r="AJ109" s="360">
        <f t="shared" si="102"/>
        <v>0</v>
      </c>
      <c r="AK109" s="360">
        <f t="shared" si="142"/>
        <v>0.85064054549315604</v>
      </c>
      <c r="AL109" s="360">
        <f t="shared" si="104"/>
        <v>0.13305599999999998</v>
      </c>
      <c r="AM109" s="360">
        <f t="shared" si="105"/>
        <v>4.4549999999999999E-2</v>
      </c>
      <c r="AN109" s="360">
        <f t="shared" si="106"/>
        <v>1.984757979886713</v>
      </c>
      <c r="AO109" s="360">
        <f t="shared" si="107"/>
        <v>1.5749999999999998E-3</v>
      </c>
      <c r="AP109" s="360">
        <f t="shared" si="108"/>
        <v>0.23760000000000001</v>
      </c>
      <c r="AQ109" s="360">
        <f t="shared" si="109"/>
        <v>0.22704000000000002</v>
      </c>
      <c r="AR109" s="360">
        <f t="shared" si="110"/>
        <v>0.2112</v>
      </c>
      <c r="AS109" s="360">
        <f t="shared" si="133"/>
        <v>0.239175</v>
      </c>
      <c r="AT109" s="360">
        <f t="shared" si="143"/>
        <v>7.6798036809325758</v>
      </c>
      <c r="AU109">
        <f t="shared" si="112"/>
        <v>720</v>
      </c>
      <c r="AV109" s="542">
        <f t="shared" si="127"/>
        <v>0.98944617723058326</v>
      </c>
      <c r="AW109" s="551">
        <f t="shared" si="113"/>
        <v>90.343017108984426</v>
      </c>
      <c r="AX109" s="551">
        <f t="shared" si="114"/>
        <v>32.88299772873993</v>
      </c>
      <c r="AY109" s="9"/>
      <c r="AZ109" s="4">
        <f t="shared" si="128"/>
        <v>98.944617723058329</v>
      </c>
      <c r="BA109" s="360">
        <f t="shared" si="115"/>
        <v>1.7387110361133762</v>
      </c>
      <c r="BB109" s="360">
        <f t="shared" si="129"/>
        <v>3.2432353641506415</v>
      </c>
      <c r="BC109" s="360">
        <f t="shared" si="130"/>
        <v>2.377447818657485</v>
      </c>
      <c r="BD109" s="360">
        <f t="shared" si="131"/>
        <v>0.86534204549315608</v>
      </c>
      <c r="BE109" s="360">
        <f t="shared" si="132"/>
        <v>1.984757979886713</v>
      </c>
      <c r="BK109" s="18"/>
      <c r="BL109" s="19"/>
    </row>
    <row r="110" spans="7:64" x14ac:dyDescent="0.25">
      <c r="H110" s="548"/>
      <c r="I110" s="4"/>
      <c r="J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5">
      <c r="H111" s="548"/>
      <c r="I111" s="4"/>
      <c r="J111" s="4"/>
      <c r="L111" s="4"/>
      <c r="R111" s="360"/>
      <c r="S111" s="360"/>
      <c r="T111" s="360"/>
      <c r="U111" s="360"/>
      <c r="W111" s="360"/>
      <c r="X111" s="360"/>
      <c r="Y111" s="360"/>
      <c r="Z111" s="360"/>
      <c r="AA111" s="541"/>
      <c r="AB111" s="360"/>
      <c r="AC111" s="360"/>
      <c r="AD111" s="360"/>
      <c r="AE111" s="360"/>
      <c r="AG111" s="360"/>
      <c r="AH111" s="360"/>
      <c r="AI111" s="360"/>
      <c r="AJ111" s="360"/>
      <c r="AK111" s="360"/>
      <c r="AL111" s="360"/>
      <c r="AM111" s="360"/>
      <c r="AN111" s="360"/>
      <c r="AO111" s="360"/>
      <c r="AP111" s="360"/>
      <c r="AQ111" s="360"/>
      <c r="AR111" s="360"/>
      <c r="AS111" s="360"/>
      <c r="AT111" s="360"/>
      <c r="AV111" s="542"/>
      <c r="AW111" s="551"/>
      <c r="AX111" s="551"/>
      <c r="AY111" s="9"/>
      <c r="AZ111" s="48"/>
      <c r="BA111" s="360"/>
      <c r="BB111" s="360"/>
      <c r="BC111" s="360"/>
      <c r="BD111" s="360"/>
      <c r="BE111" s="360"/>
    </row>
    <row r="112" spans="7:64" x14ac:dyDescent="0.25">
      <c r="H112" s="548"/>
      <c r="I112" s="4"/>
      <c r="J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5">
      <c r="H113" s="548"/>
      <c r="I113" s="4"/>
      <c r="J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5">
      <c r="H114" s="548"/>
      <c r="I114" s="4"/>
      <c r="J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5">
      <c r="H115" s="548"/>
      <c r="I115" s="4"/>
      <c r="J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5">
      <c r="H116" s="548"/>
      <c r="I116" s="4"/>
      <c r="J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5">
      <c r="H117" s="548"/>
      <c r="I117" s="4"/>
      <c r="J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5">
      <c r="H118" s="548"/>
      <c r="I118" s="4"/>
      <c r="J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5">
      <c r="H119" s="548"/>
      <c r="I119" s="4"/>
      <c r="J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5">
      <c r="H120" s="548"/>
      <c r="I120" s="4"/>
      <c r="J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5">
      <c r="H121" s="548"/>
      <c r="I121" s="4"/>
      <c r="J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5">
      <c r="H122" s="548"/>
      <c r="I122" s="4"/>
      <c r="J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5">
      <c r="H123" s="548"/>
      <c r="I123" s="4"/>
      <c r="J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5">
      <c r="H124" s="548"/>
      <c r="I124" s="4"/>
      <c r="J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5">
      <c r="H125" s="548"/>
      <c r="I125" s="4"/>
      <c r="J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5">
      <c r="H126" s="548"/>
      <c r="I126" s="4"/>
      <c r="J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5">
      <c r="H127" s="548"/>
      <c r="I127" s="4"/>
      <c r="J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5">
      <c r="H128" s="548"/>
      <c r="I128" s="4"/>
      <c r="J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5">
      <c r="H129" s="548"/>
      <c r="I129" s="4"/>
      <c r="J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5">
      <c r="H130" s="548"/>
      <c r="I130" s="4"/>
      <c r="J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5">
      <c r="H131" s="548"/>
      <c r="I131" s="4"/>
      <c r="J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5">
      <c r="H132" s="548"/>
      <c r="I132" s="4"/>
      <c r="J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5">
      <c r="H133" s="548"/>
      <c r="I133" s="4"/>
      <c r="J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5">
      <c r="H134" s="548"/>
      <c r="I134" s="4"/>
      <c r="J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5">
      <c r="H135" s="548"/>
      <c r="I135" s="4"/>
      <c r="J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5">
      <c r="H136" s="548"/>
      <c r="I136" s="4"/>
      <c r="J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5">
      <c r="H137" s="548"/>
      <c r="I137" s="4"/>
      <c r="J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5">
      <c r="H138" s="548"/>
      <c r="I138" s="4"/>
      <c r="J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5">
      <c r="H139" s="548"/>
      <c r="I139" s="4"/>
      <c r="J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5">
      <c r="H140" s="548"/>
      <c r="I140" s="4"/>
      <c r="J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5">
      <c r="H141" s="548"/>
      <c r="I141" s="4"/>
      <c r="J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5">
      <c r="H142" s="548"/>
      <c r="I142" s="4"/>
      <c r="J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5">
      <c r="H143" s="548"/>
      <c r="I143" s="4"/>
      <c r="J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5">
      <c r="H144" s="548"/>
      <c r="I144" s="4"/>
      <c r="J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5">
      <c r="H145" s="548"/>
      <c r="I145" s="4"/>
      <c r="J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5">
      <c r="H146" s="548"/>
      <c r="I146" s="4"/>
      <c r="J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5">
      <c r="H147" s="548"/>
      <c r="I147" s="4"/>
      <c r="J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5">
      <c r="H148" s="548"/>
      <c r="I148" s="4"/>
      <c r="J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5">
      <c r="H149" s="548"/>
      <c r="I149" s="4"/>
      <c r="J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5">
      <c r="H150" s="548"/>
      <c r="I150" s="4"/>
      <c r="J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5">
      <c r="H151" s="548"/>
      <c r="I151" s="4"/>
      <c r="J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5">
      <c r="H152" s="548"/>
      <c r="I152" s="4"/>
      <c r="J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5">
      <c r="H153" s="548"/>
      <c r="I153" s="4"/>
      <c r="J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5">
      <c r="H154" s="548"/>
      <c r="I154" s="4"/>
      <c r="J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5">
      <c r="H155" s="548"/>
      <c r="I155" s="4"/>
      <c r="J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5">
      <c r="H156" s="548"/>
      <c r="I156" s="4"/>
      <c r="J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5">
      <c r="H157" s="548"/>
      <c r="I157" s="4"/>
      <c r="J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5">
      <c r="H158" s="548"/>
      <c r="I158" s="4"/>
      <c r="J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5">
      <c r="H159" s="548"/>
      <c r="I159" s="4"/>
      <c r="J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5">
      <c r="H160" s="548"/>
      <c r="I160" s="4"/>
      <c r="J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5">
      <c r="H161" s="548"/>
      <c r="I161" s="4"/>
      <c r="J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5">
      <c r="H162" s="548"/>
      <c r="I162" s="4"/>
      <c r="J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5">
      <c r="H163" s="548"/>
      <c r="I163" s="4"/>
      <c r="J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5">
      <c r="H164" s="548"/>
      <c r="I164" s="4"/>
      <c r="J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5">
      <c r="H165" s="548"/>
      <c r="I165" s="4"/>
      <c r="J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5">
      <c r="H166" s="548"/>
      <c r="I166" s="4"/>
      <c r="J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5">
      <c r="H167" s="548"/>
      <c r="I167" s="4"/>
      <c r="J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5">
      <c r="H168" s="548"/>
      <c r="I168" s="4"/>
      <c r="J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5">
      <c r="H169" s="548"/>
      <c r="I169" s="4"/>
      <c r="J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5">
      <c r="H170" s="548"/>
      <c r="I170" s="4"/>
      <c r="J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5">
      <c r="H171" s="548"/>
      <c r="I171" s="4"/>
      <c r="J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5">
      <c r="H172" s="548"/>
      <c r="I172" s="4"/>
      <c r="J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5">
      <c r="H173" s="548"/>
      <c r="I173" s="4"/>
      <c r="J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5">
      <c r="H174" s="548"/>
      <c r="I174" s="4"/>
      <c r="J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5">
      <c r="H175" s="548"/>
      <c r="I175" s="4"/>
      <c r="J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5">
      <c r="H176" s="548"/>
      <c r="I176" s="4"/>
      <c r="J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5">
      <c r="H177" s="548"/>
      <c r="I177" s="4"/>
      <c r="J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5">
      <c r="H178" s="548"/>
      <c r="I178" s="4"/>
      <c r="J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5">
      <c r="H179" s="548"/>
      <c r="I179" s="4"/>
      <c r="J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5">
      <c r="H180" s="548"/>
      <c r="I180" s="4"/>
      <c r="J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5">
      <c r="H181" s="548"/>
      <c r="I181" s="4"/>
      <c r="J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5">
      <c r="H182" s="548"/>
      <c r="I182" s="4"/>
      <c r="J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5">
      <c r="H183" s="548"/>
      <c r="I183" s="4"/>
      <c r="J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5">
      <c r="H184" s="548"/>
      <c r="I184" s="4"/>
      <c r="J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5">
      <c r="H185" s="548"/>
      <c r="I185" s="4"/>
      <c r="J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5">
      <c r="H186" s="548"/>
      <c r="I186" s="4"/>
      <c r="J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5">
      <c r="H187" s="548"/>
      <c r="I187" s="4"/>
      <c r="J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5">
      <c r="H188" s="548"/>
      <c r="I188" s="4"/>
      <c r="J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5">
      <c r="H189" s="548"/>
      <c r="I189" s="4"/>
      <c r="J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5">
      <c r="H190" s="548"/>
      <c r="I190" s="4"/>
      <c r="J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5">
      <c r="H191" s="548"/>
      <c r="I191" s="4"/>
      <c r="J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5">
      <c r="H192" s="548"/>
      <c r="I192" s="4"/>
      <c r="J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5">
      <c r="H193" s="548"/>
      <c r="I193" s="4"/>
      <c r="J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5">
      <c r="H194" s="548"/>
      <c r="I194" s="4"/>
      <c r="J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5">
      <c r="H195" s="548"/>
      <c r="I195" s="4"/>
      <c r="J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5">
      <c r="H196" s="548"/>
      <c r="I196" s="4"/>
      <c r="J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5">
      <c r="H197" s="548"/>
      <c r="I197" s="4"/>
      <c r="J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5">
      <c r="H198" s="548"/>
      <c r="I198" s="4"/>
      <c r="J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5">
      <c r="H199" s="548"/>
      <c r="I199" s="4"/>
      <c r="J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5">
      <c r="H200" s="548"/>
      <c r="I200" s="4"/>
      <c r="J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5">
      <c r="H201" s="548"/>
      <c r="I201" s="4"/>
      <c r="J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5">
      <c r="H202" s="548"/>
      <c r="I202" s="4"/>
      <c r="J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5">
      <c r="H203" s="548"/>
      <c r="I203" s="4"/>
      <c r="J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5">
      <c r="H204" s="548"/>
      <c r="I204" s="4"/>
      <c r="J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5">
      <c r="H205" s="548"/>
      <c r="I205" s="4"/>
      <c r="J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5">
      <c r="H206" s="548"/>
      <c r="I206" s="4"/>
      <c r="J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5">
      <c r="H207" s="548"/>
      <c r="I207" s="4"/>
      <c r="J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5">
      <c r="H208" s="548"/>
      <c r="I208" s="4"/>
      <c r="J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5">
      <c r="H209" s="548"/>
      <c r="I209" s="4"/>
      <c r="J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Y7:AA7"/>
    <mergeCell ref="A1:D4"/>
    <mergeCell ref="A6:D7"/>
    <mergeCell ref="G7:N7"/>
    <mergeCell ref="R7:U7"/>
    <mergeCell ref="V7:X7"/>
    <mergeCell ref="AZ7:BE7"/>
    <mergeCell ref="AB7:AG7"/>
    <mergeCell ref="AH7:AK7"/>
    <mergeCell ref="AO7:AS7"/>
    <mergeCell ref="AT7:AX7"/>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92D050"/>
  </sheetPr>
  <dimension ref="A1:BM209"/>
  <sheetViews>
    <sheetView topLeftCell="AA1" zoomScaleNormal="100" workbookViewId="0">
      <pane ySplit="8" topLeftCell="A95" activePane="bottomLeft" state="frozen"/>
      <selection activeCell="F1" sqref="F1"/>
      <selection pane="bottomLeft" activeCell="AN110" sqref="AN110"/>
    </sheetView>
  </sheetViews>
  <sheetFormatPr defaultRowHeight="12.5" x14ac:dyDescent="0.25"/>
  <cols>
    <col min="1" max="1" width="19.90625" customWidth="1"/>
    <col min="2" max="2" width="13.08984375" bestFit="1" customWidth="1"/>
    <col min="4" max="4" width="74.54296875" customWidth="1"/>
    <col min="6" max="6" width="9.08984375" customWidth="1"/>
    <col min="7" max="7" width="6.90625" customWidth="1"/>
    <col min="8" max="8" width="9.08984375" style="547"/>
    <col min="9" max="9" width="9.90625" customWidth="1"/>
    <col min="10" max="10" width="8.08984375" customWidth="1"/>
    <col min="11" max="12" width="7.453125" customWidth="1"/>
    <col min="13" max="13" width="10.6328125" style="360" customWidth="1"/>
    <col min="14" max="16" width="8.90625" style="4" customWidth="1"/>
    <col min="17" max="17" width="11" style="4" customWidth="1"/>
    <col min="18" max="18" width="8" style="4" customWidth="1"/>
    <col min="19" max="19" width="9.453125" style="311" customWidth="1"/>
    <col min="20" max="20" width="8" customWidth="1"/>
    <col min="21" max="21" width="9.36328125" customWidth="1"/>
    <col min="22" max="22" width="8.90625" style="4" customWidth="1"/>
    <col min="23" max="23" width="9.90625" customWidth="1"/>
    <col min="24" max="24" width="10.6328125" customWidth="1"/>
    <col min="25" max="25" width="9.6328125" style="311" customWidth="1"/>
    <col min="26" max="26" width="10.54296875" customWidth="1"/>
    <col min="28" max="29" width="8.54296875" customWidth="1"/>
    <col min="30" max="30" width="10" customWidth="1"/>
    <col min="31" max="31" width="12.36328125" customWidth="1"/>
    <col min="32" max="32" width="8" customWidth="1"/>
    <col min="33" max="33" width="9.90625" customWidth="1"/>
    <col min="34" max="35" width="8.90625" customWidth="1"/>
    <col min="36" max="36" width="10.54296875" customWidth="1"/>
    <col min="37" max="37" width="10.36328125" customWidth="1"/>
    <col min="38" max="38" width="13.6328125" customWidth="1"/>
    <col min="39" max="39" width="12" style="311" customWidth="1"/>
    <col min="40" max="40" width="11.54296875" customWidth="1"/>
    <col min="41" max="41" width="9.36328125" customWidth="1"/>
    <col min="42" max="44" width="10.453125" customWidth="1"/>
    <col min="46" max="46" width="8.453125" style="4" customWidth="1"/>
    <col min="47" max="47" width="7.36328125" customWidth="1"/>
    <col min="48" max="48" width="10.08984375" style="9" customWidth="1"/>
    <col min="49" max="49" width="12.453125" style="379" customWidth="1"/>
    <col min="50" max="50" width="11.453125" style="379" customWidth="1"/>
    <col min="51" max="51" width="3.36328125" customWidth="1"/>
    <col min="52" max="52" width="7.90625" style="360" customWidth="1"/>
    <col min="53" max="53" width="9.08984375" style="311"/>
    <col min="54" max="54" width="10.36328125" style="311" customWidth="1"/>
    <col min="55" max="55" width="12.08984375" style="311" customWidth="1"/>
    <col min="56" max="56" width="8.90625" style="311" customWidth="1"/>
    <col min="57" max="57" width="7.90625" customWidth="1"/>
    <col min="61" max="61" width="28.453125" customWidth="1"/>
    <col min="64" max="64" width="12.453125" bestFit="1" customWidth="1"/>
  </cols>
  <sheetData>
    <row r="1" spans="1:65" ht="12.75" customHeight="1" x14ac:dyDescent="0.25">
      <c r="A1" s="763" t="s">
        <v>753</v>
      </c>
      <c r="B1" s="763"/>
      <c r="C1" s="763"/>
      <c r="D1" s="763"/>
    </row>
    <row r="2" spans="1:65" ht="12.75" customHeight="1" x14ac:dyDescent="0.25">
      <c r="A2" s="763"/>
      <c r="B2" s="763"/>
      <c r="C2" s="763"/>
      <c r="D2" s="763"/>
      <c r="H2" s="552">
        <f>AV19</f>
        <v>0.86958455095890896</v>
      </c>
      <c r="I2" s="114" t="s">
        <v>602</v>
      </c>
      <c r="AK2" s="114"/>
    </row>
    <row r="3" spans="1:65" ht="12.75" customHeight="1" x14ac:dyDescent="0.25">
      <c r="A3" s="763"/>
      <c r="B3" s="763"/>
      <c r="C3" s="763"/>
      <c r="D3" s="763"/>
      <c r="H3" s="552">
        <f>AV59</f>
        <v>0.94947330843022815</v>
      </c>
      <c r="I3" s="114" t="s">
        <v>604</v>
      </c>
      <c r="AK3" s="114"/>
    </row>
    <row r="4" spans="1:65" ht="12.75" customHeight="1" x14ac:dyDescent="0.25">
      <c r="A4" s="763"/>
      <c r="B4" s="763"/>
      <c r="C4" s="763"/>
      <c r="D4" s="763"/>
      <c r="H4" s="552">
        <f>AV109</f>
        <v>0.94571222191471094</v>
      </c>
      <c r="I4" s="114" t="s">
        <v>603</v>
      </c>
      <c r="AK4" s="114"/>
      <c r="AM4" s="311">
        <f>QrrSky_Q4</f>
        <v>0</v>
      </c>
    </row>
    <row r="5" spans="1:65" ht="13" x14ac:dyDescent="0.3">
      <c r="A5" s="10"/>
      <c r="B5" s="11"/>
      <c r="C5" s="6"/>
      <c r="D5" s="6"/>
    </row>
    <row r="6" spans="1:65" ht="13.5" customHeight="1" thickBot="1" x14ac:dyDescent="0.3">
      <c r="A6" s="764" t="s">
        <v>474</v>
      </c>
      <c r="B6" s="764"/>
      <c r="C6" s="764"/>
      <c r="D6" s="764"/>
    </row>
    <row r="7" spans="1:65" ht="13.5" thickBot="1" x14ac:dyDescent="0.35">
      <c r="A7" s="764"/>
      <c r="B7" s="764"/>
      <c r="C7" s="764"/>
      <c r="D7" s="764"/>
      <c r="G7" s="756" t="s">
        <v>595</v>
      </c>
      <c r="H7" s="757"/>
      <c r="I7" s="757"/>
      <c r="J7" s="757"/>
      <c r="K7" s="757"/>
      <c r="L7" s="768"/>
      <c r="M7" s="757"/>
      <c r="N7" s="758"/>
      <c r="O7" s="661"/>
      <c r="P7" s="661"/>
      <c r="Q7" s="661"/>
      <c r="R7" s="756" t="s">
        <v>485</v>
      </c>
      <c r="S7" s="757"/>
      <c r="T7" s="757"/>
      <c r="U7" s="758"/>
      <c r="V7" s="765" t="s">
        <v>25</v>
      </c>
      <c r="W7" s="766"/>
      <c r="X7" s="767"/>
      <c r="Y7" s="756" t="s">
        <v>57</v>
      </c>
      <c r="Z7" s="757"/>
      <c r="AA7" s="758"/>
      <c r="AB7" s="756" t="s">
        <v>592</v>
      </c>
      <c r="AC7" s="757"/>
      <c r="AD7" s="757"/>
      <c r="AE7" s="768"/>
      <c r="AF7" s="757"/>
      <c r="AG7" s="758"/>
      <c r="AH7" s="756" t="s">
        <v>593</v>
      </c>
      <c r="AI7" s="757"/>
      <c r="AJ7" s="757"/>
      <c r="AK7" s="758"/>
      <c r="AL7" s="466" t="s">
        <v>201</v>
      </c>
      <c r="AM7" s="468" t="s">
        <v>458</v>
      </c>
      <c r="AN7" s="467" t="s">
        <v>503</v>
      </c>
      <c r="AO7" s="759" t="s">
        <v>492</v>
      </c>
      <c r="AP7" s="760"/>
      <c r="AQ7" s="760"/>
      <c r="AR7" s="761"/>
      <c r="AS7" s="762"/>
      <c r="AT7" s="756" t="s">
        <v>500</v>
      </c>
      <c r="AU7" s="757"/>
      <c r="AV7" s="757"/>
      <c r="AW7" s="757"/>
      <c r="AX7" s="757"/>
      <c r="AY7" s="543"/>
      <c r="AZ7" s="755" t="s">
        <v>501</v>
      </c>
      <c r="BA7" s="755"/>
      <c r="BB7" s="755"/>
      <c r="BC7" s="755"/>
      <c r="BD7" s="755"/>
      <c r="BE7" s="755"/>
    </row>
    <row r="8" spans="1:65" ht="78.5" thickBot="1" x14ac:dyDescent="0.65">
      <c r="A8" s="606" t="s">
        <v>108</v>
      </c>
      <c r="B8" s="13"/>
      <c r="C8" s="13"/>
      <c r="D8" s="6"/>
      <c r="G8" s="451" t="s">
        <v>53</v>
      </c>
      <c r="H8" s="546" t="s">
        <v>3</v>
      </c>
      <c r="I8" s="538" t="s">
        <v>594</v>
      </c>
      <c r="J8" s="452" t="s">
        <v>5</v>
      </c>
      <c r="K8" s="452" t="s">
        <v>305</v>
      </c>
      <c r="L8" s="452"/>
      <c r="M8" s="463" t="s">
        <v>596</v>
      </c>
      <c r="N8" s="540" t="s">
        <v>486</v>
      </c>
      <c r="O8" s="662" t="s">
        <v>830</v>
      </c>
      <c r="P8" s="463" t="s">
        <v>843</v>
      </c>
      <c r="Q8" s="662" t="s">
        <v>844</v>
      </c>
      <c r="R8" s="539" t="s">
        <v>591</v>
      </c>
      <c r="S8" s="465" t="s">
        <v>87</v>
      </c>
      <c r="T8" s="452" t="s">
        <v>590</v>
      </c>
      <c r="U8" s="453" t="s">
        <v>521</v>
      </c>
      <c r="V8" s="539" t="s">
        <v>488</v>
      </c>
      <c r="W8" s="454" t="s">
        <v>487</v>
      </c>
      <c r="X8" s="453" t="s">
        <v>520</v>
      </c>
      <c r="Y8" s="464" t="s">
        <v>489</v>
      </c>
      <c r="Z8" s="452" t="s">
        <v>490</v>
      </c>
      <c r="AA8" s="453" t="s">
        <v>518</v>
      </c>
      <c r="AB8" s="451" t="s">
        <v>84</v>
      </c>
      <c r="AC8" s="452" t="s">
        <v>491</v>
      </c>
      <c r="AD8" s="452" t="s">
        <v>587</v>
      </c>
      <c r="AE8" s="653" t="s">
        <v>829</v>
      </c>
      <c r="AF8" s="455" t="s">
        <v>202</v>
      </c>
      <c r="AG8" s="453" t="s">
        <v>588</v>
      </c>
      <c r="AH8" s="451" t="s">
        <v>84</v>
      </c>
      <c r="AI8" s="452" t="s">
        <v>491</v>
      </c>
      <c r="AJ8" s="452" t="s">
        <v>494</v>
      </c>
      <c r="AK8" s="456" t="s">
        <v>589</v>
      </c>
      <c r="AL8" s="453" t="s">
        <v>494</v>
      </c>
      <c r="AM8" s="469" t="s">
        <v>93</v>
      </c>
      <c r="AN8" s="470" t="s">
        <v>502</v>
      </c>
      <c r="AO8" s="457" t="s">
        <v>495</v>
      </c>
      <c r="AP8" s="458" t="s">
        <v>135</v>
      </c>
      <c r="AQ8" s="459" t="s">
        <v>204</v>
      </c>
      <c r="AR8" s="458" t="s">
        <v>816</v>
      </c>
      <c r="AS8" s="460" t="s">
        <v>493</v>
      </c>
      <c r="AT8" s="461" t="s">
        <v>54</v>
      </c>
      <c r="AU8" s="452" t="s">
        <v>295</v>
      </c>
      <c r="AV8" s="462" t="s">
        <v>497</v>
      </c>
      <c r="AW8" s="550" t="str">
        <f>IF(Vin&gt;Vout, "Buck ''CONTROL'' MOSFET Temp Rise", "Boost ''CONTROL'' MOSFET Temp Rise")</f>
        <v>Buck ''CONTROL'' MOSFET Temp Rise</v>
      </c>
      <c r="AX8" s="550" t="str">
        <f>IF(Vin&gt;Vout, "Buck ''SYNC'' MOSFET Temp Rise", "Boost ''SYNC'' MOSFET Temp Rise")</f>
        <v>Buck ''SYNC'' MOSFET Temp Rise</v>
      </c>
      <c r="AZ8" s="544" t="s">
        <v>496</v>
      </c>
      <c r="BA8" s="545" t="s">
        <v>519</v>
      </c>
      <c r="BB8" s="545" t="s">
        <v>597</v>
      </c>
      <c r="BC8" s="545" t="s">
        <v>751</v>
      </c>
      <c r="BD8" s="545" t="s">
        <v>752</v>
      </c>
      <c r="BE8" s="545" t="s">
        <v>571</v>
      </c>
      <c r="BF8" s="545"/>
    </row>
    <row r="9" spans="1:65" ht="13" x14ac:dyDescent="0.3">
      <c r="A9" s="14" t="s">
        <v>55</v>
      </c>
      <c r="B9" s="15" t="s">
        <v>111</v>
      </c>
      <c r="C9" s="16" t="s">
        <v>76</v>
      </c>
      <c r="D9" s="17" t="s">
        <v>107</v>
      </c>
      <c r="G9">
        <v>0</v>
      </c>
      <c r="H9" s="548">
        <f t="shared" ref="H9:H72" si="0">Vin</f>
        <v>45</v>
      </c>
      <c r="I9" s="4">
        <f t="shared" ref="I9:I40" si="1">MODE</f>
        <v>2</v>
      </c>
      <c r="J9">
        <v>0</v>
      </c>
      <c r="K9" s="4">
        <f t="shared" ref="K9:K40" si="2">Vout2*J9/(Vin*Efficiency)</f>
        <v>0</v>
      </c>
      <c r="L9" s="4"/>
      <c r="M9" s="360">
        <f t="shared" ref="M9:M40" si="3">(Vout2+(Rdson4+Rs+Rdcr)*J9)/(Vin+(Rs+Rdson2-Rdson1)*J9)</f>
        <v>0.1111111111111111</v>
      </c>
      <c r="N9" s="4">
        <f t="shared" ref="N9:N40" si="4">(Vin-(Rdson3+Rdcr2)*J9-Vout2)*M9/(Fsw*Lo_2)</f>
        <v>9.1827364554637274</v>
      </c>
      <c r="O9" s="4">
        <f>J9+N9/2</f>
        <v>4.5913682277318637</v>
      </c>
      <c r="P9" s="4">
        <f>J9-N9/2</f>
        <v>-4.5913682277318637</v>
      </c>
      <c r="Q9" s="4">
        <f t="shared" ref="Q9:Q40" si="5">IF(MIN(Vin, -P9/(Coss_Q3+Coss_Q4)*0.00000002)&lt;0, 0, MIN(Vin, -P9/(Coss_Q3+Coss_Q4)*0.00000002))</f>
        <v>45</v>
      </c>
      <c r="R9" s="4">
        <f t="shared" ref="R9:R40" si="6">SQRT(J9^2+(N9^2)/12)</f>
        <v>2.6508276822296866</v>
      </c>
      <c r="S9" s="360">
        <f t="shared" ref="S9:S40" si="7">R9^2*Rdcr2</f>
        <v>3.5134437004376066E-2</v>
      </c>
      <c r="T9" s="360">
        <f t="shared" ref="T9:T40" si="8">Core_Loss_Ch1</f>
        <v>0.3</v>
      </c>
      <c r="U9" s="360">
        <f t="shared" ref="U9:U40" si="9">(T9+S9*(1+Ltc*(Ta-25)))/(1-S9*Ltc*ThetaCa)</f>
        <v>0.33607907292567174</v>
      </c>
      <c r="V9" s="4">
        <f>N9/SQRT(12)</f>
        <v>2.6508276822296866</v>
      </c>
      <c r="W9" s="360">
        <f t="shared" ref="W9:W40" si="10">Cout2_ESR*V9^2</f>
        <v>1.4053774801750425E-2</v>
      </c>
      <c r="X9" s="360">
        <f>W9</f>
        <v>1.4053774801750425E-2</v>
      </c>
      <c r="Y9" s="4">
        <f t="shared" ref="Y9:Y40" si="11">SQRT(M9*(1-M9))*SQRT(J9^2+(N9^2)/12)</f>
        <v>0.83307476882739107</v>
      </c>
      <c r="Z9" s="360">
        <f t="shared" ref="Z9:Z73" si="12">RCinEsr*Y9^2</f>
        <v>1.0410203556852167E-3</v>
      </c>
      <c r="AA9" s="541">
        <f>Z9</f>
        <v>1.0410203556852167E-3</v>
      </c>
      <c r="AB9" s="360">
        <f t="shared" ref="AB9:AB40" si="13">SQRT(M9)*SQRT(J9^2+(N9^2)/12)</f>
        <v>0.88360922740989545</v>
      </c>
      <c r="AC9" s="360">
        <f t="shared" ref="AC9:AC40" si="14">Rdson3*AB9^2</f>
        <v>4.6845916005834737E-3</v>
      </c>
      <c r="AD9" s="360">
        <f t="shared" ref="AD9:AD40" si="15">(Vin*J9/2)*Fsw*(Tr_Ch2+Tf_Ch2)</f>
        <v>0</v>
      </c>
      <c r="AE9" s="360">
        <f t="shared" ref="AE9:AE40" si="16">(0.5*Coss_Q3*(Vin-Q9)^2-0.5*Coss_Q4*(Vin-Q9)^2+(Qoss_Q4*(Vin-Q9)/Vin)*Vin)*Fsw</f>
        <v>0</v>
      </c>
      <c r="AF9" s="360">
        <f t="shared" ref="AF9:AF40" si="17">IF(J9&gt;N9/2,0,ABS(J9-N9/2)*Vsd_Q3*Deadtime*Fsw)</f>
        <v>9.8989898989898968E-3</v>
      </c>
      <c r="AG9" s="360">
        <f t="shared" ref="AG9:AG40" si="18">(AF9+AE9+AD9+AC9*(1+RdsonTopTc*Ta-RdsonTopTc*25))/(1-AC9*RdsonTopTc*ThetaJA_Q2)</f>
        <v>1.4593973253861045E-2</v>
      </c>
      <c r="AH9" s="360">
        <f t="shared" ref="AH9:AH40" si="19">SQRT((1-M9))*SQRT(J9^2+(N9^2)/12)</f>
        <v>2.4992243064821733</v>
      </c>
      <c r="AI9" s="360">
        <f t="shared" ref="AI9:AI40" si="20">Rdson4*AH9^2</f>
        <v>1.5615305335278251E-2</v>
      </c>
      <c r="AJ9" s="360">
        <f t="shared" ref="AJ9:AJ40" si="21">IF(J9&lt;N9/2,Deadtime*Fsw*IF(VfdSky_Q4&gt;0,0,Vsd_Q4)*(J9+N9/2),2*Deadtime*Fsw*IF(VfdSky_Q4&gt;0,0,Vsd_Q4)*J9)</f>
        <v>9.8989898989898985E-3</v>
      </c>
      <c r="AK9" s="360">
        <f t="shared" ref="AK9:AK40" si="22">(AJ9+AI9*(1+RdsonBotTc*Ta-RdsonBotTc*25))/(1-AI9*RdsonBotTc*ThetaJA_Q3)</f>
        <v>2.5594227569933171E-2</v>
      </c>
      <c r="AL9" s="360">
        <f t="shared" ref="AL9:AL40" si="23">2*Deadtime*Fsw*IF(VfdSky_Q4&gt;0,VfdSky_Q4,Vsd_Q4)*J9</f>
        <v>0</v>
      </c>
      <c r="AM9" s="360">
        <f t="shared" ref="AM9:AM40" si="24">IF(QrrSky_Q4&gt;0,QrrSky_Q4,Qrr_Q4*J9/Iout2)*Fsw*Vin</f>
        <v>0</v>
      </c>
      <c r="AN9" s="360">
        <f t="shared" ref="AN9:AN40" si="25">CHOOSE(SENSING_TYPE, Rs_Ch2*R9^2, 0)</f>
        <v>2.8107549603500849E-2</v>
      </c>
      <c r="AO9" s="360">
        <f t="shared" ref="AO9:AO40" si="26">Iq*Vin</f>
        <v>1.5749999999999998E-3</v>
      </c>
      <c r="AP9" s="360">
        <f t="shared" ref="AP9:AP40" si="27">IF(Ext_VCC=1,  (Qg_Q3+Qg_Q4)*Fsw*VCC, (Qg_Q3+Qg_Q4)*Fsw*Vin)</f>
        <v>0.32669999999999993</v>
      </c>
      <c r="AQ9" s="360">
        <f t="shared" ref="AQ9:AQ40" si="28">(Vin-VCC)*Fsw*(Qg_Q3+Qg_Q4)+(RdsonDRT+RdsonDRT2)*Fsw*Qg_Q3*VCC/(RdsonDRT+2*Rgate3+RdsonDRT2)+(RdsonDRB+RdsonDRB2)*Fsw*Qg_Q4*VCC/(RdsonDRB+2*Rgate4+RdsonDRB2)</f>
        <v>0.31218000000000001</v>
      </c>
      <c r="AR9" s="360">
        <f t="shared" ref="AR9:AR40" si="29">(Qg_Q3+Qg_Q4)*Fsw*(Vin-VCC)</f>
        <v>0.29039999999999999</v>
      </c>
      <c r="AS9" s="360">
        <f>SUM(AO9:AP9)</f>
        <v>0.32827499999999993</v>
      </c>
      <c r="AT9" s="360">
        <f>SUM(U9,X9,AA9,AG9,AK9,AL9,AM9,AS9,AN9)</f>
        <v>0.7477446185104023</v>
      </c>
      <c r="AU9">
        <f t="shared" ref="AU9:AU40" si="30">Vout2*J9</f>
        <v>0</v>
      </c>
      <c r="AV9" s="542">
        <f>AU9/(AU9+AT9)</f>
        <v>0</v>
      </c>
      <c r="AW9" s="551">
        <f t="shared" ref="AW9:AW40" si="31">ThetaJA_Q1*BC9</f>
        <v>0.55457098364671975</v>
      </c>
      <c r="AX9" s="551">
        <f t="shared" ref="AX9:AX40" si="32">ThetaJA_Q2*BD9</f>
        <v>0.97258064765746044</v>
      </c>
      <c r="AZ9" s="4">
        <f>AV9*100</f>
        <v>0</v>
      </c>
      <c r="BA9" s="360">
        <f t="shared" ref="BA9:BA40" si="33">U9</f>
        <v>0.33607907292567174</v>
      </c>
      <c r="BB9" s="360">
        <f>AG9+AK9+AM9</f>
        <v>4.0188200823794214E-2</v>
      </c>
      <c r="BC9" s="360">
        <f>AG9+AM9*0.66</f>
        <v>1.4593973253861045E-2</v>
      </c>
      <c r="BD9" s="360">
        <f>AK9+AM9*0.33</f>
        <v>2.5594227569933171E-2</v>
      </c>
      <c r="BE9" s="360">
        <f>AN9</f>
        <v>2.8107549603500849E-2</v>
      </c>
      <c r="BJ9" s="18"/>
      <c r="BK9" s="18"/>
      <c r="BL9" s="18"/>
      <c r="BM9" s="19"/>
    </row>
    <row r="10" spans="1:65" ht="13" x14ac:dyDescent="0.3">
      <c r="A10" s="495"/>
      <c r="B10" s="24"/>
      <c r="C10" s="16"/>
      <c r="D10" s="17"/>
      <c r="G10">
        <v>1</v>
      </c>
      <c r="H10" s="548">
        <f t="shared" si="0"/>
        <v>45</v>
      </c>
      <c r="I10" s="4">
        <f t="shared" si="1"/>
        <v>2</v>
      </c>
      <c r="J10" s="360">
        <f t="shared" ref="J10:J41" si="34">Iout2*G10/100</f>
        <v>0.12</v>
      </c>
      <c r="K10" s="4">
        <f t="shared" si="2"/>
        <v>1.4814814814814814E-2</v>
      </c>
      <c r="L10" s="4"/>
      <c r="M10" s="360">
        <f t="shared" si="3"/>
        <v>0.11112672583431955</v>
      </c>
      <c r="N10" s="4">
        <f t="shared" si="4"/>
        <v>9.1837238555675214</v>
      </c>
      <c r="O10" s="4">
        <f t="shared" ref="O10:O73" si="35">J10+N10/2</f>
        <v>4.7118619277837608</v>
      </c>
      <c r="P10" s="4">
        <f t="shared" ref="P10:P73" si="36">J10-N10/2</f>
        <v>-4.4718619277837606</v>
      </c>
      <c r="Q10" s="4">
        <f t="shared" si="5"/>
        <v>45</v>
      </c>
      <c r="R10" s="4">
        <f t="shared" si="6"/>
        <v>2.6538271712019981</v>
      </c>
      <c r="S10" s="360">
        <f t="shared" si="7"/>
        <v>3.5213993273049998E-2</v>
      </c>
      <c r="T10" s="360">
        <f t="shared" si="8"/>
        <v>0.3</v>
      </c>
      <c r="U10" s="360">
        <f t="shared" si="9"/>
        <v>0.3361609989655488</v>
      </c>
      <c r="V10" s="4">
        <f t="shared" ref="V10:V73" si="37">N10/SQRT(12)</f>
        <v>2.6511127200875482</v>
      </c>
      <c r="W10" s="360">
        <f t="shared" si="10"/>
        <v>1.4056797309219996E-2</v>
      </c>
      <c r="X10" s="360">
        <f t="shared" ref="X10:X73" si="38">W10</f>
        <v>1.4056797309219996E-2</v>
      </c>
      <c r="Y10" s="4">
        <f t="shared" si="11"/>
        <v>0.83406869253285021</v>
      </c>
      <c r="Z10" s="360">
        <f t="shared" si="12"/>
        <v>1.0435058757951874E-3</v>
      </c>
      <c r="AA10" s="541">
        <f t="shared" ref="AA10:AA73" si="39">Z10</f>
        <v>1.0435058757951874E-3</v>
      </c>
      <c r="AB10" s="360">
        <f t="shared" si="13"/>
        <v>0.8846712130487574</v>
      </c>
      <c r="AC10" s="360">
        <f t="shared" si="14"/>
        <v>4.6958589311829595E-3</v>
      </c>
      <c r="AD10" s="360">
        <f t="shared" si="15"/>
        <v>2.1722943557989992E-3</v>
      </c>
      <c r="AE10" s="360">
        <f t="shared" si="16"/>
        <v>0</v>
      </c>
      <c r="AF10" s="360">
        <f t="shared" si="17"/>
        <v>9.6413343163017882E-3</v>
      </c>
      <c r="AG10" s="360">
        <f t="shared" si="18"/>
        <v>1.6521280006525276E-2</v>
      </c>
      <c r="AH10" s="360">
        <f t="shared" si="19"/>
        <v>2.5020302754788637</v>
      </c>
      <c r="AI10" s="360">
        <f t="shared" si="20"/>
        <v>1.5650388748532095E-2</v>
      </c>
      <c r="AJ10" s="360">
        <f t="shared" si="21"/>
        <v>1.0158774316301787E-2</v>
      </c>
      <c r="AK10" s="360">
        <f t="shared" si="22"/>
        <v>2.5890201408197099E-2</v>
      </c>
      <c r="AL10" s="360">
        <f t="shared" si="23"/>
        <v>5.1743999999999998E-4</v>
      </c>
      <c r="AM10" s="360">
        <f t="shared" si="24"/>
        <v>5.9399999999999991E-3</v>
      </c>
      <c r="AN10" s="360">
        <f t="shared" si="25"/>
        <v>2.8171194618439997E-2</v>
      </c>
      <c r="AO10" s="360">
        <f t="shared" si="26"/>
        <v>1.5749999999999998E-3</v>
      </c>
      <c r="AP10" s="360">
        <f t="shared" si="27"/>
        <v>0.32669999999999993</v>
      </c>
      <c r="AQ10" s="360">
        <f t="shared" si="28"/>
        <v>0.31218000000000001</v>
      </c>
      <c r="AR10" s="360">
        <f t="shared" si="29"/>
        <v>0.29039999999999999</v>
      </c>
      <c r="AS10" s="360">
        <f t="shared" ref="AS10" si="40">SUM(AO10:AP10)</f>
        <v>0.32827499999999993</v>
      </c>
      <c r="AT10" s="360">
        <f t="shared" ref="AT10:AT73" si="41">SUM(U10,X10,AA10,AG10,AK10,AL10,AM10,AS10,AN10)</f>
        <v>0.75657641818372623</v>
      </c>
      <c r="AU10">
        <f t="shared" si="30"/>
        <v>0.6</v>
      </c>
      <c r="AV10" s="542">
        <f t="shared" ref="AV10:AV73" si="42">AU10/(AU10+AT10)</f>
        <v>0.44228986436556184</v>
      </c>
      <c r="AW10" s="551">
        <f t="shared" si="31"/>
        <v>0.77678384024796054</v>
      </c>
      <c r="AX10" s="551">
        <f t="shared" si="32"/>
        <v>1.0583152535114897</v>
      </c>
      <c r="AY10" s="9"/>
      <c r="AZ10" s="4">
        <f t="shared" ref="AZ10:AZ73" si="43">AV10*100</f>
        <v>44.228986436556184</v>
      </c>
      <c r="BA10" s="360">
        <f t="shared" si="33"/>
        <v>0.3361609989655488</v>
      </c>
      <c r="BB10" s="360">
        <f t="shared" ref="BB10:BB73" si="44">AG10+AK10+AM10</f>
        <v>4.8351481414722376E-2</v>
      </c>
      <c r="BC10" s="360">
        <f t="shared" ref="BC10:BC73" si="45">AG10+AM10*0.66</f>
        <v>2.0441680006525277E-2</v>
      </c>
      <c r="BD10" s="360">
        <f t="shared" ref="BD10:BD73" si="46">AK10+AM10*0.33</f>
        <v>2.7850401408197098E-2</v>
      </c>
      <c r="BE10" s="360">
        <f t="shared" ref="BE10:BE73" si="47">AN10</f>
        <v>2.8171194618439997E-2</v>
      </c>
      <c r="BJ10" s="18"/>
      <c r="BK10" s="18"/>
      <c r="BL10" s="18"/>
      <c r="BM10" s="19"/>
    </row>
    <row r="11" spans="1:65" x14ac:dyDescent="0.25">
      <c r="A11" s="20" t="s">
        <v>3</v>
      </c>
      <c r="B11" s="5">
        <f>Vin</f>
        <v>45</v>
      </c>
      <c r="C11" s="440" t="s">
        <v>0</v>
      </c>
      <c r="D11" s="21" t="s">
        <v>3</v>
      </c>
      <c r="G11">
        <v>2</v>
      </c>
      <c r="H11" s="548">
        <f t="shared" si="0"/>
        <v>45</v>
      </c>
      <c r="I11" s="4">
        <f t="shared" si="1"/>
        <v>2</v>
      </c>
      <c r="J11" s="360">
        <f t="shared" si="34"/>
        <v>0.24</v>
      </c>
      <c r="K11" s="4">
        <f t="shared" si="2"/>
        <v>2.9629629629629627E-2</v>
      </c>
      <c r="L11" s="4"/>
      <c r="M11" s="360">
        <f t="shared" si="3"/>
        <v>0.11114234037431739</v>
      </c>
      <c r="N11" s="4">
        <f t="shared" si="4"/>
        <v>9.1847111553597252</v>
      </c>
      <c r="O11" s="4">
        <f t="shared" si="35"/>
        <v>4.8323555776798628</v>
      </c>
      <c r="P11" s="4">
        <f t="shared" si="36"/>
        <v>-4.3523555776798624</v>
      </c>
      <c r="Q11" s="4">
        <f t="shared" si="5"/>
        <v>45</v>
      </c>
      <c r="R11" s="4">
        <f t="shared" si="6"/>
        <v>2.662237764979388</v>
      </c>
      <c r="S11" s="360">
        <f t="shared" si="7"/>
        <v>3.5437549586412237E-2</v>
      </c>
      <c r="T11" s="360">
        <f t="shared" si="8"/>
        <v>0.3</v>
      </c>
      <c r="U11" s="360">
        <f t="shared" si="9"/>
        <v>0.33639122002963096</v>
      </c>
      <c r="V11" s="4">
        <f t="shared" si="37"/>
        <v>2.651397728987948</v>
      </c>
      <c r="W11" s="360">
        <f t="shared" si="10"/>
        <v>1.4059819834564896E-2</v>
      </c>
      <c r="X11" s="360">
        <f t="shared" si="38"/>
        <v>1.4059819834564896E-2</v>
      </c>
      <c r="Y11" s="4">
        <f t="shared" si="11"/>
        <v>0.83676348159248826</v>
      </c>
      <c r="Z11" s="360">
        <f t="shared" si="12"/>
        <v>1.0502596861901737E-3</v>
      </c>
      <c r="AA11" s="541">
        <f t="shared" si="39"/>
        <v>1.0502596861901737E-3</v>
      </c>
      <c r="AB11" s="360">
        <f t="shared" si="13"/>
        <v>0.88753728915069019</v>
      </c>
      <c r="AC11" s="360">
        <f t="shared" si="14"/>
        <v>4.7263346377977352E-3</v>
      </c>
      <c r="AD11" s="360">
        <f t="shared" si="15"/>
        <v>4.3445887115979983E-3</v>
      </c>
      <c r="AE11" s="360">
        <f t="shared" si="16"/>
        <v>0</v>
      </c>
      <c r="AF11" s="360">
        <f t="shared" si="17"/>
        <v>9.3836786254777819E-3</v>
      </c>
      <c r="AG11" s="360">
        <f t="shared" si="18"/>
        <v>1.8467869345120486E-2</v>
      </c>
      <c r="AH11" s="360">
        <f t="shared" si="19"/>
        <v>2.5099377437796124</v>
      </c>
      <c r="AI11" s="360">
        <f t="shared" si="20"/>
        <v>1.574946869412373E-2</v>
      </c>
      <c r="AJ11" s="360">
        <f t="shared" si="21"/>
        <v>1.0418558625477784E-2</v>
      </c>
      <c r="AK11" s="360">
        <f t="shared" si="22"/>
        <v>2.6250714280152247E-2</v>
      </c>
      <c r="AL11" s="360">
        <f t="shared" si="23"/>
        <v>1.03488E-3</v>
      </c>
      <c r="AM11" s="360">
        <f t="shared" si="24"/>
        <v>1.1879999999999998E-2</v>
      </c>
      <c r="AN11" s="360">
        <f t="shared" si="25"/>
        <v>2.835003966912979E-2</v>
      </c>
      <c r="AO11" s="360">
        <f t="shared" si="26"/>
        <v>1.5749999999999998E-3</v>
      </c>
      <c r="AP11" s="360">
        <f t="shared" si="27"/>
        <v>0.32669999999999993</v>
      </c>
      <c r="AQ11" s="360">
        <f t="shared" si="28"/>
        <v>0.31218000000000001</v>
      </c>
      <c r="AR11" s="360">
        <f t="shared" si="29"/>
        <v>0.29039999999999999</v>
      </c>
      <c r="AS11" s="360">
        <f t="shared" ref="AS11:AS74" si="48">SUM(AO11:AP11)</f>
        <v>0.32827499999999993</v>
      </c>
      <c r="AT11" s="360">
        <f t="shared" si="41"/>
        <v>0.7657598028447884</v>
      </c>
      <c r="AU11">
        <f t="shared" si="30"/>
        <v>1.2</v>
      </c>
      <c r="AV11" s="542">
        <f t="shared" si="42"/>
        <v>0.61045098097102002</v>
      </c>
      <c r="AW11" s="551">
        <f t="shared" si="31"/>
        <v>0.99972943511457835</v>
      </c>
      <c r="AX11" s="551">
        <f t="shared" si="32"/>
        <v>1.1465023426457854</v>
      </c>
      <c r="AY11" s="9"/>
      <c r="AZ11" s="4">
        <f t="shared" si="43"/>
        <v>61.045098097101999</v>
      </c>
      <c r="BA11" s="360">
        <f t="shared" si="33"/>
        <v>0.33639122002963096</v>
      </c>
      <c r="BB11" s="360">
        <f t="shared" si="44"/>
        <v>5.659858362527273E-2</v>
      </c>
      <c r="BC11" s="360">
        <f t="shared" si="45"/>
        <v>2.6308669345120484E-2</v>
      </c>
      <c r="BD11" s="360">
        <f t="shared" si="46"/>
        <v>3.0171114280152247E-2</v>
      </c>
      <c r="BE11" s="360">
        <f t="shared" si="47"/>
        <v>2.835003966912979E-2</v>
      </c>
      <c r="BJ11" s="18"/>
      <c r="BK11" s="18"/>
      <c r="BL11" s="18"/>
      <c r="BM11" s="19"/>
    </row>
    <row r="12" spans="1:65" x14ac:dyDescent="0.25">
      <c r="A12" s="22" t="s">
        <v>4</v>
      </c>
      <c r="B12" s="5">
        <f>Vout2</f>
        <v>5</v>
      </c>
      <c r="C12" s="440" t="s">
        <v>0</v>
      </c>
      <c r="D12" s="21" t="s">
        <v>4</v>
      </c>
      <c r="G12">
        <v>3</v>
      </c>
      <c r="H12" s="548">
        <f t="shared" si="0"/>
        <v>45</v>
      </c>
      <c r="I12" s="4">
        <f t="shared" si="1"/>
        <v>2</v>
      </c>
      <c r="J12" s="360">
        <f t="shared" si="34"/>
        <v>0.36</v>
      </c>
      <c r="K12" s="4">
        <f t="shared" si="2"/>
        <v>4.4444444444444439E-2</v>
      </c>
      <c r="L12" s="4"/>
      <c r="M12" s="360">
        <f t="shared" si="3"/>
        <v>0.11115795473110784</v>
      </c>
      <c r="N12" s="4">
        <f t="shared" si="4"/>
        <v>9.1856983548421027</v>
      </c>
      <c r="O12" s="4">
        <f t="shared" si="35"/>
        <v>4.9528491774210517</v>
      </c>
      <c r="P12" s="4">
        <f t="shared" si="36"/>
        <v>-4.232849177421051</v>
      </c>
      <c r="Q12" s="4">
        <f t="shared" si="5"/>
        <v>44.253519889399385</v>
      </c>
      <c r="R12" s="4">
        <f t="shared" si="6"/>
        <v>2.6760084433435076</v>
      </c>
      <c r="S12" s="360">
        <f t="shared" si="7"/>
        <v>3.5805105944228713E-2</v>
      </c>
      <c r="T12" s="360">
        <f t="shared" si="8"/>
        <v>0.3</v>
      </c>
      <c r="U12" s="360">
        <f t="shared" si="9"/>
        <v>0.33676975207638121</v>
      </c>
      <c r="V12" s="4">
        <f t="shared" si="37"/>
        <v>2.6516827089313955</v>
      </c>
      <c r="W12" s="360">
        <f t="shared" si="10"/>
        <v>1.4062842377691486E-2</v>
      </c>
      <c r="X12" s="360">
        <f t="shared" si="38"/>
        <v>1.4062842377691486E-2</v>
      </c>
      <c r="Y12" s="4">
        <f t="shared" si="11"/>
        <v>0.84114341249990987</v>
      </c>
      <c r="Z12" s="360">
        <f t="shared" si="12"/>
        <v>1.0612833605879903E-3</v>
      </c>
      <c r="AA12" s="541">
        <f t="shared" si="39"/>
        <v>1.0612833605879903E-3</v>
      </c>
      <c r="AB12" s="360">
        <f t="shared" si="13"/>
        <v>0.89219082551784812</v>
      </c>
      <c r="AC12" s="360">
        <f t="shared" si="14"/>
        <v>4.7760268148293161E-3</v>
      </c>
      <c r="AD12" s="360">
        <f t="shared" si="15"/>
        <v>6.5168830673969988E-3</v>
      </c>
      <c r="AE12" s="360">
        <f t="shared" si="16"/>
        <v>4.8356222008572747E-3</v>
      </c>
      <c r="AF12" s="360">
        <f t="shared" si="17"/>
        <v>9.1260228265197842E-3</v>
      </c>
      <c r="AG12" s="360">
        <f t="shared" si="18"/>
        <v>2.5272901926311247E-2</v>
      </c>
      <c r="AH12" s="360">
        <f t="shared" si="19"/>
        <v>2.5228984759017798</v>
      </c>
      <c r="AI12" s="360">
        <f t="shared" si="20"/>
        <v>1.591254179926881E-2</v>
      </c>
      <c r="AJ12" s="360">
        <f t="shared" si="21"/>
        <v>1.0678342826519787E-2</v>
      </c>
      <c r="AK12" s="360">
        <f t="shared" si="22"/>
        <v>2.6675780520300077E-2</v>
      </c>
      <c r="AL12" s="360">
        <f t="shared" si="23"/>
        <v>1.5523199999999998E-3</v>
      </c>
      <c r="AM12" s="360">
        <f t="shared" si="24"/>
        <v>1.7819999999999999E-2</v>
      </c>
      <c r="AN12" s="360">
        <f t="shared" si="25"/>
        <v>2.8644084755382972E-2</v>
      </c>
      <c r="AO12" s="360">
        <f t="shared" si="26"/>
        <v>1.5749999999999998E-3</v>
      </c>
      <c r="AP12" s="360">
        <f t="shared" si="27"/>
        <v>0.32669999999999993</v>
      </c>
      <c r="AQ12" s="360">
        <f t="shared" si="28"/>
        <v>0.31218000000000001</v>
      </c>
      <c r="AR12" s="360">
        <f t="shared" si="29"/>
        <v>0.29039999999999999</v>
      </c>
      <c r="AS12" s="360">
        <f t="shared" si="48"/>
        <v>0.32827499999999993</v>
      </c>
      <c r="AT12" s="360">
        <f t="shared" si="41"/>
        <v>0.78013396501665488</v>
      </c>
      <c r="AU12">
        <f t="shared" si="30"/>
        <v>1.7999999999999998</v>
      </c>
      <c r="AV12" s="542">
        <f t="shared" si="42"/>
        <v>0.69763819414252037</v>
      </c>
      <c r="AW12" s="551">
        <f t="shared" si="31"/>
        <v>1.4072958731998275</v>
      </c>
      <c r="AX12" s="551">
        <f t="shared" si="32"/>
        <v>1.2371424597714029</v>
      </c>
      <c r="AY12" s="9"/>
      <c r="AZ12" s="4">
        <f t="shared" si="43"/>
        <v>69.76381941425204</v>
      </c>
      <c r="BA12" s="360">
        <f t="shared" si="33"/>
        <v>0.33676975207638121</v>
      </c>
      <c r="BB12" s="360">
        <f t="shared" si="44"/>
        <v>6.976868244661133E-2</v>
      </c>
      <c r="BC12" s="360">
        <f t="shared" si="45"/>
        <v>3.703410192631125E-2</v>
      </c>
      <c r="BD12" s="360">
        <f t="shared" si="46"/>
        <v>3.2556380520300077E-2</v>
      </c>
      <c r="BE12" s="360">
        <f t="shared" si="47"/>
        <v>2.8644084755382972E-2</v>
      </c>
      <c r="BJ12" s="18"/>
      <c r="BK12" s="18"/>
      <c r="BL12" s="18"/>
      <c r="BM12" s="19"/>
    </row>
    <row r="13" spans="1:65" x14ac:dyDescent="0.25">
      <c r="A13" s="22" t="s">
        <v>6</v>
      </c>
      <c r="B13" s="5">
        <f>Fsw/1000</f>
        <v>220</v>
      </c>
      <c r="C13" s="440" t="s">
        <v>2</v>
      </c>
      <c r="D13" s="21" t="s">
        <v>94</v>
      </c>
      <c r="G13">
        <v>4</v>
      </c>
      <c r="H13" s="548">
        <f t="shared" si="0"/>
        <v>45</v>
      </c>
      <c r="I13" s="4">
        <f t="shared" si="1"/>
        <v>2</v>
      </c>
      <c r="J13" s="360">
        <f t="shared" si="34"/>
        <v>0.48</v>
      </c>
      <c r="K13" s="4">
        <f t="shared" si="2"/>
        <v>5.9259259259259255E-2</v>
      </c>
      <c r="L13" s="4"/>
      <c r="M13" s="360">
        <f t="shared" si="3"/>
        <v>0.11117356890469415</v>
      </c>
      <c r="N13" s="4">
        <f t="shared" si="4"/>
        <v>9.1866854540164233</v>
      </c>
      <c r="O13" s="4">
        <f t="shared" si="35"/>
        <v>5.0733427270082121</v>
      </c>
      <c r="P13" s="4">
        <f t="shared" si="36"/>
        <v>-4.1133427270082112</v>
      </c>
      <c r="Q13" s="4">
        <f t="shared" si="5"/>
        <v>43.004105875673936</v>
      </c>
      <c r="R13" s="4">
        <f t="shared" si="6"/>
        <v>2.6950570437846171</v>
      </c>
      <c r="S13" s="360">
        <f t="shared" si="7"/>
        <v>3.6316662346265398E-2</v>
      </c>
      <c r="T13" s="360">
        <f t="shared" si="8"/>
        <v>0.3</v>
      </c>
      <c r="U13" s="360">
        <f t="shared" si="9"/>
        <v>0.33729662134690475</v>
      </c>
      <c r="V13" s="4">
        <f t="shared" si="37"/>
        <v>2.6519676599184008</v>
      </c>
      <c r="W13" s="360">
        <f t="shared" si="10"/>
        <v>1.4065864938506157E-2</v>
      </c>
      <c r="X13" s="360">
        <f t="shared" si="38"/>
        <v>1.4065864938506157E-2</v>
      </c>
      <c r="Y13" s="4">
        <f t="shared" si="11"/>
        <v>0.84718296825150119</v>
      </c>
      <c r="Z13" s="360">
        <f t="shared" si="12"/>
        <v>1.076578472543136E-3</v>
      </c>
      <c r="AA13" s="541">
        <f t="shared" si="39"/>
        <v>1.076578472543136E-3</v>
      </c>
      <c r="AB13" s="360">
        <f t="shared" si="13"/>
        <v>0.89860480343041205</v>
      </c>
      <c r="AC13" s="360">
        <f t="shared" si="14"/>
        <v>4.8449435564892566E-3</v>
      </c>
      <c r="AD13" s="360">
        <f t="shared" si="15"/>
        <v>8.6891774231959967E-3</v>
      </c>
      <c r="AE13" s="360">
        <f t="shared" si="16"/>
        <v>1.2521304855389728E-2</v>
      </c>
      <c r="AF13" s="360">
        <f t="shared" si="17"/>
        <v>8.8683669194297033E-3</v>
      </c>
      <c r="AG13" s="360">
        <f t="shared" si="18"/>
        <v>3.4949530687037364E-2</v>
      </c>
      <c r="AH13" s="360">
        <f t="shared" si="19"/>
        <v>2.5408348778511503</v>
      </c>
      <c r="AI13" s="360">
        <f t="shared" si="20"/>
        <v>1.6139604691262174E-2</v>
      </c>
      <c r="AJ13" s="360">
        <f t="shared" si="21"/>
        <v>1.0938126919429705E-2</v>
      </c>
      <c r="AK13" s="360">
        <f t="shared" si="22"/>
        <v>2.7165419436888622E-2</v>
      </c>
      <c r="AL13" s="360">
        <f t="shared" si="23"/>
        <v>2.0697599999999999E-3</v>
      </c>
      <c r="AM13" s="360">
        <f t="shared" si="24"/>
        <v>2.3759999999999996E-2</v>
      </c>
      <c r="AN13" s="360">
        <f t="shared" si="25"/>
        <v>2.9053329877012316E-2</v>
      </c>
      <c r="AO13" s="360">
        <f t="shared" si="26"/>
        <v>1.5749999999999998E-3</v>
      </c>
      <c r="AP13" s="360">
        <f t="shared" si="27"/>
        <v>0.32669999999999993</v>
      </c>
      <c r="AQ13" s="360">
        <f t="shared" si="28"/>
        <v>0.31218000000000001</v>
      </c>
      <c r="AR13" s="360">
        <f t="shared" si="29"/>
        <v>0.29039999999999999</v>
      </c>
      <c r="AS13" s="360">
        <f t="shared" si="48"/>
        <v>0.32827499999999993</v>
      </c>
      <c r="AT13" s="360">
        <f t="shared" si="41"/>
        <v>0.7977121047588922</v>
      </c>
      <c r="AU13">
        <f t="shared" si="30"/>
        <v>2.4</v>
      </c>
      <c r="AV13" s="542">
        <f t="shared" si="42"/>
        <v>0.75053660910507769</v>
      </c>
      <c r="AW13" s="551">
        <f t="shared" si="31"/>
        <v>1.9239829661074197</v>
      </c>
      <c r="AX13" s="551">
        <f t="shared" si="32"/>
        <v>1.3302363386017675</v>
      </c>
      <c r="AY13" s="9"/>
      <c r="AZ13" s="4">
        <f t="shared" si="43"/>
        <v>75.053660910507773</v>
      </c>
      <c r="BA13" s="360">
        <f t="shared" si="33"/>
        <v>0.33729662134690475</v>
      </c>
      <c r="BB13" s="360">
        <f t="shared" si="44"/>
        <v>8.5874950123925986E-2</v>
      </c>
      <c r="BC13" s="360">
        <f t="shared" si="45"/>
        <v>5.0631130687037361E-2</v>
      </c>
      <c r="BD13" s="360">
        <f t="shared" si="46"/>
        <v>3.5006219436888621E-2</v>
      </c>
      <c r="BE13" s="360">
        <f t="shared" si="47"/>
        <v>2.9053329877012316E-2</v>
      </c>
      <c r="BJ13" s="18"/>
      <c r="BK13" s="18"/>
      <c r="BL13" s="18"/>
      <c r="BM13" s="19"/>
    </row>
    <row r="14" spans="1:65" x14ac:dyDescent="0.25">
      <c r="A14" s="22" t="s">
        <v>5</v>
      </c>
      <c r="B14" s="5">
        <f>Iout2</f>
        <v>12</v>
      </c>
      <c r="C14" s="440" t="s">
        <v>1</v>
      </c>
      <c r="D14" s="21" t="s">
        <v>95</v>
      </c>
      <c r="G14">
        <v>5</v>
      </c>
      <c r="H14" s="548">
        <f t="shared" si="0"/>
        <v>45</v>
      </c>
      <c r="I14" s="4">
        <f t="shared" si="1"/>
        <v>2</v>
      </c>
      <c r="J14" s="360">
        <f t="shared" si="34"/>
        <v>0.6</v>
      </c>
      <c r="K14" s="4">
        <f t="shared" si="2"/>
        <v>7.407407407407407E-2</v>
      </c>
      <c r="L14" s="4"/>
      <c r="M14" s="360">
        <f t="shared" si="3"/>
        <v>0.11118918289507952</v>
      </c>
      <c r="N14" s="4">
        <f t="shared" si="4"/>
        <v>9.1876724528844491</v>
      </c>
      <c r="O14" s="4">
        <f t="shared" si="35"/>
        <v>5.1938362264422242</v>
      </c>
      <c r="P14" s="4">
        <f t="shared" si="36"/>
        <v>-3.9938362264422245</v>
      </c>
      <c r="Q14" s="4">
        <f t="shared" si="5"/>
        <v>41.754691337608207</v>
      </c>
      <c r="R14" s="4">
        <f t="shared" si="6"/>
        <v>2.7192726524675024</v>
      </c>
      <c r="S14" s="360">
        <f t="shared" si="7"/>
        <v>3.6972218792288229E-2</v>
      </c>
      <c r="T14" s="360">
        <f t="shared" si="8"/>
        <v>0.3</v>
      </c>
      <c r="U14" s="360">
        <f t="shared" si="9"/>
        <v>0.33797186436949678</v>
      </c>
      <c r="V14" s="4">
        <f t="shared" si="37"/>
        <v>2.6522525819494733</v>
      </c>
      <c r="W14" s="360">
        <f t="shared" si="10"/>
        <v>1.4068887516915296E-2</v>
      </c>
      <c r="X14" s="360">
        <f t="shared" si="38"/>
        <v>1.4068887516915296E-2</v>
      </c>
      <c r="Y14" s="4">
        <f t="shared" si="11"/>
        <v>0.85484758697941665</v>
      </c>
      <c r="Z14" s="360">
        <f t="shared" si="12"/>
        <v>1.096146595446797E-3</v>
      </c>
      <c r="AA14" s="541">
        <f t="shared" si="39"/>
        <v>1.096146595446797E-3</v>
      </c>
      <c r="AB14" s="360">
        <f t="shared" si="13"/>
        <v>0.90674260927041828</v>
      </c>
      <c r="AC14" s="360">
        <f t="shared" si="14"/>
        <v>4.9330929567991582E-3</v>
      </c>
      <c r="AD14" s="360">
        <f t="shared" si="15"/>
        <v>1.0861471778994998E-2</v>
      </c>
      <c r="AE14" s="360">
        <f t="shared" si="16"/>
        <v>1.9696313300432918E-2</v>
      </c>
      <c r="AF14" s="360">
        <f t="shared" si="17"/>
        <v>8.6107109042094353E-3</v>
      </c>
      <c r="AG14" s="360">
        <f t="shared" si="18"/>
        <v>4.4134682455094325E-2</v>
      </c>
      <c r="AH14" s="360">
        <f t="shared" si="19"/>
        <v>2.5636422525366367</v>
      </c>
      <c r="AI14" s="360">
        <f t="shared" si="20"/>
        <v>1.6430653997477802E-2</v>
      </c>
      <c r="AJ14" s="360">
        <f t="shared" si="21"/>
        <v>1.1197910904209435E-2</v>
      </c>
      <c r="AK14" s="360">
        <f t="shared" si="22"/>
        <v>2.7719655314768499E-2</v>
      </c>
      <c r="AL14" s="360">
        <f t="shared" si="23"/>
        <v>2.5872E-3</v>
      </c>
      <c r="AM14" s="360">
        <f t="shared" si="24"/>
        <v>2.9700000000000001E-2</v>
      </c>
      <c r="AN14" s="360">
        <f t="shared" si="25"/>
        <v>2.9577775033830585E-2</v>
      </c>
      <c r="AO14" s="360">
        <f t="shared" si="26"/>
        <v>1.5749999999999998E-3</v>
      </c>
      <c r="AP14" s="360">
        <f t="shared" si="27"/>
        <v>0.32669999999999993</v>
      </c>
      <c r="AQ14" s="360">
        <f t="shared" si="28"/>
        <v>0.31218000000000001</v>
      </c>
      <c r="AR14" s="360">
        <f t="shared" si="29"/>
        <v>0.29039999999999999</v>
      </c>
      <c r="AS14" s="360">
        <f t="shared" si="48"/>
        <v>0.32827499999999993</v>
      </c>
      <c r="AT14" s="360">
        <f t="shared" si="41"/>
        <v>0.81513121128555233</v>
      </c>
      <c r="AU14">
        <f t="shared" si="30"/>
        <v>3</v>
      </c>
      <c r="AV14" s="542">
        <f t="shared" si="42"/>
        <v>0.78634254861947872</v>
      </c>
      <c r="AW14" s="551">
        <f t="shared" si="31"/>
        <v>2.4219939332935843</v>
      </c>
      <c r="AX14" s="551">
        <f t="shared" si="32"/>
        <v>1.4257849019612032</v>
      </c>
      <c r="AY14" s="9"/>
      <c r="AZ14" s="4">
        <f t="shared" si="43"/>
        <v>78.634254861947866</v>
      </c>
      <c r="BA14" s="360">
        <f t="shared" si="33"/>
        <v>0.33797186436949678</v>
      </c>
      <c r="BB14" s="360">
        <f t="shared" si="44"/>
        <v>0.10155433776986283</v>
      </c>
      <c r="BC14" s="360">
        <f t="shared" si="45"/>
        <v>6.3736682455094326E-2</v>
      </c>
      <c r="BD14" s="360">
        <f t="shared" si="46"/>
        <v>3.7520655314768503E-2</v>
      </c>
      <c r="BE14" s="360">
        <f t="shared" si="47"/>
        <v>2.9577775033830585E-2</v>
      </c>
      <c r="BJ14" s="18"/>
      <c r="BK14" s="18"/>
      <c r="BL14" s="18"/>
      <c r="BM14" s="19"/>
    </row>
    <row r="15" spans="1:65" x14ac:dyDescent="0.25">
      <c r="A15" s="23" t="s">
        <v>83</v>
      </c>
      <c r="B15" s="5">
        <f>Ta</f>
        <v>25</v>
      </c>
      <c r="C15" s="440" t="s">
        <v>465</v>
      </c>
      <c r="D15" s="21" t="s">
        <v>96</v>
      </c>
      <c r="G15">
        <v>6</v>
      </c>
      <c r="H15" s="548">
        <f t="shared" si="0"/>
        <v>45</v>
      </c>
      <c r="I15" s="4">
        <f t="shared" si="1"/>
        <v>2</v>
      </c>
      <c r="J15" s="360">
        <f t="shared" si="34"/>
        <v>0.72</v>
      </c>
      <c r="K15" s="4">
        <f t="shared" si="2"/>
        <v>8.8888888888888878E-2</v>
      </c>
      <c r="L15" s="4"/>
      <c r="M15" s="360">
        <f t="shared" si="3"/>
        <v>0.1112047967022672</v>
      </c>
      <c r="N15" s="4">
        <f t="shared" si="4"/>
        <v>9.1886593514479458</v>
      </c>
      <c r="O15" s="4">
        <f t="shared" si="35"/>
        <v>5.3143296757239726</v>
      </c>
      <c r="P15" s="4">
        <f t="shared" si="36"/>
        <v>-3.8743296757239731</v>
      </c>
      <c r="Q15" s="4">
        <f t="shared" si="5"/>
        <v>40.505276275211429</v>
      </c>
      <c r="R15" s="4">
        <f t="shared" si="6"/>
        <v>2.7485187022126389</v>
      </c>
      <c r="S15" s="360">
        <f t="shared" si="7"/>
        <v>3.7771775282063248E-2</v>
      </c>
      <c r="T15" s="360">
        <f t="shared" si="8"/>
        <v>0.3</v>
      </c>
      <c r="U15" s="360">
        <f t="shared" si="9"/>
        <v>0.33879552796597517</v>
      </c>
      <c r="V15" s="4">
        <f t="shared" si="37"/>
        <v>2.652537475025122</v>
      </c>
      <c r="W15" s="360">
        <f t="shared" si="10"/>
        <v>1.4071910112825301E-2</v>
      </c>
      <c r="X15" s="360">
        <f t="shared" si="38"/>
        <v>1.4071910112825301E-2</v>
      </c>
      <c r="Y15" s="4">
        <f t="shared" si="11"/>
        <v>0.86409463313800627</v>
      </c>
      <c r="Z15" s="360">
        <f t="shared" si="12"/>
        <v>1.1199893025268584E-3</v>
      </c>
      <c r="AA15" s="541">
        <f t="shared" si="39"/>
        <v>1.1199893025268584E-3</v>
      </c>
      <c r="AB15" s="360">
        <f t="shared" si="13"/>
        <v>0.91655906425342448</v>
      </c>
      <c r="AC15" s="360">
        <f t="shared" si="14"/>
        <v>5.0404831095906787E-3</v>
      </c>
      <c r="AD15" s="360">
        <f t="shared" si="15"/>
        <v>1.3033766134793998E-2</v>
      </c>
      <c r="AE15" s="360">
        <f t="shared" si="16"/>
        <v>2.6360646892993236E-2</v>
      </c>
      <c r="AF15" s="360">
        <f t="shared" si="17"/>
        <v>8.3530547808608867E-3</v>
      </c>
      <c r="AG15" s="360">
        <f t="shared" si="18"/>
        <v>5.2828425597852502E-2</v>
      </c>
      <c r="AH15" s="360">
        <f t="shared" si="19"/>
        <v>2.5911917216114162</v>
      </c>
      <c r="AI15" s="360">
        <f t="shared" si="20"/>
        <v>1.6785686345368839E-2</v>
      </c>
      <c r="AJ15" s="360">
        <f t="shared" si="21"/>
        <v>1.1457694780860884E-2</v>
      </c>
      <c r="AK15" s="360">
        <f t="shared" si="22"/>
        <v>2.833851741920804E-2</v>
      </c>
      <c r="AL15" s="360">
        <f t="shared" si="23"/>
        <v>3.1046399999999997E-3</v>
      </c>
      <c r="AM15" s="360">
        <f t="shared" si="24"/>
        <v>3.5639999999999998E-2</v>
      </c>
      <c r="AN15" s="360">
        <f t="shared" si="25"/>
        <v>3.0217420225650597E-2</v>
      </c>
      <c r="AO15" s="360">
        <f t="shared" si="26"/>
        <v>1.5749999999999998E-3</v>
      </c>
      <c r="AP15" s="360">
        <f t="shared" si="27"/>
        <v>0.32669999999999993</v>
      </c>
      <c r="AQ15" s="360">
        <f t="shared" si="28"/>
        <v>0.31218000000000001</v>
      </c>
      <c r="AR15" s="360">
        <f t="shared" si="29"/>
        <v>0.29039999999999999</v>
      </c>
      <c r="AS15" s="360">
        <f t="shared" si="48"/>
        <v>0.32827499999999993</v>
      </c>
      <c r="AT15" s="360">
        <f t="shared" si="41"/>
        <v>0.83239143062403842</v>
      </c>
      <c r="AU15">
        <f t="shared" si="30"/>
        <v>3.5999999999999996</v>
      </c>
      <c r="AV15" s="542">
        <f t="shared" si="42"/>
        <v>0.81220263515696645</v>
      </c>
      <c r="AW15" s="551">
        <f t="shared" si="31"/>
        <v>2.9013313727183951</v>
      </c>
      <c r="AX15" s="551">
        <f t="shared" si="32"/>
        <v>1.5237892619299054</v>
      </c>
      <c r="AY15" s="9"/>
      <c r="AZ15" s="4">
        <f t="shared" si="43"/>
        <v>81.220263515696644</v>
      </c>
      <c r="BA15" s="360">
        <f t="shared" si="33"/>
        <v>0.33879552796597517</v>
      </c>
      <c r="BB15" s="360">
        <f t="shared" si="44"/>
        <v>0.11680694301706054</v>
      </c>
      <c r="BC15" s="360">
        <f t="shared" si="45"/>
        <v>7.6350825597852501E-2</v>
      </c>
      <c r="BD15" s="360">
        <f t="shared" si="46"/>
        <v>4.0099717419208036E-2</v>
      </c>
      <c r="BE15" s="360">
        <f t="shared" si="47"/>
        <v>3.0217420225650597E-2</v>
      </c>
      <c r="BJ15" s="18"/>
      <c r="BK15" s="18"/>
      <c r="BL15" s="18"/>
      <c r="BM15" s="19"/>
    </row>
    <row r="16" spans="1:65" x14ac:dyDescent="0.25">
      <c r="A16" s="448" t="s">
        <v>476</v>
      </c>
      <c r="B16" s="5">
        <f>VCC</f>
        <v>5</v>
      </c>
      <c r="C16" s="440" t="s">
        <v>0</v>
      </c>
      <c r="D16" s="440" t="s">
        <v>475</v>
      </c>
      <c r="G16">
        <v>7</v>
      </c>
      <c r="H16" s="548">
        <f t="shared" si="0"/>
        <v>45</v>
      </c>
      <c r="I16" s="4">
        <f t="shared" si="1"/>
        <v>2</v>
      </c>
      <c r="J16" s="360">
        <f t="shared" si="34"/>
        <v>0.84</v>
      </c>
      <c r="K16" s="4">
        <f t="shared" si="2"/>
        <v>0.10370370370370371</v>
      </c>
      <c r="L16" s="4"/>
      <c r="M16" s="360">
        <f t="shared" si="3"/>
        <v>0.11122041032626039</v>
      </c>
      <c r="N16" s="4">
        <f t="shared" si="4"/>
        <v>9.1896461497086772</v>
      </c>
      <c r="O16" s="4">
        <f t="shared" si="35"/>
        <v>5.4348230748543385</v>
      </c>
      <c r="P16" s="4">
        <f t="shared" si="36"/>
        <v>-3.7548230748543387</v>
      </c>
      <c r="Q16" s="4">
        <f t="shared" si="5"/>
        <v>39.255860688492831</v>
      </c>
      <c r="R16" s="4">
        <f t="shared" si="6"/>
        <v>2.7826365848006982</v>
      </c>
      <c r="S16" s="360">
        <f t="shared" si="7"/>
        <v>3.8715331815356462E-2</v>
      </c>
      <c r="T16" s="360">
        <f t="shared" si="8"/>
        <v>0.3</v>
      </c>
      <c r="U16" s="360">
        <f t="shared" si="9"/>
        <v>0.33976766925979829</v>
      </c>
      <c r="V16" s="4">
        <f t="shared" si="37"/>
        <v>2.6528223391458563</v>
      </c>
      <c r="W16" s="360">
        <f t="shared" si="10"/>
        <v>1.4074932726142585E-2</v>
      </c>
      <c r="X16" s="360">
        <f t="shared" si="38"/>
        <v>1.4074932726142585E-2</v>
      </c>
      <c r="Y16" s="4">
        <f t="shared" si="11"/>
        <v>0.87487453075585342</v>
      </c>
      <c r="Z16" s="360">
        <f t="shared" si="12"/>
        <v>1.1481081668479121E-3</v>
      </c>
      <c r="AA16" s="541">
        <f t="shared" si="39"/>
        <v>1.1481081668479121E-3</v>
      </c>
      <c r="AB16" s="360">
        <f t="shared" si="13"/>
        <v>0.92800162612155701</v>
      </c>
      <c r="AC16" s="360">
        <f t="shared" si="14"/>
        <v>5.1671221085055246E-3</v>
      </c>
      <c r="AD16" s="360">
        <f t="shared" si="15"/>
        <v>1.5206060490592995E-2</v>
      </c>
      <c r="AE16" s="360">
        <f t="shared" si="16"/>
        <v>3.2514304990091877E-2</v>
      </c>
      <c r="AF16" s="360">
        <f t="shared" si="17"/>
        <v>8.0953985493859536E-3</v>
      </c>
      <c r="AG16" s="360">
        <f t="shared" si="18"/>
        <v>6.1030819900795424E-2</v>
      </c>
      <c r="AH16" s="360">
        <f t="shared" si="19"/>
        <v>2.6233336320390208</v>
      </c>
      <c r="AI16" s="360">
        <f t="shared" si="20"/>
        <v>1.7204698362467602E-2</v>
      </c>
      <c r="AJ16" s="360">
        <f t="shared" si="21"/>
        <v>1.1717478549385953E-2</v>
      </c>
      <c r="AK16" s="360">
        <f t="shared" si="22"/>
        <v>2.9022040000668547E-2</v>
      </c>
      <c r="AL16" s="360">
        <f t="shared" si="23"/>
        <v>3.6220799999999997E-3</v>
      </c>
      <c r="AM16" s="360">
        <f t="shared" si="24"/>
        <v>4.1579999999999999E-2</v>
      </c>
      <c r="AN16" s="360">
        <f t="shared" si="25"/>
        <v>3.0972265452285173E-2</v>
      </c>
      <c r="AO16" s="360">
        <f t="shared" si="26"/>
        <v>1.5749999999999998E-3</v>
      </c>
      <c r="AP16" s="360">
        <f t="shared" si="27"/>
        <v>0.32669999999999993</v>
      </c>
      <c r="AQ16" s="360">
        <f t="shared" si="28"/>
        <v>0.31218000000000001</v>
      </c>
      <c r="AR16" s="360">
        <f t="shared" si="29"/>
        <v>0.29039999999999999</v>
      </c>
      <c r="AS16" s="360">
        <f t="shared" si="48"/>
        <v>0.32827499999999993</v>
      </c>
      <c r="AT16" s="360">
        <f t="shared" si="41"/>
        <v>0.84949291550653783</v>
      </c>
      <c r="AU16">
        <f t="shared" si="30"/>
        <v>4.2</v>
      </c>
      <c r="AV16" s="542">
        <f t="shared" si="42"/>
        <v>0.83176668831481637</v>
      </c>
      <c r="AW16" s="551">
        <f t="shared" si="31"/>
        <v>3.3619975562302264</v>
      </c>
      <c r="AX16" s="551">
        <f t="shared" si="32"/>
        <v>1.6242507200254048</v>
      </c>
      <c r="AY16" s="9"/>
      <c r="AZ16" s="4">
        <f t="shared" si="43"/>
        <v>83.176668831481635</v>
      </c>
      <c r="BA16" s="360">
        <f t="shared" si="33"/>
        <v>0.33976766925979829</v>
      </c>
      <c r="BB16" s="360">
        <f t="shared" si="44"/>
        <v>0.13163285990146398</v>
      </c>
      <c r="BC16" s="360">
        <f t="shared" si="45"/>
        <v>8.8473619900795428E-2</v>
      </c>
      <c r="BD16" s="360">
        <f t="shared" si="46"/>
        <v>4.2743440000668549E-2</v>
      </c>
      <c r="BE16" s="360">
        <f t="shared" si="47"/>
        <v>3.0972265452285173E-2</v>
      </c>
      <c r="BJ16" s="18"/>
      <c r="BK16" s="18"/>
      <c r="BL16" s="18"/>
      <c r="BM16" s="19"/>
    </row>
    <row r="17" spans="1:65" ht="13" x14ac:dyDescent="0.3">
      <c r="A17" s="24" t="s">
        <v>58</v>
      </c>
      <c r="B17" s="16" t="s">
        <v>111</v>
      </c>
      <c r="C17" s="24" t="s">
        <v>76</v>
      </c>
      <c r="D17" s="17" t="s">
        <v>107</v>
      </c>
      <c r="G17">
        <v>8</v>
      </c>
      <c r="H17" s="548">
        <f t="shared" si="0"/>
        <v>45</v>
      </c>
      <c r="I17" s="4">
        <f t="shared" si="1"/>
        <v>2</v>
      </c>
      <c r="J17" s="360">
        <f t="shared" si="34"/>
        <v>0.96</v>
      </c>
      <c r="K17" s="4">
        <f t="shared" si="2"/>
        <v>0.11851851851851851</v>
      </c>
      <c r="L17" s="4"/>
      <c r="M17" s="360">
        <f t="shared" si="3"/>
        <v>0.11123602376706231</v>
      </c>
      <c r="N17" s="4">
        <f t="shared" si="4"/>
        <v>9.1906328476684145</v>
      </c>
      <c r="O17" s="4">
        <f t="shared" si="35"/>
        <v>5.5553164238342072</v>
      </c>
      <c r="P17" s="4">
        <f t="shared" si="36"/>
        <v>-3.6353164238342073</v>
      </c>
      <c r="Q17" s="4">
        <f t="shared" si="5"/>
        <v>38.006444577461657</v>
      </c>
      <c r="R17" s="4">
        <f t="shared" si="6"/>
        <v>2.8214495704135496</v>
      </c>
      <c r="S17" s="360">
        <f t="shared" si="7"/>
        <v>3.9802888391934015E-2</v>
      </c>
      <c r="T17" s="360">
        <f t="shared" si="8"/>
        <v>0.3</v>
      </c>
      <c r="U17" s="360">
        <f t="shared" si="9"/>
        <v>0.34088835568597231</v>
      </c>
      <c r="V17" s="4">
        <f t="shared" si="37"/>
        <v>2.6531071743121881</v>
      </c>
      <c r="W17" s="360">
        <f t="shared" si="10"/>
        <v>1.4077955356773607E-2</v>
      </c>
      <c r="X17" s="360">
        <f t="shared" si="38"/>
        <v>1.4077955356773607E-2</v>
      </c>
      <c r="Y17" s="4">
        <f t="shared" si="11"/>
        <v>0.88713199367822937</v>
      </c>
      <c r="Z17" s="360">
        <f t="shared" si="12"/>
        <v>1.1805047613112651E-3</v>
      </c>
      <c r="AA17" s="541">
        <f t="shared" si="39"/>
        <v>1.1805047613112651E-3</v>
      </c>
      <c r="AB17" s="360">
        <f t="shared" si="13"/>
        <v>0.94101169378099669</v>
      </c>
      <c r="AC17" s="360">
        <f t="shared" si="14"/>
        <v>5.3130180469954822E-3</v>
      </c>
      <c r="AD17" s="360">
        <f t="shared" si="15"/>
        <v>1.7378354846391993E-2</v>
      </c>
      <c r="AE17" s="360">
        <f t="shared" si="16"/>
        <v>3.8157286948764815E-2</v>
      </c>
      <c r="AF17" s="360">
        <f t="shared" si="17"/>
        <v>7.837742209786551E-3</v>
      </c>
      <c r="AG17" s="360">
        <f t="shared" si="18"/>
        <v>6.8741916562517658E-2</v>
      </c>
      <c r="AH17" s="360">
        <f t="shared" si="19"/>
        <v>2.6599012520306506</v>
      </c>
      <c r="AI17" s="360">
        <f t="shared" si="20"/>
        <v>1.7687686676385556E-2</v>
      </c>
      <c r="AJ17" s="360">
        <f t="shared" si="21"/>
        <v>1.197726220978655E-2</v>
      </c>
      <c r="AK17" s="360">
        <f t="shared" si="22"/>
        <v>2.9770262300541261E-2</v>
      </c>
      <c r="AL17" s="360">
        <f t="shared" si="23"/>
        <v>4.1395199999999998E-3</v>
      </c>
      <c r="AM17" s="360">
        <f t="shared" si="24"/>
        <v>4.7519999999999993E-2</v>
      </c>
      <c r="AN17" s="360">
        <f t="shared" si="25"/>
        <v>3.1842310713547213E-2</v>
      </c>
      <c r="AO17" s="360">
        <f t="shared" si="26"/>
        <v>1.5749999999999998E-3</v>
      </c>
      <c r="AP17" s="360">
        <f t="shared" si="27"/>
        <v>0.32669999999999993</v>
      </c>
      <c r="AQ17" s="360">
        <f t="shared" si="28"/>
        <v>0.31218000000000001</v>
      </c>
      <c r="AR17" s="360">
        <f t="shared" si="29"/>
        <v>0.29039999999999999</v>
      </c>
      <c r="AS17" s="360">
        <f t="shared" si="48"/>
        <v>0.32827499999999993</v>
      </c>
      <c r="AT17" s="360">
        <f t="shared" si="41"/>
        <v>0.86643582538066322</v>
      </c>
      <c r="AU17">
        <f t="shared" si="30"/>
        <v>4.8</v>
      </c>
      <c r="AV17" s="542">
        <f t="shared" si="42"/>
        <v>0.84709333131422915</v>
      </c>
      <c r="AW17" s="551">
        <f t="shared" si="31"/>
        <v>3.8039944293756709</v>
      </c>
      <c r="AX17" s="551">
        <f t="shared" si="32"/>
        <v>1.7271707674205676</v>
      </c>
      <c r="AY17" s="9"/>
      <c r="AZ17" s="4">
        <f t="shared" si="43"/>
        <v>84.709333131422909</v>
      </c>
      <c r="BA17" s="360">
        <f t="shared" si="33"/>
        <v>0.34088835568597231</v>
      </c>
      <c r="BB17" s="360">
        <f t="shared" si="44"/>
        <v>0.14603217886305891</v>
      </c>
      <c r="BC17" s="360">
        <f t="shared" si="45"/>
        <v>0.10010511656251765</v>
      </c>
      <c r="BD17" s="360">
        <f t="shared" si="46"/>
        <v>4.5451862300541254E-2</v>
      </c>
      <c r="BE17" s="360">
        <f t="shared" si="47"/>
        <v>3.1842310713547213E-2</v>
      </c>
      <c r="BJ17" s="18"/>
      <c r="BK17" s="18"/>
      <c r="BL17" s="18"/>
      <c r="BM17" s="19"/>
    </row>
    <row r="18" spans="1:65" x14ac:dyDescent="0.25">
      <c r="A18" s="35" t="s">
        <v>56</v>
      </c>
      <c r="B18" s="38">
        <f>Lo_2*1000000</f>
        <v>2.2000000000000002</v>
      </c>
      <c r="C18" s="441" t="s">
        <v>10</v>
      </c>
      <c r="D18" s="440" t="s">
        <v>468</v>
      </c>
      <c r="G18">
        <v>9</v>
      </c>
      <c r="H18" s="548">
        <f t="shared" si="0"/>
        <v>45</v>
      </c>
      <c r="I18" s="4">
        <f t="shared" si="1"/>
        <v>2</v>
      </c>
      <c r="J18" s="360">
        <f t="shared" si="34"/>
        <v>1.08</v>
      </c>
      <c r="K18" s="4">
        <f t="shared" si="2"/>
        <v>0.13333333333333333</v>
      </c>
      <c r="L18" s="4"/>
      <c r="M18" s="360">
        <f t="shared" si="3"/>
        <v>0.11125163702467621</v>
      </c>
      <c r="N18" s="4">
        <f t="shared" si="4"/>
        <v>9.1916194453289144</v>
      </c>
      <c r="O18" s="4">
        <f t="shared" si="35"/>
        <v>5.6758097226644573</v>
      </c>
      <c r="P18" s="4">
        <f t="shared" si="36"/>
        <v>-3.5158097226644571</v>
      </c>
      <c r="Q18" s="4">
        <f t="shared" si="5"/>
        <v>36.757027942127102</v>
      </c>
      <c r="R18" s="4">
        <f t="shared" si="6"/>
        <v>2.8647668321021147</v>
      </c>
      <c r="S18" s="360">
        <f t="shared" si="7"/>
        <v>4.1034445011561928E-2</v>
      </c>
      <c r="T18" s="360">
        <f t="shared" si="8"/>
        <v>0.3</v>
      </c>
      <c r="U18" s="360">
        <f t="shared" si="9"/>
        <v>0.34215766500274913</v>
      </c>
      <c r="V18" s="4">
        <f t="shared" si="37"/>
        <v>2.6533919805246238</v>
      </c>
      <c r="W18" s="360">
        <f t="shared" si="10"/>
        <v>1.4080978004624772E-2</v>
      </c>
      <c r="X18" s="360">
        <f t="shared" si="38"/>
        <v>1.4080978004624772E-2</v>
      </c>
      <c r="Y18" s="4">
        <f t="shared" si="11"/>
        <v>0.90080728928924148</v>
      </c>
      <c r="Z18" s="360">
        <f t="shared" si="12"/>
        <v>1.2171806586549468E-3</v>
      </c>
      <c r="AA18" s="541">
        <f t="shared" si="39"/>
        <v>1.2171806586549468E-3</v>
      </c>
      <c r="AB18" s="360">
        <f t="shared" si="13"/>
        <v>0.9555259475216068</v>
      </c>
      <c r="AC18" s="360">
        <f t="shared" si="14"/>
        <v>5.4781790183223867E-3</v>
      </c>
      <c r="AD18" s="360">
        <f t="shared" si="15"/>
        <v>1.9550649202190996E-2</v>
      </c>
      <c r="AE18" s="360">
        <f t="shared" si="16"/>
        <v>4.3289592126063037E-2</v>
      </c>
      <c r="AF18" s="360">
        <f t="shared" si="17"/>
        <v>7.5800857620645689E-3</v>
      </c>
      <c r="AG18" s="360">
        <f t="shared" si="18"/>
        <v>7.5961758189346973E-2</v>
      </c>
      <c r="AH18" s="360">
        <f t="shared" si="19"/>
        <v>2.7007145658001921</v>
      </c>
      <c r="AI18" s="360">
        <f t="shared" si="20"/>
        <v>1.8234647914813301E-2</v>
      </c>
      <c r="AJ18" s="360">
        <f t="shared" si="21"/>
        <v>1.223704576206457E-2</v>
      </c>
      <c r="AK18" s="360">
        <f t="shared" si="22"/>
        <v>3.0583228557847994E-2</v>
      </c>
      <c r="AL18" s="360">
        <f t="shared" si="23"/>
        <v>4.6569599999999999E-3</v>
      </c>
      <c r="AM18" s="360">
        <f t="shared" si="24"/>
        <v>5.3459999999999994E-2</v>
      </c>
      <c r="AN18" s="360">
        <f t="shared" si="25"/>
        <v>3.2827556009249539E-2</v>
      </c>
      <c r="AO18" s="360">
        <f t="shared" si="26"/>
        <v>1.5749999999999998E-3</v>
      </c>
      <c r="AP18" s="360">
        <f t="shared" si="27"/>
        <v>0.32669999999999993</v>
      </c>
      <c r="AQ18" s="360">
        <f t="shared" si="28"/>
        <v>0.31218000000000001</v>
      </c>
      <c r="AR18" s="360">
        <f t="shared" si="29"/>
        <v>0.29039999999999999</v>
      </c>
      <c r="AS18" s="360">
        <f t="shared" si="48"/>
        <v>0.32827499999999993</v>
      </c>
      <c r="AT18" s="360">
        <f t="shared" si="41"/>
        <v>0.88322032642247328</v>
      </c>
      <c r="AU18">
        <f t="shared" si="30"/>
        <v>5.4</v>
      </c>
      <c r="AV18" s="542">
        <f t="shared" si="42"/>
        <v>0.85943190266489355</v>
      </c>
      <c r="AW18" s="551">
        <f t="shared" si="31"/>
        <v>4.2273236111951853</v>
      </c>
      <c r="AX18" s="551">
        <f t="shared" si="32"/>
        <v>1.8325510851982236</v>
      </c>
      <c r="AY18" s="9"/>
      <c r="AZ18" s="4">
        <f t="shared" si="43"/>
        <v>85.943190266489353</v>
      </c>
      <c r="BA18" s="360">
        <f t="shared" si="33"/>
        <v>0.34215766500274913</v>
      </c>
      <c r="BB18" s="360">
        <f t="shared" si="44"/>
        <v>0.16000498674719496</v>
      </c>
      <c r="BC18" s="360">
        <f t="shared" si="45"/>
        <v>0.11124535818934697</v>
      </c>
      <c r="BD18" s="360">
        <f t="shared" si="46"/>
        <v>4.8225028557847993E-2</v>
      </c>
      <c r="BE18" s="360">
        <f t="shared" si="47"/>
        <v>3.2827556009249539E-2</v>
      </c>
      <c r="BK18" s="18"/>
      <c r="BL18" s="19"/>
    </row>
    <row r="19" spans="1:65" x14ac:dyDescent="0.25">
      <c r="A19" s="35" t="s">
        <v>11</v>
      </c>
      <c r="B19" s="39">
        <f>Rdcr2*1000</f>
        <v>5</v>
      </c>
      <c r="C19" s="442" t="s">
        <v>466</v>
      </c>
      <c r="D19" s="440" t="s">
        <v>469</v>
      </c>
      <c r="G19">
        <v>10</v>
      </c>
      <c r="H19" s="548">
        <f t="shared" si="0"/>
        <v>45</v>
      </c>
      <c r="I19" s="4">
        <f t="shared" si="1"/>
        <v>2</v>
      </c>
      <c r="J19" s="360">
        <f t="shared" si="34"/>
        <v>1.2</v>
      </c>
      <c r="K19" s="4">
        <f t="shared" si="2"/>
        <v>0.14814814814814814</v>
      </c>
      <c r="L19" s="4"/>
      <c r="M19" s="360">
        <f t="shared" si="3"/>
        <v>0.11126725009910529</v>
      </c>
      <c r="N19" s="4">
        <f t="shared" si="4"/>
        <v>9.1926059426919497</v>
      </c>
      <c r="O19" s="4">
        <f t="shared" si="35"/>
        <v>5.7963029713459751</v>
      </c>
      <c r="P19" s="4">
        <f t="shared" si="36"/>
        <v>-3.3963029713459747</v>
      </c>
      <c r="Q19" s="4">
        <f t="shared" si="5"/>
        <v>35.507610782498432</v>
      </c>
      <c r="R19" s="4">
        <f t="shared" si="6"/>
        <v>2.9123873943555791</v>
      </c>
      <c r="S19" s="360">
        <f t="shared" si="7"/>
        <v>4.2410001674006395E-2</v>
      </c>
      <c r="T19" s="360">
        <f t="shared" si="8"/>
        <v>0.3</v>
      </c>
      <c r="U19" s="360">
        <f t="shared" si="9"/>
        <v>0.34357568530512139</v>
      </c>
      <c r="V19" s="4">
        <f t="shared" si="37"/>
        <v>2.6536767577836753</v>
      </c>
      <c r="W19" s="360">
        <f t="shared" si="10"/>
        <v>1.4084000669602558E-2</v>
      </c>
      <c r="X19" s="360">
        <f t="shared" si="38"/>
        <v>1.4084000669602558E-2</v>
      </c>
      <c r="Y19" s="4">
        <f t="shared" si="11"/>
        <v>0.91583747883334343</v>
      </c>
      <c r="Z19" s="360">
        <f t="shared" si="12"/>
        <v>1.258137431453722E-3</v>
      </c>
      <c r="AA19" s="541">
        <f t="shared" si="39"/>
        <v>1.258137431453722E-3</v>
      </c>
      <c r="AB19" s="360">
        <f t="shared" si="13"/>
        <v>0.97147766448489636</v>
      </c>
      <c r="AC19" s="360">
        <f t="shared" si="14"/>
        <v>5.6626131155581736E-3</v>
      </c>
      <c r="AD19" s="360">
        <f t="shared" si="15"/>
        <v>2.1722943557989996E-2</v>
      </c>
      <c r="AE19" s="360">
        <f t="shared" si="16"/>
        <v>4.7911219879052086E-2</v>
      </c>
      <c r="AF19" s="360">
        <f t="shared" si="17"/>
        <v>7.3224292062219207E-3</v>
      </c>
      <c r="AG19" s="360">
        <f t="shared" si="18"/>
        <v>8.2690378789588764E-2</v>
      </c>
      <c r="AH19" s="360">
        <f t="shared" si="19"/>
        <v>2.7455839965676248</v>
      </c>
      <c r="AI19" s="360">
        <f t="shared" si="20"/>
        <v>1.8845578705520626E-2</v>
      </c>
      <c r="AJ19" s="360">
        <f t="shared" si="21"/>
        <v>1.2496829206221922E-2</v>
      </c>
      <c r="AK19" s="360">
        <f t="shared" si="22"/>
        <v>3.1460988016907762E-2</v>
      </c>
      <c r="AL19" s="360">
        <f t="shared" si="23"/>
        <v>5.1744E-3</v>
      </c>
      <c r="AM19" s="360">
        <f t="shared" si="24"/>
        <v>5.9400000000000001E-2</v>
      </c>
      <c r="AN19" s="360">
        <f t="shared" si="25"/>
        <v>3.3928001339205115E-2</v>
      </c>
      <c r="AO19" s="360">
        <f t="shared" si="26"/>
        <v>1.5749999999999998E-3</v>
      </c>
      <c r="AP19" s="360">
        <f t="shared" si="27"/>
        <v>0.32669999999999993</v>
      </c>
      <c r="AQ19" s="360">
        <f t="shared" si="28"/>
        <v>0.31218000000000001</v>
      </c>
      <c r="AR19" s="360">
        <f t="shared" si="29"/>
        <v>0.29039999999999999</v>
      </c>
      <c r="AS19" s="360">
        <f t="shared" si="48"/>
        <v>0.32827499999999993</v>
      </c>
      <c r="AT19" s="360">
        <f t="shared" si="41"/>
        <v>0.8998465915518794</v>
      </c>
      <c r="AU19">
        <f t="shared" si="30"/>
        <v>6</v>
      </c>
      <c r="AV19" s="542">
        <f t="shared" si="42"/>
        <v>0.86958455095890896</v>
      </c>
      <c r="AW19" s="551">
        <f t="shared" si="31"/>
        <v>4.6319863940043735</v>
      </c>
      <c r="AX19" s="551">
        <f t="shared" si="32"/>
        <v>1.9403935446424949</v>
      </c>
      <c r="AY19" s="9"/>
      <c r="AZ19" s="4">
        <f t="shared" si="43"/>
        <v>86.958455095890898</v>
      </c>
      <c r="BA19" s="360">
        <f t="shared" si="33"/>
        <v>0.34357568530512139</v>
      </c>
      <c r="BB19" s="360">
        <f t="shared" si="44"/>
        <v>0.17355136680649652</v>
      </c>
      <c r="BC19" s="360">
        <f t="shared" si="45"/>
        <v>0.12189437878958877</v>
      </c>
      <c r="BD19" s="360">
        <f t="shared" si="46"/>
        <v>5.1062988016907764E-2</v>
      </c>
      <c r="BE19" s="360">
        <f t="shared" si="47"/>
        <v>3.3928001339205115E-2</v>
      </c>
      <c r="BK19" s="18"/>
      <c r="BL19" s="19"/>
    </row>
    <row r="20" spans="1:65" x14ac:dyDescent="0.25">
      <c r="A20" s="35" t="s">
        <v>82</v>
      </c>
      <c r="B20" s="39">
        <f>Ltc*1000000</f>
        <v>4000</v>
      </c>
      <c r="C20" s="441" t="s">
        <v>81</v>
      </c>
      <c r="D20" s="21" t="s">
        <v>97</v>
      </c>
      <c r="G20">
        <v>11</v>
      </c>
      <c r="H20" s="548">
        <f t="shared" si="0"/>
        <v>45</v>
      </c>
      <c r="I20" s="4">
        <f t="shared" si="1"/>
        <v>2</v>
      </c>
      <c r="J20" s="360">
        <f t="shared" si="34"/>
        <v>1.32</v>
      </c>
      <c r="K20" s="4">
        <f t="shared" si="2"/>
        <v>0.16296296296296298</v>
      </c>
      <c r="L20" s="4"/>
      <c r="M20" s="360">
        <f t="shared" si="3"/>
        <v>0.1112828629903528</v>
      </c>
      <c r="N20" s="4">
        <f t="shared" si="4"/>
        <v>9.1935923397592809</v>
      </c>
      <c r="O20" s="4">
        <f t="shared" si="35"/>
        <v>5.9167961698796407</v>
      </c>
      <c r="P20" s="4">
        <f t="shared" si="36"/>
        <v>-3.2767961698796402</v>
      </c>
      <c r="Q20" s="4">
        <f t="shared" si="5"/>
        <v>34.25819309858484</v>
      </c>
      <c r="R20" s="4">
        <f t="shared" si="6"/>
        <v>2.9641038571222014</v>
      </c>
      <c r="S20" s="360">
        <f t="shared" si="7"/>
        <v>4.3929558379033562E-2</v>
      </c>
      <c r="T20" s="360">
        <f t="shared" si="8"/>
        <v>0.3</v>
      </c>
      <c r="U20" s="360">
        <f t="shared" si="9"/>
        <v>0.34514251504011689</v>
      </c>
      <c r="V20" s="4">
        <f t="shared" si="37"/>
        <v>2.6539615060898512</v>
      </c>
      <c r="W20" s="360">
        <f t="shared" si="10"/>
        <v>1.4087023351613421E-2</v>
      </c>
      <c r="X20" s="360">
        <f t="shared" si="38"/>
        <v>1.4087023351613421E-2</v>
      </c>
      <c r="Y20" s="4">
        <f t="shared" si="11"/>
        <v>0.93215758757808476</v>
      </c>
      <c r="Z20" s="360">
        <f t="shared" si="12"/>
        <v>1.3033766521190922E-3</v>
      </c>
      <c r="AA20" s="541">
        <f t="shared" si="39"/>
        <v>1.3033766521190922E-3</v>
      </c>
      <c r="AB20" s="360">
        <f t="shared" si="13"/>
        <v>0.98879795977951901</v>
      </c>
      <c r="AC20" s="360">
        <f t="shared" si="14"/>
        <v>5.8663284315848361E-3</v>
      </c>
      <c r="AD20" s="360">
        <f t="shared" si="15"/>
        <v>2.3895237913788999E-2</v>
      </c>
      <c r="AE20" s="360">
        <f t="shared" si="16"/>
        <v>5.2022169564812565E-2</v>
      </c>
      <c r="AF20" s="360">
        <f t="shared" si="17"/>
        <v>7.0647725422605034E-3</v>
      </c>
      <c r="AG20" s="360">
        <f t="shared" si="18"/>
        <v>8.8927803767393968E-2</v>
      </c>
      <c r="AH20" s="360">
        <f t="shared" si="19"/>
        <v>2.7943139176804332</v>
      </c>
      <c r="AI20" s="360">
        <f t="shared" si="20"/>
        <v>1.9520475676356428E-2</v>
      </c>
      <c r="AJ20" s="360">
        <f t="shared" si="21"/>
        <v>1.2756612542260504E-2</v>
      </c>
      <c r="AK20" s="360">
        <f t="shared" si="22"/>
        <v>3.2403594935971759E-2</v>
      </c>
      <c r="AL20" s="360">
        <f t="shared" si="23"/>
        <v>5.6918400000000001E-3</v>
      </c>
      <c r="AM20" s="360">
        <f t="shared" si="24"/>
        <v>6.5339999999999995E-2</v>
      </c>
      <c r="AN20" s="360">
        <f t="shared" si="25"/>
        <v>3.5143646703226852E-2</v>
      </c>
      <c r="AO20" s="360">
        <f t="shared" si="26"/>
        <v>1.5749999999999998E-3</v>
      </c>
      <c r="AP20" s="360">
        <f t="shared" si="27"/>
        <v>0.32669999999999993</v>
      </c>
      <c r="AQ20" s="360">
        <f t="shared" si="28"/>
        <v>0.31218000000000001</v>
      </c>
      <c r="AR20" s="360">
        <f t="shared" si="29"/>
        <v>0.29039999999999999</v>
      </c>
      <c r="AS20" s="360">
        <f t="shared" si="48"/>
        <v>0.32827499999999993</v>
      </c>
      <c r="AT20" s="360">
        <f t="shared" si="41"/>
        <v>0.916314800450442</v>
      </c>
      <c r="AU20">
        <f t="shared" si="30"/>
        <v>6.6000000000000005</v>
      </c>
      <c r="AV20" s="542">
        <f t="shared" si="42"/>
        <v>0.8780898851661284</v>
      </c>
      <c r="AW20" s="551">
        <f t="shared" si="31"/>
        <v>5.0179837431609702</v>
      </c>
      <c r="AX20" s="551">
        <f t="shared" si="32"/>
        <v>2.0507002075669267</v>
      </c>
      <c r="AY20" s="9"/>
      <c r="AZ20" s="4">
        <f t="shared" si="43"/>
        <v>87.808988516612843</v>
      </c>
      <c r="BA20" s="360">
        <f t="shared" si="33"/>
        <v>0.34514251504011689</v>
      </c>
      <c r="BB20" s="360">
        <f t="shared" si="44"/>
        <v>0.18667139870336574</v>
      </c>
      <c r="BC20" s="360">
        <f t="shared" si="45"/>
        <v>0.13205220376739396</v>
      </c>
      <c r="BD20" s="360">
        <f t="shared" si="46"/>
        <v>5.3965794935971756E-2</v>
      </c>
      <c r="BE20" s="360">
        <f t="shared" si="47"/>
        <v>3.5143646703226852E-2</v>
      </c>
      <c r="BK20" s="18"/>
      <c r="BL20" s="19"/>
    </row>
    <row r="21" spans="1:65" x14ac:dyDescent="0.25">
      <c r="A21" s="25" t="s">
        <v>129</v>
      </c>
      <c r="B21" s="39">
        <f>ThetaCa</f>
        <v>20</v>
      </c>
      <c r="C21" s="441" t="s">
        <v>205</v>
      </c>
      <c r="D21" s="26" t="s">
        <v>130</v>
      </c>
      <c r="G21">
        <v>12</v>
      </c>
      <c r="H21" s="548">
        <f t="shared" si="0"/>
        <v>45</v>
      </c>
      <c r="I21" s="4">
        <f t="shared" si="1"/>
        <v>2</v>
      </c>
      <c r="J21" s="360">
        <f t="shared" si="34"/>
        <v>1.44</v>
      </c>
      <c r="K21" s="4">
        <f t="shared" si="2"/>
        <v>0.17777777777777776</v>
      </c>
      <c r="L21" s="4"/>
      <c r="M21" s="360">
        <f t="shared" si="3"/>
        <v>0.11129847569842194</v>
      </c>
      <c r="N21" s="4">
        <f t="shared" si="4"/>
        <v>9.1945786365326754</v>
      </c>
      <c r="O21" s="4">
        <f t="shared" si="35"/>
        <v>6.0372893182663372</v>
      </c>
      <c r="P21" s="4">
        <f t="shared" si="36"/>
        <v>-3.1572893182663377</v>
      </c>
      <c r="Q21" s="4">
        <f t="shared" si="5"/>
        <v>33.008774890395593</v>
      </c>
      <c r="R21" s="4">
        <f t="shared" si="6"/>
        <v>3.0197057845561579</v>
      </c>
      <c r="S21" s="360">
        <f t="shared" si="7"/>
        <v>4.5593115126409609E-2</v>
      </c>
      <c r="T21" s="360">
        <f t="shared" si="8"/>
        <v>0.3</v>
      </c>
      <c r="U21" s="360">
        <f t="shared" si="9"/>
        <v>0.34685826302389722</v>
      </c>
      <c r="V21" s="4">
        <f t="shared" si="37"/>
        <v>2.6542462254436612</v>
      </c>
      <c r="W21" s="360">
        <f t="shared" si="10"/>
        <v>1.4090046050563847E-2</v>
      </c>
      <c r="X21" s="360">
        <f t="shared" si="38"/>
        <v>1.4090046050563847E-2</v>
      </c>
      <c r="Y21" s="4">
        <f t="shared" si="11"/>
        <v>0.94970166996424388</v>
      </c>
      <c r="Z21" s="360">
        <f t="shared" si="12"/>
        <v>1.3528998928993103E-3</v>
      </c>
      <c r="AA21" s="541">
        <f t="shared" si="39"/>
        <v>1.3528998928993103E-3</v>
      </c>
      <c r="AB21" s="360">
        <f t="shared" si="13"/>
        <v>1.007416916267744</v>
      </c>
      <c r="AC21" s="360">
        <f t="shared" si="14"/>
        <v>6.0893330590944652E-3</v>
      </c>
      <c r="AD21" s="360">
        <f t="shared" si="15"/>
        <v>2.6067532269587995E-2</v>
      </c>
      <c r="AE21" s="360">
        <f t="shared" si="16"/>
        <v>5.5622440540439654E-2</v>
      </c>
      <c r="AF21" s="360">
        <f t="shared" si="17"/>
        <v>6.8071157701822234E-3</v>
      </c>
      <c r="AG21" s="360">
        <f t="shared" si="18"/>
        <v>9.4674049916247338E-2</v>
      </c>
      <c r="AH21" s="360">
        <f t="shared" si="19"/>
        <v>2.8467058474839848</v>
      </c>
      <c r="AI21" s="360">
        <f t="shared" si="20"/>
        <v>2.0259335455248779E-2</v>
      </c>
      <c r="AJ21" s="360">
        <f t="shared" si="21"/>
        <v>1.3016395770182222E-2</v>
      </c>
      <c r="AK21" s="360">
        <f t="shared" si="22"/>
        <v>3.341110859682999E-2</v>
      </c>
      <c r="AL21" s="360">
        <f t="shared" si="23"/>
        <v>6.2092799999999993E-3</v>
      </c>
      <c r="AM21" s="360">
        <f t="shared" si="24"/>
        <v>7.1279999999999996E-2</v>
      </c>
      <c r="AN21" s="360">
        <f t="shared" si="25"/>
        <v>3.6474492101127687E-2</v>
      </c>
      <c r="AO21" s="360">
        <f t="shared" si="26"/>
        <v>1.5749999999999998E-3</v>
      </c>
      <c r="AP21" s="360">
        <f t="shared" si="27"/>
        <v>0.32669999999999993</v>
      </c>
      <c r="AQ21" s="360">
        <f t="shared" si="28"/>
        <v>0.31218000000000001</v>
      </c>
      <c r="AR21" s="360">
        <f t="shared" si="29"/>
        <v>0.29039999999999999</v>
      </c>
      <c r="AS21" s="360">
        <f t="shared" si="48"/>
        <v>0.32827499999999993</v>
      </c>
      <c r="AT21" s="360">
        <f t="shared" si="41"/>
        <v>0.93262513958156545</v>
      </c>
      <c r="AU21">
        <f t="shared" si="30"/>
        <v>7.1999999999999993</v>
      </c>
      <c r="AV21" s="542">
        <f t="shared" si="42"/>
        <v>0.88532298937000431</v>
      </c>
      <c r="AW21" s="551">
        <f t="shared" si="31"/>
        <v>5.3853162968173987</v>
      </c>
      <c r="AX21" s="551">
        <f t="shared" si="32"/>
        <v>2.1634733266795396</v>
      </c>
      <c r="AY21" s="9"/>
      <c r="AZ21" s="4">
        <f t="shared" si="43"/>
        <v>88.532298937000434</v>
      </c>
      <c r="BA21" s="360">
        <f t="shared" si="33"/>
        <v>0.34685826302389722</v>
      </c>
      <c r="BB21" s="360">
        <f t="shared" si="44"/>
        <v>0.19936515851307735</v>
      </c>
      <c r="BC21" s="360">
        <f t="shared" si="45"/>
        <v>0.14171884991624734</v>
      </c>
      <c r="BD21" s="360">
        <f t="shared" si="46"/>
        <v>5.6933508596829989E-2</v>
      </c>
      <c r="BE21" s="360">
        <f t="shared" si="47"/>
        <v>3.6474492101127687E-2</v>
      </c>
      <c r="BK21" s="18"/>
      <c r="BL21" s="19"/>
    </row>
    <row r="22" spans="1:65" x14ac:dyDescent="0.25">
      <c r="A22" s="36" t="s">
        <v>57</v>
      </c>
      <c r="B22" s="39">
        <f>Cin*1000000</f>
        <v>1328</v>
      </c>
      <c r="C22" s="443" t="s">
        <v>467</v>
      </c>
      <c r="D22" s="440" t="s">
        <v>484</v>
      </c>
      <c r="G22">
        <v>13</v>
      </c>
      <c r="H22" s="548">
        <f t="shared" si="0"/>
        <v>45</v>
      </c>
      <c r="I22" s="4">
        <f t="shared" si="1"/>
        <v>2</v>
      </c>
      <c r="J22" s="360">
        <f t="shared" si="34"/>
        <v>1.56</v>
      </c>
      <c r="K22" s="4">
        <f t="shared" si="2"/>
        <v>0.19259259259259262</v>
      </c>
      <c r="L22" s="4"/>
      <c r="M22" s="360">
        <f t="shared" si="3"/>
        <v>0.11131408822331594</v>
      </c>
      <c r="N22" s="4">
        <f t="shared" si="4"/>
        <v>9.1955648330138953</v>
      </c>
      <c r="O22" s="4">
        <f t="shared" si="35"/>
        <v>6.1577824165069472</v>
      </c>
      <c r="P22" s="4">
        <f t="shared" si="36"/>
        <v>-3.0377824165069476</v>
      </c>
      <c r="Q22" s="4">
        <f t="shared" si="5"/>
        <v>31.759356157939862</v>
      </c>
      <c r="R22" s="4">
        <f t="shared" si="6"/>
        <v>3.0789826864047409</v>
      </c>
      <c r="S22" s="360">
        <f t="shared" si="7"/>
        <v>4.7400671915900777E-2</v>
      </c>
      <c r="T22" s="360">
        <f t="shared" si="8"/>
        <v>0.3</v>
      </c>
      <c r="U22" s="360">
        <f t="shared" si="9"/>
        <v>0.34872304846066848</v>
      </c>
      <c r="V22" s="4">
        <f t="shared" si="37"/>
        <v>2.6545309158456143</v>
      </c>
      <c r="W22" s="360">
        <f t="shared" si="10"/>
        <v>1.4093068766360311E-2</v>
      </c>
      <c r="X22" s="360">
        <f t="shared" si="38"/>
        <v>1.4093068766360311E-2</v>
      </c>
      <c r="Y22" s="4">
        <f t="shared" si="11"/>
        <v>0.96840374702544618</v>
      </c>
      <c r="Z22" s="360">
        <f t="shared" si="12"/>
        <v>1.4067087258793865E-3</v>
      </c>
      <c r="AA22" s="541">
        <f t="shared" si="39"/>
        <v>1.4067087258793865E-3</v>
      </c>
      <c r="AB22" s="360">
        <f t="shared" si="13"/>
        <v>1.0272645789173336</v>
      </c>
      <c r="AC22" s="360">
        <f t="shared" si="14"/>
        <v>6.3316350905892405E-3</v>
      </c>
      <c r="AD22" s="360">
        <f t="shared" si="15"/>
        <v>2.8239826625386995E-2</v>
      </c>
      <c r="AE22" s="360">
        <f t="shared" si="16"/>
        <v>5.8712032163043625E-2</v>
      </c>
      <c r="AF22" s="360">
        <f t="shared" si="17"/>
        <v>6.5494588899889785E-3</v>
      </c>
      <c r="AG22" s="360">
        <f t="shared" si="18"/>
        <v>9.992912541207756E-2</v>
      </c>
      <c r="AH22" s="360">
        <f t="shared" si="19"/>
        <v>2.9025612600050237</v>
      </c>
      <c r="AI22" s="360">
        <f t="shared" si="20"/>
        <v>2.1062154670204877E-2</v>
      </c>
      <c r="AJ22" s="360">
        <f t="shared" si="21"/>
        <v>1.3276178889988978E-2</v>
      </c>
      <c r="AK22" s="360">
        <f t="shared" si="22"/>
        <v>3.4483593315392504E-2</v>
      </c>
      <c r="AL22" s="360">
        <f t="shared" si="23"/>
        <v>6.7267200000000003E-3</v>
      </c>
      <c r="AM22" s="360">
        <f t="shared" si="24"/>
        <v>7.7219999999999983E-2</v>
      </c>
      <c r="AN22" s="360">
        <f t="shared" si="25"/>
        <v>3.7920537532720622E-2</v>
      </c>
      <c r="AO22" s="360">
        <f t="shared" si="26"/>
        <v>1.5749999999999998E-3</v>
      </c>
      <c r="AP22" s="360">
        <f t="shared" si="27"/>
        <v>0.32669999999999993</v>
      </c>
      <c r="AQ22" s="360">
        <f t="shared" si="28"/>
        <v>0.31218000000000001</v>
      </c>
      <c r="AR22" s="360">
        <f t="shared" si="29"/>
        <v>0.29039999999999999</v>
      </c>
      <c r="AS22" s="360">
        <f t="shared" si="48"/>
        <v>0.32827499999999993</v>
      </c>
      <c r="AT22" s="360">
        <f t="shared" si="41"/>
        <v>0.94877780221309871</v>
      </c>
      <c r="AU22">
        <f t="shared" si="30"/>
        <v>7.8000000000000007</v>
      </c>
      <c r="AV22" s="542">
        <f t="shared" si="42"/>
        <v>0.89155310334054938</v>
      </c>
      <c r="AW22" s="551">
        <f t="shared" si="31"/>
        <v>5.7339843656589462</v>
      </c>
      <c r="AX22" s="551">
        <f t="shared" si="32"/>
        <v>2.278715345984915</v>
      </c>
      <c r="AY22" s="9"/>
      <c r="AZ22" s="4">
        <f t="shared" si="43"/>
        <v>89.155310334054931</v>
      </c>
      <c r="BA22" s="360">
        <f t="shared" si="33"/>
        <v>0.34872304846066848</v>
      </c>
      <c r="BB22" s="360">
        <f t="shared" si="44"/>
        <v>0.21163271872747005</v>
      </c>
      <c r="BC22" s="360">
        <f t="shared" si="45"/>
        <v>0.15089432541207753</v>
      </c>
      <c r="BD22" s="360">
        <f t="shared" si="46"/>
        <v>5.9966193315392498E-2</v>
      </c>
      <c r="BE22" s="360">
        <f t="shared" si="47"/>
        <v>3.7920537532720622E-2</v>
      </c>
      <c r="BK22" s="18"/>
      <c r="BL22" s="19"/>
    </row>
    <row r="23" spans="1:65" x14ac:dyDescent="0.25">
      <c r="A23" s="36" t="s">
        <v>86</v>
      </c>
      <c r="B23" s="39">
        <f>RCinEsr*1000</f>
        <v>1.5</v>
      </c>
      <c r="C23" s="442" t="s">
        <v>466</v>
      </c>
      <c r="D23" s="440" t="s">
        <v>480</v>
      </c>
      <c r="G23">
        <v>14</v>
      </c>
      <c r="H23" s="548">
        <f t="shared" si="0"/>
        <v>45</v>
      </c>
      <c r="I23" s="4">
        <f t="shared" si="1"/>
        <v>2</v>
      </c>
      <c r="J23" s="360">
        <f t="shared" si="34"/>
        <v>1.68</v>
      </c>
      <c r="K23" s="4">
        <f t="shared" si="2"/>
        <v>0.20740740740740743</v>
      </c>
      <c r="L23" s="4"/>
      <c r="M23" s="360">
        <f t="shared" si="3"/>
        <v>0.11132970056503803</v>
      </c>
      <c r="N23" s="4">
        <f t="shared" si="4"/>
        <v>9.1965509292047098</v>
      </c>
      <c r="O23" s="4">
        <f t="shared" si="35"/>
        <v>6.2782754646023546</v>
      </c>
      <c r="P23" s="4">
        <f t="shared" si="36"/>
        <v>-2.9182754646023552</v>
      </c>
      <c r="Q23" s="4">
        <f t="shared" si="5"/>
        <v>30.509936901226926</v>
      </c>
      <c r="R23" s="4">
        <f t="shared" si="6"/>
        <v>3.141726555487391</v>
      </c>
      <c r="S23" s="360">
        <f t="shared" si="7"/>
        <v>4.9352228747273338E-2</v>
      </c>
      <c r="T23" s="360">
        <f t="shared" si="8"/>
        <v>0.3</v>
      </c>
      <c r="U23" s="360">
        <f t="shared" si="9"/>
        <v>0.35073700096340765</v>
      </c>
      <c r="V23" s="4">
        <f t="shared" si="37"/>
        <v>2.6548155772962212</v>
      </c>
      <c r="W23" s="360">
        <f t="shared" si="10"/>
        <v>1.4096091498909337E-2</v>
      </c>
      <c r="X23" s="360">
        <f t="shared" si="38"/>
        <v>1.4096091498909337E-2</v>
      </c>
      <c r="Y23" s="4">
        <f t="shared" si="11"/>
        <v>0.98819860452613373</v>
      </c>
      <c r="Z23" s="360">
        <f t="shared" si="12"/>
        <v>1.4648047229810972E-3</v>
      </c>
      <c r="AA23" s="541">
        <f t="shared" si="39"/>
        <v>1.4648047229810972E-3</v>
      </c>
      <c r="AB23" s="360">
        <f t="shared" si="13"/>
        <v>1.0482718014571606</v>
      </c>
      <c r="AC23" s="360">
        <f t="shared" si="14"/>
        <v>6.5932426183814442E-3</v>
      </c>
      <c r="AD23" s="360">
        <f t="shared" si="15"/>
        <v>3.0412120981185991E-2</v>
      </c>
      <c r="AE23" s="360">
        <f t="shared" si="16"/>
        <v>6.1290943789749322E-2</v>
      </c>
      <c r="AF23" s="360">
        <f t="shared" si="17"/>
        <v>6.2918019016826778E-3</v>
      </c>
      <c r="AG23" s="360">
        <f t="shared" si="18"/>
        <v>0.10469302980598601</v>
      </c>
      <c r="AH23" s="360">
        <f t="shared" si="19"/>
        <v>2.9616839770178767</v>
      </c>
      <c r="AI23" s="360">
        <f t="shared" si="20"/>
        <v>2.1928929949311064E-2</v>
      </c>
      <c r="AJ23" s="360">
        <f t="shared" si="21"/>
        <v>1.3535961901682676E-2</v>
      </c>
      <c r="AK23" s="360">
        <f t="shared" si="22"/>
        <v>3.5621118453249223E-2</v>
      </c>
      <c r="AL23" s="360">
        <f t="shared" si="23"/>
        <v>7.2441599999999995E-3</v>
      </c>
      <c r="AM23" s="360">
        <f t="shared" si="24"/>
        <v>8.3159999999999998E-2</v>
      </c>
      <c r="AN23" s="360">
        <f t="shared" si="25"/>
        <v>3.9481782997818668E-2</v>
      </c>
      <c r="AO23" s="360">
        <f t="shared" si="26"/>
        <v>1.5749999999999998E-3</v>
      </c>
      <c r="AP23" s="360">
        <f t="shared" si="27"/>
        <v>0.32669999999999993</v>
      </c>
      <c r="AQ23" s="360">
        <f t="shared" si="28"/>
        <v>0.31218000000000001</v>
      </c>
      <c r="AR23" s="360">
        <f t="shared" si="29"/>
        <v>0.29039999999999999</v>
      </c>
      <c r="AS23" s="360">
        <f t="shared" si="48"/>
        <v>0.32827499999999993</v>
      </c>
      <c r="AT23" s="360">
        <f t="shared" si="41"/>
        <v>0.96477298844235193</v>
      </c>
      <c r="AU23">
        <f t="shared" si="30"/>
        <v>8.4</v>
      </c>
      <c r="AV23" s="542">
        <f t="shared" si="42"/>
        <v>0.89697849700862609</v>
      </c>
      <c r="AW23" s="551">
        <f t="shared" si="31"/>
        <v>6.0639879326274677</v>
      </c>
      <c r="AX23" s="551">
        <f t="shared" si="32"/>
        <v>2.3964289012234707</v>
      </c>
      <c r="AY23" s="9"/>
      <c r="AZ23" s="4">
        <f t="shared" si="43"/>
        <v>89.697849700862605</v>
      </c>
      <c r="BA23" s="360">
        <f t="shared" si="33"/>
        <v>0.35073700096340765</v>
      </c>
      <c r="BB23" s="360">
        <f t="shared" si="44"/>
        <v>0.22347414825923523</v>
      </c>
      <c r="BC23" s="360">
        <f t="shared" si="45"/>
        <v>0.159578629805986</v>
      </c>
      <c r="BD23" s="360">
        <f t="shared" si="46"/>
        <v>6.3063918453249226E-2</v>
      </c>
      <c r="BE23" s="360">
        <f t="shared" si="47"/>
        <v>3.9481782997818668E-2</v>
      </c>
      <c r="BK23" s="18"/>
      <c r="BL23" s="19"/>
    </row>
    <row r="24" spans="1:65" x14ac:dyDescent="0.25">
      <c r="A24" s="35" t="s">
        <v>25</v>
      </c>
      <c r="B24" s="39">
        <f>Cout2*1000000</f>
        <v>120</v>
      </c>
      <c r="C24" s="441" t="s">
        <v>467</v>
      </c>
      <c r="D24" s="440" t="s">
        <v>483</v>
      </c>
      <c r="G24">
        <v>15</v>
      </c>
      <c r="H24" s="548">
        <f t="shared" si="0"/>
        <v>45</v>
      </c>
      <c r="I24" s="4">
        <f t="shared" si="1"/>
        <v>2</v>
      </c>
      <c r="J24" s="360">
        <f t="shared" si="34"/>
        <v>1.8</v>
      </c>
      <c r="K24" s="4">
        <f t="shared" si="2"/>
        <v>0.22222222222222221</v>
      </c>
      <c r="L24" s="4"/>
      <c r="M24" s="360">
        <f t="shared" si="3"/>
        <v>0.11134531272359144</v>
      </c>
      <c r="N24" s="4">
        <f t="shared" si="4"/>
        <v>9.1975369251068795</v>
      </c>
      <c r="O24" s="4">
        <f t="shared" si="35"/>
        <v>6.3987684625534396</v>
      </c>
      <c r="P24" s="4">
        <f t="shared" si="36"/>
        <v>-2.7987684625534399</v>
      </c>
      <c r="Q24" s="4">
        <f t="shared" si="5"/>
        <v>29.26051712026597</v>
      </c>
      <c r="R24" s="4">
        <f t="shared" si="6"/>
        <v>3.2077339546880617</v>
      </c>
      <c r="S24" s="360">
        <f t="shared" si="7"/>
        <v>5.1447785620293562E-2</v>
      </c>
      <c r="T24" s="360">
        <f t="shared" si="8"/>
        <v>0.3</v>
      </c>
      <c r="U24" s="360">
        <f t="shared" si="9"/>
        <v>0.35290026057641205</v>
      </c>
      <c r="V24" s="4">
        <f t="shared" si="37"/>
        <v>2.6551002097959899</v>
      </c>
      <c r="W24" s="360">
        <f t="shared" si="10"/>
        <v>1.409911424811742E-2</v>
      </c>
      <c r="X24" s="360">
        <f t="shared" si="38"/>
        <v>1.409911424811742E-2</v>
      </c>
      <c r="Y24" s="4">
        <f t="shared" si="11"/>
        <v>1.0090224496884739</v>
      </c>
      <c r="Z24" s="360">
        <f t="shared" si="12"/>
        <v>1.5271894559629933E-3</v>
      </c>
      <c r="AA24" s="541">
        <f t="shared" si="39"/>
        <v>1.5271894559629933E-3</v>
      </c>
      <c r="AB24" s="360">
        <f t="shared" si="13"/>
        <v>1.0703709430686053</v>
      </c>
      <c r="AC24" s="360">
        <f t="shared" si="14"/>
        <v>6.8741637345934529E-3</v>
      </c>
      <c r="AD24" s="360">
        <f t="shared" si="15"/>
        <v>3.2584415336984994E-2</v>
      </c>
      <c r="AE24" s="360">
        <f t="shared" si="16"/>
        <v>6.335917477769655E-2</v>
      </c>
      <c r="AF24" s="360">
        <f t="shared" si="17"/>
        <v>6.0341448052652156E-3</v>
      </c>
      <c r="AG24" s="360">
        <f t="shared" si="18"/>
        <v>0.1089657540165954</v>
      </c>
      <c r="AH24" s="360">
        <f t="shared" si="19"/>
        <v>3.0238821353176344</v>
      </c>
      <c r="AI24" s="360">
        <f t="shared" si="20"/>
        <v>2.2859657920732839E-2</v>
      </c>
      <c r="AJ24" s="360">
        <f t="shared" si="21"/>
        <v>1.3795744805265216E-2</v>
      </c>
      <c r="AK24" s="360">
        <f t="shared" si="22"/>
        <v>3.6823758430212128E-2</v>
      </c>
      <c r="AL24" s="360">
        <f t="shared" si="23"/>
        <v>7.7615999999999996E-3</v>
      </c>
      <c r="AM24" s="360">
        <f t="shared" si="24"/>
        <v>8.9099999999999999E-2</v>
      </c>
      <c r="AN24" s="360">
        <f t="shared" si="25"/>
        <v>4.115822849623485E-2</v>
      </c>
      <c r="AO24" s="360">
        <f t="shared" si="26"/>
        <v>1.5749999999999998E-3</v>
      </c>
      <c r="AP24" s="360">
        <f t="shared" si="27"/>
        <v>0.32669999999999993</v>
      </c>
      <c r="AQ24" s="360">
        <f t="shared" si="28"/>
        <v>0.31218000000000001</v>
      </c>
      <c r="AR24" s="360">
        <f t="shared" si="29"/>
        <v>0.29039999999999999</v>
      </c>
      <c r="AS24" s="360">
        <f t="shared" si="48"/>
        <v>0.32827499999999993</v>
      </c>
      <c r="AT24" s="360">
        <f t="shared" si="41"/>
        <v>0.98061090522353478</v>
      </c>
      <c r="AU24">
        <f t="shared" si="30"/>
        <v>9</v>
      </c>
      <c r="AV24" s="542">
        <f t="shared" si="42"/>
        <v>0.90174840853576255</v>
      </c>
      <c r="AW24" s="551">
        <f t="shared" si="31"/>
        <v>6.3753266526306254</v>
      </c>
      <c r="AX24" s="551">
        <f t="shared" si="32"/>
        <v>2.516616820348061</v>
      </c>
      <c r="AY24" s="9"/>
      <c r="AZ24" s="4">
        <f t="shared" si="43"/>
        <v>90.174840853576256</v>
      </c>
      <c r="BA24" s="360">
        <f t="shared" si="33"/>
        <v>0.35290026057641205</v>
      </c>
      <c r="BB24" s="360">
        <f t="shared" si="44"/>
        <v>0.23488951244680756</v>
      </c>
      <c r="BC24" s="360">
        <f t="shared" si="45"/>
        <v>0.16777175401659541</v>
      </c>
      <c r="BD24" s="360">
        <f t="shared" si="46"/>
        <v>6.6226758430212126E-2</v>
      </c>
      <c r="BE24" s="360">
        <f t="shared" si="47"/>
        <v>4.115822849623485E-2</v>
      </c>
      <c r="BK24" s="18"/>
      <c r="BL24" s="19"/>
    </row>
    <row r="25" spans="1:65" x14ac:dyDescent="0.25">
      <c r="A25" s="35" t="s">
        <v>85</v>
      </c>
      <c r="B25" s="40">
        <f>Cout2_ESR*1000</f>
        <v>2</v>
      </c>
      <c r="C25" s="442" t="s">
        <v>466</v>
      </c>
      <c r="D25" s="440" t="s">
        <v>482</v>
      </c>
      <c r="G25">
        <v>16</v>
      </c>
      <c r="H25" s="548">
        <f t="shared" si="0"/>
        <v>45</v>
      </c>
      <c r="I25" s="4">
        <f t="shared" si="1"/>
        <v>2</v>
      </c>
      <c r="J25" s="360">
        <f t="shared" si="34"/>
        <v>1.92</v>
      </c>
      <c r="K25" s="4">
        <f t="shared" si="2"/>
        <v>0.23703703703703702</v>
      </c>
      <c r="L25" s="4"/>
      <c r="M25" s="360">
        <f t="shared" si="3"/>
        <v>0.11136092469897937</v>
      </c>
      <c r="N25" s="4">
        <f t="shared" si="4"/>
        <v>9.1985228207221734</v>
      </c>
      <c r="O25" s="4">
        <f t="shared" si="35"/>
        <v>6.5192614103610866</v>
      </c>
      <c r="P25" s="4">
        <f t="shared" si="36"/>
        <v>-2.6792614103610868</v>
      </c>
      <c r="Q25" s="4">
        <f t="shared" si="5"/>
        <v>28.011096815066253</v>
      </c>
      <c r="R25" s="4">
        <f t="shared" si="6"/>
        <v>3.2768076701182127</v>
      </c>
      <c r="S25" s="360">
        <f t="shared" si="7"/>
        <v>5.3687342534727754E-2</v>
      </c>
      <c r="T25" s="360">
        <f t="shared" si="8"/>
        <v>0.3</v>
      </c>
      <c r="U25" s="360">
        <f t="shared" si="9"/>
        <v>0.3552129777996807</v>
      </c>
      <c r="V25" s="4">
        <f t="shared" si="37"/>
        <v>2.6553848133454312</v>
      </c>
      <c r="W25" s="360">
        <f t="shared" si="10"/>
        <v>1.4102137013891101E-2</v>
      </c>
      <c r="X25" s="360">
        <f t="shared" si="38"/>
        <v>1.4102137013891101E-2</v>
      </c>
      <c r="Y25" s="4">
        <f t="shared" si="11"/>
        <v>1.0308134316872952</v>
      </c>
      <c r="Z25" s="360">
        <f t="shared" si="12"/>
        <v>1.5938644964204071E-3</v>
      </c>
      <c r="AA25" s="541">
        <f t="shared" si="39"/>
        <v>1.5938644964204071E-3</v>
      </c>
      <c r="AB25" s="360">
        <f t="shared" si="13"/>
        <v>1.0934964205975373</v>
      </c>
      <c r="AC25" s="360">
        <f t="shared" si="14"/>
        <v>7.174406531157757E-3</v>
      </c>
      <c r="AD25" s="360">
        <f t="shared" si="15"/>
        <v>3.4756709692783987E-2</v>
      </c>
      <c r="AE25" s="360">
        <f t="shared" si="16"/>
        <v>6.4916724484039831E-2</v>
      </c>
      <c r="AF25" s="360">
        <f t="shared" si="17"/>
        <v>5.7764876007385026E-3</v>
      </c>
      <c r="AG25" s="360">
        <f t="shared" si="18"/>
        <v>0.11274728032201557</v>
      </c>
      <c r="AH25" s="360">
        <f t="shared" si="19"/>
        <v>3.0889697449288693</v>
      </c>
      <c r="AI25" s="360">
        <f t="shared" si="20"/>
        <v>2.3854335212714812E-2</v>
      </c>
      <c r="AJ25" s="360">
        <f t="shared" si="21"/>
        <v>1.4055527600738502E-2</v>
      </c>
      <c r="AK25" s="360">
        <f t="shared" si="22"/>
        <v>3.8091592737844265E-2</v>
      </c>
      <c r="AL25" s="360">
        <f t="shared" si="23"/>
        <v>8.2790399999999997E-3</v>
      </c>
      <c r="AM25" s="360">
        <f t="shared" si="24"/>
        <v>9.5039999999999986E-2</v>
      </c>
      <c r="AN25" s="360">
        <f t="shared" si="25"/>
        <v>4.2949874027782199E-2</v>
      </c>
      <c r="AO25" s="360">
        <f t="shared" si="26"/>
        <v>1.5749999999999998E-3</v>
      </c>
      <c r="AP25" s="360">
        <f t="shared" si="27"/>
        <v>0.32669999999999993</v>
      </c>
      <c r="AQ25" s="360">
        <f t="shared" si="28"/>
        <v>0.31218000000000001</v>
      </c>
      <c r="AR25" s="360">
        <f t="shared" si="29"/>
        <v>0.29039999999999999</v>
      </c>
      <c r="AS25" s="360">
        <f t="shared" si="48"/>
        <v>0.32827499999999993</v>
      </c>
      <c r="AT25" s="360">
        <f t="shared" si="41"/>
        <v>0.99629176639763417</v>
      </c>
      <c r="AU25">
        <f t="shared" si="30"/>
        <v>9.6</v>
      </c>
      <c r="AV25" s="542">
        <f t="shared" si="42"/>
        <v>0.90597731844672125</v>
      </c>
      <c r="AW25" s="551">
        <f t="shared" si="31"/>
        <v>6.6679998522365906</v>
      </c>
      <c r="AX25" s="551">
        <f t="shared" si="32"/>
        <v>2.6392821240380817</v>
      </c>
      <c r="AY25" s="9"/>
      <c r="AZ25" s="4">
        <f t="shared" si="43"/>
        <v>90.597731844672126</v>
      </c>
      <c r="BA25" s="360">
        <f t="shared" si="33"/>
        <v>0.3552129777996807</v>
      </c>
      <c r="BB25" s="360">
        <f t="shared" si="44"/>
        <v>0.24587887305985981</v>
      </c>
      <c r="BC25" s="360">
        <f t="shared" si="45"/>
        <v>0.17547368032201555</v>
      </c>
      <c r="BD25" s="360">
        <f t="shared" si="46"/>
        <v>6.9454792737844259E-2</v>
      </c>
      <c r="BE25" s="360">
        <f t="shared" si="47"/>
        <v>4.2949874027782199E-2</v>
      </c>
    </row>
    <row r="26" spans="1:65" ht="13" x14ac:dyDescent="0.3">
      <c r="A26" s="24" t="s">
        <v>112</v>
      </c>
      <c r="B26" s="37" t="s">
        <v>111</v>
      </c>
      <c r="C26" s="24" t="s">
        <v>76</v>
      </c>
      <c r="D26" s="17" t="s">
        <v>107</v>
      </c>
      <c r="G26">
        <v>17</v>
      </c>
      <c r="H26" s="548">
        <f t="shared" si="0"/>
        <v>45</v>
      </c>
      <c r="I26" s="4">
        <f t="shared" si="1"/>
        <v>2</v>
      </c>
      <c r="J26" s="360">
        <f t="shared" si="34"/>
        <v>2.04</v>
      </c>
      <c r="K26" s="4">
        <f t="shared" si="2"/>
        <v>0.25185185185185183</v>
      </c>
      <c r="L26" s="4"/>
      <c r="M26" s="360">
        <f t="shared" si="3"/>
        <v>0.11137653649120506</v>
      </c>
      <c r="N26" s="4">
        <f t="shared" si="4"/>
        <v>9.1995086160523538</v>
      </c>
      <c r="O26" s="4">
        <f t="shared" si="35"/>
        <v>6.6397543080261769</v>
      </c>
      <c r="P26" s="4">
        <f t="shared" si="36"/>
        <v>-2.5597543080261769</v>
      </c>
      <c r="Q26" s="4">
        <f t="shared" si="5"/>
        <v>26.76167598563698</v>
      </c>
      <c r="R26" s="4">
        <f t="shared" si="6"/>
        <v>3.3487579634945939</v>
      </c>
      <c r="S26" s="360">
        <f t="shared" si="7"/>
        <v>5.6070899490342302E-2</v>
      </c>
      <c r="T26" s="360">
        <f t="shared" si="8"/>
        <v>0.3</v>
      </c>
      <c r="U26" s="360">
        <f t="shared" si="9"/>
        <v>0.35767531361513355</v>
      </c>
      <c r="V26" s="4">
        <f t="shared" si="37"/>
        <v>2.6556693879450544</v>
      </c>
      <c r="W26" s="360">
        <f t="shared" si="10"/>
        <v>1.4105159796136919E-2</v>
      </c>
      <c r="X26" s="360">
        <f t="shared" si="38"/>
        <v>1.4105159796136919E-2</v>
      </c>
      <c r="Y26" s="4">
        <f t="shared" si="11"/>
        <v>1.0535120362500112</v>
      </c>
      <c r="Z26" s="360">
        <f t="shared" si="12"/>
        <v>1.6648314157854676E-3</v>
      </c>
      <c r="AA26" s="541">
        <f t="shared" si="39"/>
        <v>1.6648314157854676E-3</v>
      </c>
      <c r="AB26" s="360">
        <f t="shared" si="13"/>
        <v>1.1175851272436297</v>
      </c>
      <c r="AC26" s="360">
        <f t="shared" si="14"/>
        <v>7.493979099816959E-3</v>
      </c>
      <c r="AD26" s="360">
        <f t="shared" si="15"/>
        <v>3.6929004048582993E-2</v>
      </c>
      <c r="AE26" s="360">
        <f t="shared" si="16"/>
        <v>6.5963592265948556E-2</v>
      </c>
      <c r="AF26" s="360">
        <f t="shared" si="17"/>
        <v>5.5188302881044368E-3</v>
      </c>
      <c r="AG26" s="360">
        <f t="shared" si="18"/>
        <v>0.11603758235142703</v>
      </c>
      <c r="AH26" s="360">
        <f t="shared" si="19"/>
        <v>3.1567678694247223</v>
      </c>
      <c r="AI26" s="360">
        <f t="shared" si="20"/>
        <v>2.4912958453580752E-2</v>
      </c>
      <c r="AJ26" s="360">
        <f t="shared" si="21"/>
        <v>1.4315310288104437E-2</v>
      </c>
      <c r="AK26" s="360">
        <f t="shared" si="22"/>
        <v>3.942470595398042E-2</v>
      </c>
      <c r="AL26" s="360">
        <f t="shared" si="23"/>
        <v>8.7964800000000006E-3</v>
      </c>
      <c r="AM26" s="360">
        <f t="shared" si="24"/>
        <v>0.10098</v>
      </c>
      <c r="AN26" s="360">
        <f t="shared" si="25"/>
        <v>4.4856719592273844E-2</v>
      </c>
      <c r="AO26" s="360">
        <f t="shared" si="26"/>
        <v>1.5749999999999998E-3</v>
      </c>
      <c r="AP26" s="360">
        <f t="shared" si="27"/>
        <v>0.32669999999999993</v>
      </c>
      <c r="AQ26" s="360">
        <f t="shared" si="28"/>
        <v>0.31218000000000001</v>
      </c>
      <c r="AR26" s="360">
        <f t="shared" si="29"/>
        <v>0.29039999999999999</v>
      </c>
      <c r="AS26" s="360">
        <f t="shared" si="48"/>
        <v>0.32827499999999993</v>
      </c>
      <c r="AT26" s="360">
        <f t="shared" si="41"/>
        <v>1.0118157927247371</v>
      </c>
      <c r="AU26">
        <f t="shared" si="30"/>
        <v>10.199999999999999</v>
      </c>
      <c r="AV26" s="542">
        <f t="shared" si="42"/>
        <v>0.90975451154118159</v>
      </c>
      <c r="AW26" s="551">
        <f t="shared" si="31"/>
        <v>6.9420065293542272</v>
      </c>
      <c r="AX26" s="551">
        <f t="shared" si="32"/>
        <v>2.7644280262512564</v>
      </c>
      <c r="AY26" s="9"/>
      <c r="AZ26" s="4">
        <f t="shared" si="43"/>
        <v>90.975451154118161</v>
      </c>
      <c r="BA26" s="360">
        <f t="shared" si="33"/>
        <v>0.35767531361513355</v>
      </c>
      <c r="BB26" s="360">
        <f t="shared" si="44"/>
        <v>0.25644228830540744</v>
      </c>
      <c r="BC26" s="360">
        <f t="shared" si="45"/>
        <v>0.18268438235142703</v>
      </c>
      <c r="BD26" s="360">
        <f t="shared" si="46"/>
        <v>7.274810595398043E-2</v>
      </c>
      <c r="BE26" s="360">
        <f t="shared" si="47"/>
        <v>4.4856719592273844E-2</v>
      </c>
    </row>
    <row r="27" spans="1:65" x14ac:dyDescent="0.25">
      <c r="A27" s="22" t="s">
        <v>61</v>
      </c>
      <c r="B27" s="5">
        <f>RdsonDRT</f>
        <v>1</v>
      </c>
      <c r="C27" s="444" t="s">
        <v>116</v>
      </c>
      <c r="D27" s="440" t="s">
        <v>507</v>
      </c>
      <c r="G27">
        <v>18</v>
      </c>
      <c r="H27" s="548">
        <f t="shared" si="0"/>
        <v>45</v>
      </c>
      <c r="I27" s="4">
        <f t="shared" si="1"/>
        <v>2</v>
      </c>
      <c r="J27" s="360">
        <f t="shared" si="34"/>
        <v>2.16</v>
      </c>
      <c r="K27" s="4">
        <f t="shared" si="2"/>
        <v>0.26666666666666666</v>
      </c>
      <c r="L27" s="4"/>
      <c r="M27" s="360">
        <f t="shared" si="3"/>
        <v>0.1113921481002717</v>
      </c>
      <c r="N27" s="4">
        <f t="shared" si="4"/>
        <v>9.2004943110991828</v>
      </c>
      <c r="O27" s="4">
        <f t="shared" si="35"/>
        <v>6.7602471555495915</v>
      </c>
      <c r="P27" s="4">
        <f t="shared" si="36"/>
        <v>-2.4402471555495913</v>
      </c>
      <c r="Q27" s="4">
        <f t="shared" si="5"/>
        <v>25.512254631987364</v>
      </c>
      <c r="R27" s="4">
        <f t="shared" si="6"/>
        <v>3.423403466928884</v>
      </c>
      <c r="S27" s="360">
        <f t="shared" si="7"/>
        <v>5.8598456486903511E-2</v>
      </c>
      <c r="T27" s="360">
        <f t="shared" si="8"/>
        <v>0.3</v>
      </c>
      <c r="U27" s="360">
        <f t="shared" si="9"/>
        <v>0.36028743951467779</v>
      </c>
      <c r="V27" s="4">
        <f t="shared" si="37"/>
        <v>2.655953933595367</v>
      </c>
      <c r="W27" s="360">
        <f t="shared" si="10"/>
        <v>1.4108182594761405E-2</v>
      </c>
      <c r="X27" s="360">
        <f t="shared" si="38"/>
        <v>1.4108182594761405E-2</v>
      </c>
      <c r="Y27" s="4">
        <f t="shared" si="11"/>
        <v>1.0770613678978851</v>
      </c>
      <c r="Z27" s="360">
        <f t="shared" si="12"/>
        <v>1.7400917853270951E-3</v>
      </c>
      <c r="AA27" s="541">
        <f t="shared" si="39"/>
        <v>1.7400917853270951E-3</v>
      </c>
      <c r="AB27" s="360">
        <f t="shared" si="13"/>
        <v>1.1425767320785492</v>
      </c>
      <c r="AC27" s="360">
        <f t="shared" si="14"/>
        <v>7.8328895321237799E-3</v>
      </c>
      <c r="AD27" s="360">
        <f t="shared" si="15"/>
        <v>3.9101298404381993E-2</v>
      </c>
      <c r="AE27" s="360">
        <f t="shared" si="16"/>
        <v>6.6499777480606995E-2</v>
      </c>
      <c r="AF27" s="360">
        <f t="shared" si="17"/>
        <v>5.2611728673649183E-3</v>
      </c>
      <c r="AG27" s="360">
        <f t="shared" si="18"/>
        <v>0.11883662507627983</v>
      </c>
      <c r="AH27" s="360">
        <f t="shared" si="19"/>
        <v>3.2271054690997327</v>
      </c>
      <c r="AI27" s="360">
        <f t="shared" si="20"/>
        <v>2.6035524271733515E-2</v>
      </c>
      <c r="AJ27" s="360">
        <f t="shared" si="21"/>
        <v>1.4575092867364919E-2</v>
      </c>
      <c r="AK27" s="360">
        <f t="shared" si="22"/>
        <v>4.0823187758244298E-2</v>
      </c>
      <c r="AL27" s="360">
        <f t="shared" si="23"/>
        <v>9.3139199999999998E-3</v>
      </c>
      <c r="AM27" s="360">
        <f t="shared" si="24"/>
        <v>0.10691999999999999</v>
      </c>
      <c r="AN27" s="360">
        <f t="shared" si="25"/>
        <v>4.687876518952281E-2</v>
      </c>
      <c r="AO27" s="360">
        <f t="shared" si="26"/>
        <v>1.5749999999999998E-3</v>
      </c>
      <c r="AP27" s="360">
        <f t="shared" si="27"/>
        <v>0.32669999999999993</v>
      </c>
      <c r="AQ27" s="360">
        <f t="shared" si="28"/>
        <v>0.31218000000000001</v>
      </c>
      <c r="AR27" s="360">
        <f t="shared" si="29"/>
        <v>0.29039999999999999</v>
      </c>
      <c r="AS27" s="360">
        <f t="shared" si="48"/>
        <v>0.32827499999999993</v>
      </c>
      <c r="AT27" s="360">
        <f t="shared" si="41"/>
        <v>1.0271832119188131</v>
      </c>
      <c r="AU27">
        <f t="shared" si="30"/>
        <v>10.8</v>
      </c>
      <c r="AV27" s="542">
        <f t="shared" si="42"/>
        <v>0.91315064681811364</v>
      </c>
      <c r="AW27" s="551">
        <f t="shared" si="31"/>
        <v>7.1973453528986342</v>
      </c>
      <c r="AX27" s="551">
        <f t="shared" si="32"/>
        <v>2.8920579348132831</v>
      </c>
      <c r="AY27" s="9"/>
      <c r="AZ27" s="4">
        <f t="shared" si="43"/>
        <v>91.315064681811364</v>
      </c>
      <c r="BA27" s="360">
        <f t="shared" si="33"/>
        <v>0.36028743951467779</v>
      </c>
      <c r="BB27" s="360">
        <f t="shared" si="44"/>
        <v>0.26657981283452414</v>
      </c>
      <c r="BC27" s="360">
        <f t="shared" si="45"/>
        <v>0.18940382507627984</v>
      </c>
      <c r="BD27" s="360">
        <f t="shared" si="46"/>
        <v>7.6106787758244296E-2</v>
      </c>
      <c r="BE27" s="360">
        <f t="shared" si="47"/>
        <v>4.687876518952281E-2</v>
      </c>
    </row>
    <row r="28" spans="1:65" x14ac:dyDescent="0.25">
      <c r="A28" s="22" t="s">
        <v>126</v>
      </c>
      <c r="B28" s="5">
        <f>RdsonDRT2</f>
        <v>0.5</v>
      </c>
      <c r="C28" s="444" t="s">
        <v>116</v>
      </c>
      <c r="D28" s="440" t="s">
        <v>506</v>
      </c>
      <c r="G28">
        <v>19</v>
      </c>
      <c r="H28" s="548">
        <f t="shared" si="0"/>
        <v>45</v>
      </c>
      <c r="I28" s="4">
        <f t="shared" si="1"/>
        <v>2</v>
      </c>
      <c r="J28" s="360">
        <f t="shared" si="34"/>
        <v>2.2799999999999998</v>
      </c>
      <c r="K28" s="4">
        <f t="shared" si="2"/>
        <v>0.28148148148148144</v>
      </c>
      <c r="L28" s="4"/>
      <c r="M28" s="360">
        <f t="shared" si="3"/>
        <v>0.11140775952618259</v>
      </c>
      <c r="N28" s="4">
        <f t="shared" si="4"/>
        <v>9.201479905864435</v>
      </c>
      <c r="O28" s="4">
        <f t="shared" si="35"/>
        <v>6.8807399529322169</v>
      </c>
      <c r="P28" s="4">
        <f t="shared" si="36"/>
        <v>-2.3207399529322177</v>
      </c>
      <c r="Q28" s="4">
        <f t="shared" si="5"/>
        <v>24.262832754126688</v>
      </c>
      <c r="R28" s="4">
        <f t="shared" si="6"/>
        <v>3.5005717682738031</v>
      </c>
      <c r="S28" s="360">
        <f t="shared" si="7"/>
        <v>6.1270013524177901E-2</v>
      </c>
      <c r="T28" s="360">
        <f t="shared" si="8"/>
        <v>0.3</v>
      </c>
      <c r="U28" s="360">
        <f t="shared" si="9"/>
        <v>0.36304953753013131</v>
      </c>
      <c r="V28" s="4">
        <f t="shared" si="37"/>
        <v>2.6562384502968821</v>
      </c>
      <c r="W28" s="360">
        <f t="shared" si="10"/>
        <v>1.4111205409671163E-2</v>
      </c>
      <c r="X28" s="360">
        <f t="shared" si="38"/>
        <v>1.4111205409671163E-2</v>
      </c>
      <c r="Y28" s="4">
        <f t="shared" si="11"/>
        <v>1.1014073349283722</v>
      </c>
      <c r="Z28" s="360">
        <f t="shared" si="12"/>
        <v>1.8196471761510291E-3</v>
      </c>
      <c r="AA28" s="541">
        <f t="shared" si="39"/>
        <v>1.8196471761510291E-3</v>
      </c>
      <c r="AB28" s="360">
        <f t="shared" si="13"/>
        <v>1.168413876404039</v>
      </c>
      <c r="AC28" s="360">
        <f t="shared" si="14"/>
        <v>8.1911459194410775E-3</v>
      </c>
      <c r="AD28" s="360">
        <f t="shared" si="15"/>
        <v>4.1273592760180992E-2</v>
      </c>
      <c r="AE28" s="360">
        <f t="shared" si="16"/>
        <v>6.6525279485214056E-2</v>
      </c>
      <c r="AF28" s="360">
        <f t="shared" si="17"/>
        <v>5.0035153385218608E-3</v>
      </c>
      <c r="AG28" s="360">
        <f t="shared" si="18"/>
        <v>0.12114436480110738</v>
      </c>
      <c r="AH28" s="360">
        <f t="shared" si="19"/>
        <v>3.299819952400747</v>
      </c>
      <c r="AI28" s="360">
        <f t="shared" si="20"/>
        <v>2.7222029295655172E-2</v>
      </c>
      <c r="AJ28" s="360">
        <f t="shared" si="21"/>
        <v>1.4834875338521859E-2</v>
      </c>
      <c r="AK28" s="360">
        <f t="shared" si="22"/>
        <v>4.2287132948568069E-2</v>
      </c>
      <c r="AL28" s="360">
        <f t="shared" si="23"/>
        <v>9.8313599999999991E-3</v>
      </c>
      <c r="AM28" s="360">
        <f t="shared" si="24"/>
        <v>0.11285999999999997</v>
      </c>
      <c r="AN28" s="360">
        <f t="shared" si="25"/>
        <v>4.9016010819342322E-2</v>
      </c>
      <c r="AO28" s="360">
        <f t="shared" si="26"/>
        <v>1.5749999999999998E-3</v>
      </c>
      <c r="AP28" s="360">
        <f t="shared" si="27"/>
        <v>0.32669999999999993</v>
      </c>
      <c r="AQ28" s="360">
        <f t="shared" si="28"/>
        <v>0.31218000000000001</v>
      </c>
      <c r="AR28" s="360">
        <f t="shared" si="29"/>
        <v>0.29039999999999999</v>
      </c>
      <c r="AS28" s="360">
        <f t="shared" si="48"/>
        <v>0.32827499999999993</v>
      </c>
      <c r="AT28" s="360">
        <f t="shared" si="41"/>
        <v>1.042394258684971</v>
      </c>
      <c r="AU28">
        <f t="shared" si="30"/>
        <v>11.399999999999999</v>
      </c>
      <c r="AV28" s="542">
        <f t="shared" si="42"/>
        <v>0.91622237352289604</v>
      </c>
      <c r="AW28" s="551">
        <f t="shared" si="31"/>
        <v>7.4340146624420802</v>
      </c>
      <c r="AX28" s="551">
        <f t="shared" si="32"/>
        <v>3.0221754520455861</v>
      </c>
      <c r="AY28" s="9"/>
      <c r="AZ28" s="4">
        <f t="shared" si="43"/>
        <v>91.622237352289602</v>
      </c>
      <c r="BA28" s="360">
        <f t="shared" si="33"/>
        <v>0.36304953753013131</v>
      </c>
      <c r="BB28" s="360">
        <f t="shared" si="44"/>
        <v>0.27629149774967543</v>
      </c>
      <c r="BC28" s="360">
        <f t="shared" si="45"/>
        <v>0.19563196480110737</v>
      </c>
      <c r="BD28" s="360">
        <f t="shared" si="46"/>
        <v>7.9530932948568056E-2</v>
      </c>
      <c r="BE28" s="360">
        <f t="shared" si="47"/>
        <v>4.9016010819342322E-2</v>
      </c>
    </row>
    <row r="29" spans="1:65" ht="13" x14ac:dyDescent="0.3">
      <c r="A29" s="24" t="s">
        <v>113</v>
      </c>
      <c r="B29" s="15" t="s">
        <v>111</v>
      </c>
      <c r="C29" s="24" t="s">
        <v>76</v>
      </c>
      <c r="D29" s="17" t="s">
        <v>107</v>
      </c>
      <c r="G29">
        <v>20</v>
      </c>
      <c r="H29" s="548">
        <f t="shared" si="0"/>
        <v>45</v>
      </c>
      <c r="I29" s="4">
        <f t="shared" si="1"/>
        <v>2</v>
      </c>
      <c r="J29" s="360">
        <f t="shared" si="34"/>
        <v>2.4</v>
      </c>
      <c r="K29" s="4">
        <f t="shared" si="2"/>
        <v>0.29629629629629628</v>
      </c>
      <c r="L29" s="4"/>
      <c r="M29" s="360">
        <f t="shared" si="3"/>
        <v>0.11142337076894089</v>
      </c>
      <c r="N29" s="4">
        <f t="shared" si="4"/>
        <v>9.2024654003498654</v>
      </c>
      <c r="O29" s="4">
        <f t="shared" si="35"/>
        <v>7.001232700174933</v>
      </c>
      <c r="P29" s="4">
        <f t="shared" si="36"/>
        <v>-2.2012327001749328</v>
      </c>
      <c r="Q29" s="4">
        <f t="shared" si="5"/>
        <v>23.01341035206412</v>
      </c>
      <c r="R29" s="4">
        <f t="shared" si="6"/>
        <v>3.5800997360948434</v>
      </c>
      <c r="S29" s="360">
        <f t="shared" si="7"/>
        <v>6.4085570601931846E-2</v>
      </c>
      <c r="T29" s="360">
        <f t="shared" si="8"/>
        <v>0.3</v>
      </c>
      <c r="U29" s="360">
        <f t="shared" si="9"/>
        <v>0.36596180026501129</v>
      </c>
      <c r="V29" s="4">
        <f t="shared" si="37"/>
        <v>2.6565229380501063</v>
      </c>
      <c r="W29" s="360">
        <f t="shared" si="10"/>
        <v>1.4114228240772738E-2</v>
      </c>
      <c r="X29" s="360">
        <f t="shared" si="38"/>
        <v>1.4114228240772738E-2</v>
      </c>
      <c r="Y29" s="4">
        <f t="shared" si="11"/>
        <v>1.126498752536613</v>
      </c>
      <c r="Z29" s="360">
        <f t="shared" si="12"/>
        <v>1.9034991591998182E-3</v>
      </c>
      <c r="AA29" s="541">
        <f t="shared" si="39"/>
        <v>1.9034991591998182E-3</v>
      </c>
      <c r="AB29" s="360">
        <f t="shared" si="13"/>
        <v>1.1950422832785617</v>
      </c>
      <c r="AC29" s="360">
        <f t="shared" si="14"/>
        <v>8.5687563529418288E-3</v>
      </c>
      <c r="AD29" s="360">
        <f t="shared" si="15"/>
        <v>4.3445887115979992E-2</v>
      </c>
      <c r="AE29" s="360">
        <f t="shared" si="16"/>
        <v>6.6040097636983611E-2</v>
      </c>
      <c r="AF29" s="360">
        <f t="shared" si="17"/>
        <v>4.7458577015771549E-3</v>
      </c>
      <c r="AG29" s="360">
        <f t="shared" si="18"/>
        <v>0.12296074915395484</v>
      </c>
      <c r="AH29" s="360">
        <f t="shared" si="19"/>
        <v>3.3747574818885471</v>
      </c>
      <c r="AI29" s="360">
        <f t="shared" si="20"/>
        <v>2.8472470153906821E-2</v>
      </c>
      <c r="AJ29" s="360">
        <f t="shared" si="21"/>
        <v>1.5094657701577155E-2</v>
      </c>
      <c r="AK29" s="360">
        <f t="shared" si="22"/>
        <v>4.3816641458719538E-2</v>
      </c>
      <c r="AL29" s="360">
        <f t="shared" si="23"/>
        <v>1.03488E-2</v>
      </c>
      <c r="AM29" s="360">
        <f t="shared" si="24"/>
        <v>0.1188</v>
      </c>
      <c r="AN29" s="360">
        <f t="shared" si="25"/>
        <v>5.1268456481545474E-2</v>
      </c>
      <c r="AO29" s="360">
        <f t="shared" si="26"/>
        <v>1.5749999999999998E-3</v>
      </c>
      <c r="AP29" s="360">
        <f t="shared" si="27"/>
        <v>0.32669999999999993</v>
      </c>
      <c r="AQ29" s="360">
        <f t="shared" si="28"/>
        <v>0.31218000000000001</v>
      </c>
      <c r="AR29" s="360">
        <f t="shared" si="29"/>
        <v>0.29039999999999999</v>
      </c>
      <c r="AS29" s="360">
        <f t="shared" si="48"/>
        <v>0.32827499999999993</v>
      </c>
      <c r="AT29" s="360">
        <f t="shared" si="41"/>
        <v>1.0574491747592039</v>
      </c>
      <c r="AU29">
        <f t="shared" si="30"/>
        <v>12</v>
      </c>
      <c r="AV29" s="542">
        <f t="shared" si="42"/>
        <v>0.91901563922582108</v>
      </c>
      <c r="AW29" s="551">
        <f t="shared" si="31"/>
        <v>7.6520124678502848</v>
      </c>
      <c r="AX29" s="551">
        <f t="shared" si="32"/>
        <v>3.1547843754313427</v>
      </c>
      <c r="AY29" s="9"/>
      <c r="AZ29" s="4">
        <f t="shared" si="43"/>
        <v>91.901563922582113</v>
      </c>
      <c r="BA29" s="360">
        <f t="shared" si="33"/>
        <v>0.36596180026501129</v>
      </c>
      <c r="BB29" s="360">
        <f t="shared" si="44"/>
        <v>0.2855773906126744</v>
      </c>
      <c r="BC29" s="360">
        <f t="shared" si="45"/>
        <v>0.20136874915395486</v>
      </c>
      <c r="BD29" s="360">
        <f t="shared" si="46"/>
        <v>8.3020641458719541E-2</v>
      </c>
      <c r="BE29" s="360">
        <f t="shared" si="47"/>
        <v>5.1268456481545474E-2</v>
      </c>
    </row>
    <row r="30" spans="1:65" x14ac:dyDescent="0.25">
      <c r="A30" s="22" t="s">
        <v>60</v>
      </c>
      <c r="B30" s="27">
        <f>RdsonDRB</f>
        <v>1</v>
      </c>
      <c r="C30" s="444" t="s">
        <v>116</v>
      </c>
      <c r="D30" s="440" t="s">
        <v>505</v>
      </c>
      <c r="G30">
        <v>21</v>
      </c>
      <c r="H30" s="548">
        <f t="shared" si="0"/>
        <v>45</v>
      </c>
      <c r="I30" s="4">
        <f t="shared" si="1"/>
        <v>2</v>
      </c>
      <c r="J30" s="360">
        <f t="shared" si="34"/>
        <v>2.52</v>
      </c>
      <c r="K30" s="4">
        <f t="shared" si="2"/>
        <v>0.31111111111111112</v>
      </c>
      <c r="L30" s="4"/>
      <c r="M30" s="360">
        <f t="shared" si="3"/>
        <v>0.11143898182854983</v>
      </c>
      <c r="N30" s="4">
        <f t="shared" si="4"/>
        <v>9.2034507945572415</v>
      </c>
      <c r="O30" s="4">
        <f t="shared" si="35"/>
        <v>7.1217253972786203</v>
      </c>
      <c r="P30" s="4">
        <f t="shared" si="36"/>
        <v>-2.0817253972786207</v>
      </c>
      <c r="Q30" s="4">
        <f t="shared" si="5"/>
        <v>21.763987425808896</v>
      </c>
      <c r="R30" s="4">
        <f t="shared" si="6"/>
        <v>3.6618336313910222</v>
      </c>
      <c r="S30" s="360">
        <f t="shared" si="7"/>
        <v>6.7045127719931805E-2</v>
      </c>
      <c r="T30" s="360">
        <f t="shared" si="8"/>
        <v>0.3</v>
      </c>
      <c r="U30" s="360">
        <f t="shared" si="9"/>
        <v>0.36902443092820031</v>
      </c>
      <c r="V30" s="4">
        <f t="shared" si="37"/>
        <v>2.6568073968555495</v>
      </c>
      <c r="W30" s="360">
        <f t="shared" si="10"/>
        <v>1.4117251087972722E-2</v>
      </c>
      <c r="X30" s="360">
        <f t="shared" si="38"/>
        <v>1.4117251087972722E-2</v>
      </c>
      <c r="Y30" s="4">
        <f t="shared" si="11"/>
        <v>1.1522873788694783</v>
      </c>
      <c r="Z30" s="360">
        <f t="shared" si="12"/>
        <v>1.9916493052528389E-3</v>
      </c>
      <c r="AA30" s="541">
        <f t="shared" si="39"/>
        <v>1.9916493052528389E-3</v>
      </c>
      <c r="AB30" s="360">
        <f t="shared" si="13"/>
        <v>1.2224107959008119</v>
      </c>
      <c r="AC30" s="360">
        <f t="shared" si="14"/>
        <v>8.9657289236091398E-3</v>
      </c>
      <c r="AD30" s="360">
        <f t="shared" si="15"/>
        <v>4.5618181471778992E-2</v>
      </c>
      <c r="AE30" s="360">
        <f t="shared" si="16"/>
        <v>6.5044231293144295E-2</v>
      </c>
      <c r="AF30" s="360">
        <f t="shared" si="17"/>
        <v>4.4881999565327055E-3</v>
      </c>
      <c r="AG30" s="360">
        <f t="shared" si="18"/>
        <v>0.12428571707641943</v>
      </c>
      <c r="AH30" s="360">
        <f t="shared" si="19"/>
        <v>3.4517730791654748</v>
      </c>
      <c r="AI30" s="360">
        <f t="shared" si="20"/>
        <v>2.9786843475128756E-2</v>
      </c>
      <c r="AJ30" s="360">
        <f t="shared" si="21"/>
        <v>1.5354439956532705E-2</v>
      </c>
      <c r="AK30" s="360">
        <f t="shared" si="22"/>
        <v>4.5411818376843861E-2</v>
      </c>
      <c r="AL30" s="360">
        <f t="shared" si="23"/>
        <v>1.0866239999999999E-2</v>
      </c>
      <c r="AM30" s="360">
        <f t="shared" si="24"/>
        <v>0.12473999999999999</v>
      </c>
      <c r="AN30" s="360">
        <f t="shared" si="25"/>
        <v>5.3636102175945444E-2</v>
      </c>
      <c r="AO30" s="360">
        <f t="shared" si="26"/>
        <v>1.5749999999999998E-3</v>
      </c>
      <c r="AP30" s="360">
        <f t="shared" si="27"/>
        <v>0.32669999999999993</v>
      </c>
      <c r="AQ30" s="360">
        <f t="shared" si="28"/>
        <v>0.31218000000000001</v>
      </c>
      <c r="AR30" s="360">
        <f t="shared" si="29"/>
        <v>0.29039999999999999</v>
      </c>
      <c r="AS30" s="360">
        <f t="shared" si="48"/>
        <v>0.32827499999999993</v>
      </c>
      <c r="AT30" s="360">
        <f t="shared" si="41"/>
        <v>1.0723482089506347</v>
      </c>
      <c r="AU30">
        <f t="shared" si="30"/>
        <v>12.6</v>
      </c>
      <c r="AV30" s="542">
        <f t="shared" si="42"/>
        <v>0.92156810281875212</v>
      </c>
      <c r="AW30" s="551">
        <f t="shared" si="31"/>
        <v>7.8513364489039379</v>
      </c>
      <c r="AX30" s="551">
        <f t="shared" si="32"/>
        <v>3.289888698320067</v>
      </c>
      <c r="AY30" s="9"/>
      <c r="AZ30" s="4">
        <f t="shared" si="43"/>
        <v>92.15681028187521</v>
      </c>
      <c r="BA30" s="360">
        <f t="shared" si="33"/>
        <v>0.36902443092820031</v>
      </c>
      <c r="BB30" s="360">
        <f t="shared" si="44"/>
        <v>0.29443753545326329</v>
      </c>
      <c r="BC30" s="360">
        <f t="shared" si="45"/>
        <v>0.20661411707641941</v>
      </c>
      <c r="BD30" s="360">
        <f t="shared" si="46"/>
        <v>8.6576018376843866E-2</v>
      </c>
      <c r="BE30" s="360">
        <f t="shared" si="47"/>
        <v>5.3636102175945444E-2</v>
      </c>
    </row>
    <row r="31" spans="1:65" x14ac:dyDescent="0.25">
      <c r="A31" s="22" t="s">
        <v>125</v>
      </c>
      <c r="B31" s="27">
        <v>1</v>
      </c>
      <c r="C31" s="444" t="s">
        <v>116</v>
      </c>
      <c r="D31" s="440" t="s">
        <v>504</v>
      </c>
      <c r="G31">
        <v>22</v>
      </c>
      <c r="H31" s="548">
        <f t="shared" si="0"/>
        <v>45</v>
      </c>
      <c r="I31" s="4">
        <f t="shared" si="1"/>
        <v>2</v>
      </c>
      <c r="J31" s="360">
        <f t="shared" si="34"/>
        <v>2.64</v>
      </c>
      <c r="K31" s="4">
        <f t="shared" si="2"/>
        <v>0.32592592592592595</v>
      </c>
      <c r="L31" s="4"/>
      <c r="M31" s="360">
        <f t="shared" si="3"/>
        <v>0.11145459270501265</v>
      </c>
      <c r="N31" s="4">
        <f t="shared" si="4"/>
        <v>9.2044360884883307</v>
      </c>
      <c r="O31" s="4">
        <f t="shared" si="35"/>
        <v>7.242218044244165</v>
      </c>
      <c r="P31" s="4">
        <f t="shared" si="36"/>
        <v>-1.9622180442441652</v>
      </c>
      <c r="Q31" s="4">
        <f t="shared" si="5"/>
        <v>20.514563975370258</v>
      </c>
      <c r="R31" s="4">
        <f t="shared" si="6"/>
        <v>3.7456290493839437</v>
      </c>
      <c r="S31" s="360">
        <f t="shared" si="7"/>
        <v>7.0148684877944331E-2</v>
      </c>
      <c r="T31" s="360">
        <f t="shared" si="8"/>
        <v>0.3</v>
      </c>
      <c r="U31" s="360">
        <f t="shared" si="9"/>
        <v>0.37223764336949916</v>
      </c>
      <c r="V31" s="4">
        <f t="shared" si="37"/>
        <v>2.6570918267137222</v>
      </c>
      <c r="W31" s="360">
        <f t="shared" si="10"/>
        <v>1.4120273951177731E-2</v>
      </c>
      <c r="X31" s="360">
        <f t="shared" si="38"/>
        <v>1.4120273951177731E-2</v>
      </c>
      <c r="Y31" s="4">
        <f t="shared" si="11"/>
        <v>1.1787278976157034</v>
      </c>
      <c r="Z31" s="360">
        <f t="shared" si="12"/>
        <v>2.0840991849263042E-3</v>
      </c>
      <c r="AA31" s="541">
        <f t="shared" si="39"/>
        <v>2.0840991849263042E-3</v>
      </c>
      <c r="AB31" s="360">
        <f t="shared" si="13"/>
        <v>1.2504713592772578</v>
      </c>
      <c r="AC31" s="360">
        <f t="shared" si="14"/>
        <v>9.3820717222362782E-3</v>
      </c>
      <c r="AD31" s="360">
        <f t="shared" si="15"/>
        <v>4.7790475827577998E-2</v>
      </c>
      <c r="AE31" s="360">
        <f t="shared" si="16"/>
        <v>6.3537679810939565E-2</v>
      </c>
      <c r="AF31" s="360">
        <f t="shared" si="17"/>
        <v>4.2305421033904198E-3</v>
      </c>
      <c r="AG31" s="360">
        <f t="shared" si="18"/>
        <v>0.12511919881330275</v>
      </c>
      <c r="AH31" s="360">
        <f t="shared" si="19"/>
        <v>3.5307305696153244</v>
      </c>
      <c r="AI31" s="360">
        <f t="shared" si="20"/>
        <v>3.1165145888040386E-2</v>
      </c>
      <c r="AJ31" s="360">
        <f t="shared" si="21"/>
        <v>1.561422210339042E-2</v>
      </c>
      <c r="AK31" s="360">
        <f t="shared" si="22"/>
        <v>4.7072773965025759E-2</v>
      </c>
      <c r="AL31" s="360">
        <f t="shared" si="23"/>
        <v>1.138368E-2</v>
      </c>
      <c r="AM31" s="360">
        <f t="shared" si="24"/>
        <v>0.13067999999999999</v>
      </c>
      <c r="AN31" s="360">
        <f t="shared" si="25"/>
        <v>5.6118947902355464E-2</v>
      </c>
      <c r="AO31" s="360">
        <f t="shared" si="26"/>
        <v>1.5749999999999998E-3</v>
      </c>
      <c r="AP31" s="360">
        <f t="shared" si="27"/>
        <v>0.32669999999999993</v>
      </c>
      <c r="AQ31" s="360">
        <f t="shared" si="28"/>
        <v>0.31218000000000001</v>
      </c>
      <c r="AR31" s="360">
        <f t="shared" si="29"/>
        <v>0.29039999999999999</v>
      </c>
      <c r="AS31" s="360">
        <f t="shared" si="48"/>
        <v>0.32827499999999993</v>
      </c>
      <c r="AT31" s="360">
        <f t="shared" si="41"/>
        <v>1.087091617186287</v>
      </c>
      <c r="AU31">
        <f t="shared" si="30"/>
        <v>13.200000000000001</v>
      </c>
      <c r="AV31" s="542">
        <f t="shared" si="42"/>
        <v>0.9239109227886102</v>
      </c>
      <c r="AW31" s="551">
        <f t="shared" si="31"/>
        <v>8.0319839549055043</v>
      </c>
      <c r="AX31" s="551">
        <f t="shared" si="32"/>
        <v>3.4274926106709787</v>
      </c>
      <c r="AY31" s="9"/>
      <c r="AZ31" s="4">
        <f t="shared" si="43"/>
        <v>92.391092278861024</v>
      </c>
      <c r="BA31" s="360">
        <f t="shared" si="33"/>
        <v>0.37223764336949916</v>
      </c>
      <c r="BB31" s="360">
        <f t="shared" si="44"/>
        <v>0.3028719727783285</v>
      </c>
      <c r="BC31" s="360">
        <f t="shared" si="45"/>
        <v>0.21136799881330276</v>
      </c>
      <c r="BD31" s="360">
        <f t="shared" si="46"/>
        <v>9.0197173965025759E-2</v>
      </c>
      <c r="BE31" s="360">
        <f t="shared" si="47"/>
        <v>5.6118947902355464E-2</v>
      </c>
    </row>
    <row r="32" spans="1:65" ht="13" x14ac:dyDescent="0.3">
      <c r="A32" s="24" t="s">
        <v>62</v>
      </c>
      <c r="B32" s="15" t="s">
        <v>111</v>
      </c>
      <c r="C32" s="24" t="s">
        <v>76</v>
      </c>
      <c r="D32" s="17" t="s">
        <v>107</v>
      </c>
      <c r="G32">
        <v>23</v>
      </c>
      <c r="H32" s="548">
        <f t="shared" si="0"/>
        <v>45</v>
      </c>
      <c r="I32" s="4">
        <f t="shared" si="1"/>
        <v>2</v>
      </c>
      <c r="J32" s="360">
        <f t="shared" si="34"/>
        <v>2.76</v>
      </c>
      <c r="K32" s="4">
        <f t="shared" si="2"/>
        <v>0.34074074074074073</v>
      </c>
      <c r="L32" s="4"/>
      <c r="M32" s="360">
        <f t="shared" si="3"/>
        <v>0.11147020339833255</v>
      </c>
      <c r="N32" s="4">
        <f t="shared" si="4"/>
        <v>9.2054212821448917</v>
      </c>
      <c r="O32" s="4">
        <f t="shared" si="35"/>
        <v>7.3627106410724457</v>
      </c>
      <c r="P32" s="4">
        <f t="shared" si="36"/>
        <v>-1.8427106410724461</v>
      </c>
      <c r="Q32" s="4">
        <f t="shared" si="5"/>
        <v>19.265140000757409</v>
      </c>
      <c r="R32" s="4">
        <f t="shared" si="6"/>
        <v>3.8313507298532685</v>
      </c>
      <c r="S32" s="360">
        <f t="shared" si="7"/>
        <v>7.3396242075735862E-2</v>
      </c>
      <c r="T32" s="360">
        <f t="shared" si="8"/>
        <v>0.3</v>
      </c>
      <c r="U32" s="360">
        <f t="shared" si="9"/>
        <v>0.3756016621170794</v>
      </c>
      <c r="V32" s="4">
        <f t="shared" si="37"/>
        <v>2.6573762276251318</v>
      </c>
      <c r="W32" s="360">
        <f t="shared" si="10"/>
        <v>1.4123296830294353E-2</v>
      </c>
      <c r="X32" s="360">
        <f t="shared" si="38"/>
        <v>1.4123296830294353E-2</v>
      </c>
      <c r="Y32" s="4">
        <f t="shared" si="11"/>
        <v>1.20577785921876</v>
      </c>
      <c r="Z32" s="360">
        <f t="shared" si="12"/>
        <v>2.180850368673264E-3</v>
      </c>
      <c r="AA32" s="541">
        <f t="shared" si="39"/>
        <v>2.180850368673264E-3</v>
      </c>
      <c r="AB32" s="360">
        <f t="shared" si="13"/>
        <v>1.2791789579926283</v>
      </c>
      <c r="AC32" s="360">
        <f t="shared" si="14"/>
        <v>9.8177928394266364E-3</v>
      </c>
      <c r="AD32" s="360">
        <f t="shared" si="15"/>
        <v>4.9962770183376984E-2</v>
      </c>
      <c r="AE32" s="360">
        <f t="shared" si="16"/>
        <v>6.1520442547627681E-2</v>
      </c>
      <c r="AF32" s="360">
        <f t="shared" si="17"/>
        <v>3.9728841421521931E-3</v>
      </c>
      <c r="AG32" s="360">
        <f t="shared" si="18"/>
        <v>0.12546111590187334</v>
      </c>
      <c r="AH32" s="360">
        <f t="shared" si="19"/>
        <v>3.6115024032355381</v>
      </c>
      <c r="AI32" s="360">
        <f t="shared" si="20"/>
        <v>3.2607374021440164E-2</v>
      </c>
      <c r="AJ32" s="360">
        <f t="shared" si="21"/>
        <v>1.5874004142152193E-2</v>
      </c>
      <c r="AK32" s="360">
        <f t="shared" si="22"/>
        <v>4.8799623679879424E-2</v>
      </c>
      <c r="AL32" s="360">
        <f t="shared" si="23"/>
        <v>1.1901119999999999E-2</v>
      </c>
      <c r="AM32" s="360">
        <f t="shared" si="24"/>
        <v>0.13661999999999999</v>
      </c>
      <c r="AN32" s="360">
        <f t="shared" si="25"/>
        <v>5.871699366058869E-2</v>
      </c>
      <c r="AO32" s="360">
        <f t="shared" si="26"/>
        <v>1.5749999999999998E-3</v>
      </c>
      <c r="AP32" s="360">
        <f t="shared" si="27"/>
        <v>0.32669999999999993</v>
      </c>
      <c r="AQ32" s="360">
        <f t="shared" si="28"/>
        <v>0.31218000000000001</v>
      </c>
      <c r="AR32" s="360">
        <f t="shared" si="29"/>
        <v>0.29039999999999999</v>
      </c>
      <c r="AS32" s="360">
        <f t="shared" si="48"/>
        <v>0.32827499999999993</v>
      </c>
      <c r="AT32" s="360">
        <f t="shared" si="41"/>
        <v>1.1016796625583885</v>
      </c>
      <c r="AU32">
        <f t="shared" si="30"/>
        <v>13.799999999999999</v>
      </c>
      <c r="AV32" s="542">
        <f t="shared" si="42"/>
        <v>0.92607010165931547</v>
      </c>
      <c r="AW32" s="551">
        <f t="shared" si="31"/>
        <v>8.1939520042711873</v>
      </c>
      <c r="AX32" s="551">
        <f t="shared" si="32"/>
        <v>3.567600499835418</v>
      </c>
      <c r="AY32" s="9"/>
      <c r="AZ32" s="4">
        <f t="shared" si="43"/>
        <v>92.607010165931541</v>
      </c>
      <c r="BA32" s="360">
        <f t="shared" si="33"/>
        <v>0.3756016621170794</v>
      </c>
      <c r="BB32" s="360">
        <f t="shared" si="44"/>
        <v>0.31088073958175277</v>
      </c>
      <c r="BC32" s="360">
        <f t="shared" si="45"/>
        <v>0.21563031590187334</v>
      </c>
      <c r="BD32" s="360">
        <f t="shared" si="46"/>
        <v>9.3884223679879419E-2</v>
      </c>
      <c r="BE32" s="360">
        <f t="shared" si="47"/>
        <v>5.871699366058869E-2</v>
      </c>
    </row>
    <row r="33" spans="1:57" x14ac:dyDescent="0.25">
      <c r="A33" s="22" t="s">
        <v>62</v>
      </c>
      <c r="B33" s="5">
        <f>Deadtime*1000000000</f>
        <v>14</v>
      </c>
      <c r="C33" s="440" t="s">
        <v>75</v>
      </c>
      <c r="D33" s="21" t="s">
        <v>98</v>
      </c>
      <c r="G33">
        <v>24</v>
      </c>
      <c r="H33" s="548">
        <f t="shared" si="0"/>
        <v>45</v>
      </c>
      <c r="I33" s="4">
        <f t="shared" si="1"/>
        <v>2</v>
      </c>
      <c r="J33" s="360">
        <f t="shared" si="34"/>
        <v>2.88</v>
      </c>
      <c r="K33" s="4">
        <f t="shared" si="2"/>
        <v>0.35555555555555551</v>
      </c>
      <c r="L33" s="4"/>
      <c r="M33" s="360">
        <f t="shared" si="3"/>
        <v>0.1114858139085128</v>
      </c>
      <c r="N33" s="4">
        <f t="shared" si="4"/>
        <v>9.2064063755286973</v>
      </c>
      <c r="O33" s="4">
        <f t="shared" si="35"/>
        <v>7.4832031877643486</v>
      </c>
      <c r="P33" s="4">
        <f t="shared" si="36"/>
        <v>-1.7232031877643488</v>
      </c>
      <c r="Q33" s="4">
        <f t="shared" si="5"/>
        <v>18.015715501979603</v>
      </c>
      <c r="R33" s="4">
        <f t="shared" si="6"/>
        <v>3.918872269239535</v>
      </c>
      <c r="S33" s="360">
        <f t="shared" si="7"/>
        <v>7.6787799313073113E-2</v>
      </c>
      <c r="T33" s="360">
        <f t="shared" si="8"/>
        <v>0.3</v>
      </c>
      <c r="U33" s="360">
        <f t="shared" si="9"/>
        <v>0.37911672241684707</v>
      </c>
      <c r="V33" s="4">
        <f t="shared" si="37"/>
        <v>2.6576605995902902</v>
      </c>
      <c r="W33" s="360">
        <f t="shared" si="10"/>
        <v>1.4126319725229243E-2</v>
      </c>
      <c r="X33" s="360">
        <f t="shared" si="38"/>
        <v>1.4126319725229243E-2</v>
      </c>
      <c r="Y33" s="4">
        <f t="shared" si="11"/>
        <v>1.233397591150458</v>
      </c>
      <c r="Z33" s="360">
        <f t="shared" si="12"/>
        <v>2.2819044267836284E-3</v>
      </c>
      <c r="AA33" s="541">
        <f t="shared" si="39"/>
        <v>2.2819044267836284E-3</v>
      </c>
      <c r="AB33" s="360">
        <f t="shared" si="13"/>
        <v>1.308491521154149</v>
      </c>
      <c r="AC33" s="360">
        <f t="shared" si="14"/>
        <v>1.0272900365593793E-2</v>
      </c>
      <c r="AD33" s="360">
        <f t="shared" si="15"/>
        <v>5.213506453917599E-2</v>
      </c>
      <c r="AE33" s="360">
        <f t="shared" si="16"/>
        <v>5.8992518860481742E-2</v>
      </c>
      <c r="AF33" s="360">
        <f t="shared" si="17"/>
        <v>3.7152260728199353E-3</v>
      </c>
      <c r="AG33" s="360">
        <f t="shared" si="18"/>
        <v>0.12531138116073903</v>
      </c>
      <c r="AH33" s="360">
        <f t="shared" si="19"/>
        <v>3.693969382883719</v>
      </c>
      <c r="AI33" s="360">
        <f t="shared" si="20"/>
        <v>3.4113524504205808E-2</v>
      </c>
      <c r="AJ33" s="360">
        <f t="shared" si="21"/>
        <v>1.6133786072819935E-2</v>
      </c>
      <c r="AK33" s="360">
        <f t="shared" si="22"/>
        <v>5.0592488194173883E-2</v>
      </c>
      <c r="AL33" s="360">
        <f t="shared" si="23"/>
        <v>1.2418559999999999E-2</v>
      </c>
      <c r="AM33" s="360">
        <f t="shared" si="24"/>
        <v>0.14255999999999999</v>
      </c>
      <c r="AN33" s="360">
        <f t="shared" si="25"/>
        <v>6.1430239450458494E-2</v>
      </c>
      <c r="AO33" s="360">
        <f t="shared" si="26"/>
        <v>1.5749999999999998E-3</v>
      </c>
      <c r="AP33" s="360">
        <f t="shared" si="27"/>
        <v>0.32669999999999993</v>
      </c>
      <c r="AQ33" s="360">
        <f t="shared" si="28"/>
        <v>0.31218000000000001</v>
      </c>
      <c r="AR33" s="360">
        <f t="shared" si="29"/>
        <v>0.29039999999999999</v>
      </c>
      <c r="AS33" s="360">
        <f t="shared" si="48"/>
        <v>0.32827499999999993</v>
      </c>
      <c r="AT33" s="360">
        <f t="shared" si="41"/>
        <v>1.1161126153742311</v>
      </c>
      <c r="AU33">
        <f t="shared" si="30"/>
        <v>14.399999999999999</v>
      </c>
      <c r="AV33" s="542">
        <f t="shared" si="42"/>
        <v>0.92806751001095955</v>
      </c>
      <c r="AW33" s="551">
        <f t="shared" si="31"/>
        <v>8.3372372841080828</v>
      </c>
      <c r="AX33" s="551">
        <f t="shared" si="32"/>
        <v>3.7102169513786079</v>
      </c>
      <c r="AY33" s="9"/>
      <c r="AZ33" s="4">
        <f t="shared" si="43"/>
        <v>92.806751001095961</v>
      </c>
      <c r="BA33" s="360">
        <f t="shared" si="33"/>
        <v>0.37911672241684707</v>
      </c>
      <c r="BB33" s="360">
        <f t="shared" si="44"/>
        <v>0.31846386935491289</v>
      </c>
      <c r="BC33" s="360">
        <f t="shared" si="45"/>
        <v>0.21940098116073903</v>
      </c>
      <c r="BD33" s="360">
        <f t="shared" si="46"/>
        <v>9.7637288194173888E-2</v>
      </c>
      <c r="BE33" s="360">
        <f t="shared" si="47"/>
        <v>6.1430239450458494E-2</v>
      </c>
    </row>
    <row r="34" spans="1:57" ht="13" x14ac:dyDescent="0.3">
      <c r="A34" s="24" t="s">
        <v>52</v>
      </c>
      <c r="B34" s="15" t="s">
        <v>111</v>
      </c>
      <c r="C34" s="24" t="s">
        <v>76</v>
      </c>
      <c r="D34" s="17" t="s">
        <v>107</v>
      </c>
      <c r="G34">
        <v>25</v>
      </c>
      <c r="H34" s="548">
        <f t="shared" si="0"/>
        <v>45</v>
      </c>
      <c r="I34" s="4">
        <f t="shared" si="1"/>
        <v>2</v>
      </c>
      <c r="J34" s="360">
        <f t="shared" si="34"/>
        <v>3</v>
      </c>
      <c r="K34" s="4">
        <f t="shared" si="2"/>
        <v>0.37037037037037035</v>
      </c>
      <c r="L34" s="4"/>
      <c r="M34" s="360">
        <f t="shared" si="3"/>
        <v>0.11150142423555656</v>
      </c>
      <c r="N34" s="4">
        <f t="shared" si="4"/>
        <v>9.2073913686415043</v>
      </c>
      <c r="O34" s="4">
        <f t="shared" si="35"/>
        <v>7.6036956843207522</v>
      </c>
      <c r="P34" s="4">
        <f t="shared" si="36"/>
        <v>-1.6036956843207522</v>
      </c>
      <c r="Q34" s="4">
        <f t="shared" si="5"/>
        <v>16.766290479046024</v>
      </c>
      <c r="R34" s="4">
        <f t="shared" si="6"/>
        <v>4.0080757625005674</v>
      </c>
      <c r="S34" s="360">
        <f t="shared" si="7"/>
        <v>8.0323356589722533E-2</v>
      </c>
      <c r="T34" s="360">
        <f t="shared" si="8"/>
        <v>0.3</v>
      </c>
      <c r="U34" s="360">
        <f t="shared" si="9"/>
        <v>0.38278307027373099</v>
      </c>
      <c r="V34" s="4">
        <f t="shared" si="37"/>
        <v>2.6579449426097046</v>
      </c>
      <c r="W34" s="360">
        <f t="shared" si="10"/>
        <v>1.4129342635889013E-2</v>
      </c>
      <c r="X34" s="360">
        <f t="shared" si="38"/>
        <v>1.4129342635889013E-2</v>
      </c>
      <c r="Y34" s="4">
        <f t="shared" si="11"/>
        <v>1.2615500860407551</v>
      </c>
      <c r="Z34" s="360">
        <f t="shared" si="12"/>
        <v>2.3872629293841554E-3</v>
      </c>
      <c r="AA34" s="541">
        <f t="shared" si="39"/>
        <v>2.3872629293841554E-3</v>
      </c>
      <c r="AB34" s="360">
        <f t="shared" si="13"/>
        <v>1.3383698038385756</v>
      </c>
      <c r="AC34" s="360">
        <f t="shared" si="14"/>
        <v>1.0747402390961445E-2</v>
      </c>
      <c r="AD34" s="360">
        <f t="shared" si="15"/>
        <v>5.430735889497499E-2</v>
      </c>
      <c r="AE34" s="360">
        <f t="shared" si="16"/>
        <v>5.5953908106789518E-2</v>
      </c>
      <c r="AF34" s="360">
        <f t="shared" si="17"/>
        <v>3.4575678953955411E-3</v>
      </c>
      <c r="AG34" s="360">
        <f t="shared" si="18"/>
        <v>0.12466989867832623</v>
      </c>
      <c r="AH34" s="360">
        <f t="shared" si="19"/>
        <v>3.7780203263240391</v>
      </c>
      <c r="AI34" s="360">
        <f t="shared" si="20"/>
        <v>3.5683593965293997E-2</v>
      </c>
      <c r="AJ34" s="360">
        <f t="shared" si="21"/>
        <v>1.639356789539554E-2</v>
      </c>
      <c r="AK34" s="360">
        <f t="shared" si="22"/>
        <v>5.2451493419500485E-2</v>
      </c>
      <c r="AL34" s="360">
        <f t="shared" si="23"/>
        <v>1.2936E-2</v>
      </c>
      <c r="AM34" s="360">
        <f t="shared" si="24"/>
        <v>0.14849999999999999</v>
      </c>
      <c r="AN34" s="360">
        <f t="shared" si="25"/>
        <v>6.4258685271778027E-2</v>
      </c>
      <c r="AO34" s="360">
        <f t="shared" si="26"/>
        <v>1.5749999999999998E-3</v>
      </c>
      <c r="AP34" s="360">
        <f t="shared" si="27"/>
        <v>0.32669999999999993</v>
      </c>
      <c r="AQ34" s="360">
        <f t="shared" si="28"/>
        <v>0.31218000000000001</v>
      </c>
      <c r="AR34" s="360">
        <f t="shared" si="29"/>
        <v>0.29039999999999999</v>
      </c>
      <c r="AS34" s="360">
        <f t="shared" si="48"/>
        <v>0.32827499999999993</v>
      </c>
      <c r="AT34" s="360">
        <f t="shared" si="41"/>
        <v>1.1303907532086086</v>
      </c>
      <c r="AU34">
        <f t="shared" si="30"/>
        <v>15</v>
      </c>
      <c r="AV34" s="542">
        <f t="shared" si="42"/>
        <v>0.92992167576698326</v>
      </c>
      <c r="AW34" s="551">
        <f t="shared" si="31"/>
        <v>8.4618361497763956</v>
      </c>
      <c r="AX34" s="551">
        <f t="shared" si="32"/>
        <v>3.8553467499410186</v>
      </c>
      <c r="AY34" s="9"/>
      <c r="AZ34" s="4">
        <f t="shared" si="43"/>
        <v>92.992167576698321</v>
      </c>
      <c r="BA34" s="360">
        <f t="shared" si="33"/>
        <v>0.38278307027373099</v>
      </c>
      <c r="BB34" s="360">
        <f t="shared" si="44"/>
        <v>0.3256213920978267</v>
      </c>
      <c r="BC34" s="360">
        <f t="shared" si="45"/>
        <v>0.22267989867832622</v>
      </c>
      <c r="BD34" s="360">
        <f t="shared" si="46"/>
        <v>0.10145649341950048</v>
      </c>
      <c r="BE34" s="360">
        <f t="shared" si="47"/>
        <v>6.4258685271778027E-2</v>
      </c>
    </row>
    <row r="35" spans="1:57" x14ac:dyDescent="0.25">
      <c r="A35" s="22" t="s">
        <v>128</v>
      </c>
      <c r="B35" s="5">
        <f>Iq*1000</f>
        <v>3.4999999999999996E-2</v>
      </c>
      <c r="C35" s="440" t="s">
        <v>64</v>
      </c>
      <c r="D35" s="21" t="s">
        <v>131</v>
      </c>
      <c r="G35">
        <v>26</v>
      </c>
      <c r="H35" s="548">
        <f t="shared" si="0"/>
        <v>45</v>
      </c>
      <c r="I35" s="4">
        <f t="shared" si="1"/>
        <v>2</v>
      </c>
      <c r="J35" s="360">
        <f t="shared" si="34"/>
        <v>3.12</v>
      </c>
      <c r="K35" s="4">
        <f t="shared" si="2"/>
        <v>0.38518518518518524</v>
      </c>
      <c r="L35" s="4"/>
      <c r="M35" s="360">
        <f t="shared" si="3"/>
        <v>0.1115170343794671</v>
      </c>
      <c r="N35" s="4">
        <f t="shared" si="4"/>
        <v>9.2083762614850837</v>
      </c>
      <c r="O35" s="4">
        <f t="shared" si="35"/>
        <v>7.724188130742542</v>
      </c>
      <c r="P35" s="4">
        <f t="shared" si="36"/>
        <v>-1.4841881307425417</v>
      </c>
      <c r="Q35" s="4">
        <f t="shared" si="5"/>
        <v>15.516864931965936</v>
      </c>
      <c r="R35" s="4">
        <f t="shared" si="6"/>
        <v>4.0988513977808667</v>
      </c>
      <c r="S35" s="360">
        <f t="shared" si="7"/>
        <v>8.4002913905450824E-2</v>
      </c>
      <c r="T35" s="360">
        <f t="shared" si="8"/>
        <v>0.3</v>
      </c>
      <c r="U35" s="360">
        <f t="shared" si="9"/>
        <v>0.38660096249490877</v>
      </c>
      <c r="V35" s="4">
        <f t="shared" si="37"/>
        <v>2.6582292566838865</v>
      </c>
      <c r="W35" s="360">
        <f t="shared" si="10"/>
        <v>1.4132365562180336E-2</v>
      </c>
      <c r="X35" s="360">
        <f t="shared" si="38"/>
        <v>1.4132365562180336E-2</v>
      </c>
      <c r="Y35" s="4">
        <f t="shared" si="11"/>
        <v>1.2902008749127607</v>
      </c>
      <c r="Z35" s="360">
        <f t="shared" si="12"/>
        <v>2.4969274464384798E-3</v>
      </c>
      <c r="AA35" s="541">
        <f t="shared" si="39"/>
        <v>2.4969274464384798E-3</v>
      </c>
      <c r="AB35" s="360">
        <f t="shared" si="13"/>
        <v>1.3687772527310331</v>
      </c>
      <c r="AC35" s="360">
        <f t="shared" si="14"/>
        <v>1.1241307005563488E-2</v>
      </c>
      <c r="AD35" s="360">
        <f t="shared" si="15"/>
        <v>5.647965325077399E-2</v>
      </c>
      <c r="AE35" s="360">
        <f t="shared" si="16"/>
        <v>5.2404609643853822E-2</v>
      </c>
      <c r="AF35" s="360">
        <f t="shared" si="17"/>
        <v>3.19990960988092E-3</v>
      </c>
      <c r="AG35" s="360">
        <f t="shared" si="18"/>
        <v>0.12353656380096727</v>
      </c>
      <c r="AH35" s="360">
        <f t="shared" si="19"/>
        <v>3.8635516838132564</v>
      </c>
      <c r="AI35" s="360">
        <f t="shared" si="20"/>
        <v>3.7317579033740625E-2</v>
      </c>
      <c r="AJ35" s="360">
        <f t="shared" si="21"/>
        <v>1.6653349609880921E-2</v>
      </c>
      <c r="AK35" s="360">
        <f t="shared" si="22"/>
        <v>5.4376770529992055E-2</v>
      </c>
      <c r="AL35" s="360">
        <f t="shared" si="23"/>
        <v>1.3453440000000001E-2</v>
      </c>
      <c r="AM35" s="360">
        <f t="shared" si="24"/>
        <v>0.15443999999999997</v>
      </c>
      <c r="AN35" s="360">
        <f t="shared" si="25"/>
        <v>6.7202331124360651E-2</v>
      </c>
      <c r="AO35" s="360">
        <f t="shared" si="26"/>
        <v>1.5749999999999998E-3</v>
      </c>
      <c r="AP35" s="360">
        <f t="shared" si="27"/>
        <v>0.32669999999999993</v>
      </c>
      <c r="AQ35" s="360">
        <f t="shared" si="28"/>
        <v>0.31218000000000001</v>
      </c>
      <c r="AR35" s="360">
        <f t="shared" si="29"/>
        <v>0.29039999999999999</v>
      </c>
      <c r="AS35" s="360">
        <f t="shared" si="48"/>
        <v>0.32827499999999993</v>
      </c>
      <c r="AT35" s="360">
        <f t="shared" si="41"/>
        <v>1.1445143609588473</v>
      </c>
      <c r="AU35">
        <f t="shared" si="30"/>
        <v>15.600000000000001</v>
      </c>
      <c r="AV35" s="542">
        <f t="shared" si="42"/>
        <v>0.93164839921381215</v>
      </c>
      <c r="AW35" s="551">
        <f t="shared" si="31"/>
        <v>8.5677446244367559</v>
      </c>
      <c r="AX35" s="551">
        <f t="shared" si="32"/>
        <v>4.0029948801396973</v>
      </c>
      <c r="AY35" s="9"/>
      <c r="AZ35" s="4">
        <f t="shared" si="43"/>
        <v>93.164839921381216</v>
      </c>
      <c r="BA35" s="360">
        <f t="shared" si="33"/>
        <v>0.38660096249490877</v>
      </c>
      <c r="BB35" s="360">
        <f t="shared" si="44"/>
        <v>0.33235333433095926</v>
      </c>
      <c r="BC35" s="360">
        <f t="shared" si="45"/>
        <v>0.22546696380096726</v>
      </c>
      <c r="BD35" s="360">
        <f t="shared" si="46"/>
        <v>0.10534197052999204</v>
      </c>
      <c r="BE35" s="360">
        <f t="shared" si="47"/>
        <v>6.7202331124360651E-2</v>
      </c>
    </row>
    <row r="36" spans="1:57" ht="13" x14ac:dyDescent="0.3">
      <c r="A36" s="24" t="s">
        <v>525</v>
      </c>
      <c r="B36" s="15" t="s">
        <v>111</v>
      </c>
      <c r="C36" s="24" t="s">
        <v>76</v>
      </c>
      <c r="D36" s="17" t="s">
        <v>107</v>
      </c>
      <c r="G36">
        <v>27</v>
      </c>
      <c r="H36" s="548">
        <f t="shared" si="0"/>
        <v>45</v>
      </c>
      <c r="I36" s="4">
        <f t="shared" si="1"/>
        <v>2</v>
      </c>
      <c r="J36" s="360">
        <f t="shared" si="34"/>
        <v>3.24</v>
      </c>
      <c r="K36" s="4">
        <f t="shared" si="2"/>
        <v>0.40000000000000008</v>
      </c>
      <c r="L36" s="4"/>
      <c r="M36" s="360">
        <f t="shared" si="3"/>
        <v>0.11153264434024762</v>
      </c>
      <c r="N36" s="4">
        <f t="shared" si="4"/>
        <v>9.2093610540611941</v>
      </c>
      <c r="O36" s="4">
        <f t="shared" si="35"/>
        <v>7.8446805270305973</v>
      </c>
      <c r="P36" s="4">
        <f t="shared" si="36"/>
        <v>-1.3646805270305968</v>
      </c>
      <c r="Q36" s="4">
        <f t="shared" si="5"/>
        <v>14.267438860748531</v>
      </c>
      <c r="R36" s="4">
        <f t="shared" si="6"/>
        <v>4.1910970224995898</v>
      </c>
      <c r="S36" s="360">
        <f t="shared" si="7"/>
        <v>8.7826471260024644E-2</v>
      </c>
      <c r="T36" s="360">
        <f t="shared" si="8"/>
        <v>0.3</v>
      </c>
      <c r="U36" s="360">
        <f t="shared" si="9"/>
        <v>0.39057066673498531</v>
      </c>
      <c r="V36" s="4">
        <f t="shared" si="37"/>
        <v>2.6585135418133432</v>
      </c>
      <c r="W36" s="360">
        <f t="shared" si="10"/>
        <v>1.4135388504009853E-2</v>
      </c>
      <c r="X36" s="360">
        <f t="shared" si="38"/>
        <v>1.4135388504009853E-2</v>
      </c>
      <c r="Y36" s="4">
        <f t="shared" si="11"/>
        <v>1.3193178913734456</v>
      </c>
      <c r="Z36" s="360">
        <f t="shared" si="12"/>
        <v>2.6108995477471123E-3</v>
      </c>
      <c r="AA36" s="541">
        <f t="shared" si="39"/>
        <v>2.6108995477471123E-3</v>
      </c>
      <c r="AB36" s="360">
        <f t="shared" si="13"/>
        <v>1.3996798621615807</v>
      </c>
      <c r="AC36" s="360">
        <f t="shared" si="14"/>
        <v>1.1754622299243969E-2</v>
      </c>
      <c r="AD36" s="360">
        <f t="shared" si="15"/>
        <v>5.8651947606572996E-2</v>
      </c>
      <c r="AE36" s="360">
        <f t="shared" si="16"/>
        <v>4.8344622828992087E-2</v>
      </c>
      <c r="AF36" s="360">
        <f t="shared" si="17"/>
        <v>2.9422512162779668E-3</v>
      </c>
      <c r="AG36" s="360">
        <f t="shared" si="18"/>
        <v>0.12191126312059197</v>
      </c>
      <c r="AH36" s="360">
        <f t="shared" si="19"/>
        <v>3.9504671287664532</v>
      </c>
      <c r="AI36" s="360">
        <f t="shared" si="20"/>
        <v>3.9015476338660662E-2</v>
      </c>
      <c r="AJ36" s="360">
        <f t="shared" si="21"/>
        <v>1.6913131216277966E-2</v>
      </c>
      <c r="AK36" s="360">
        <f t="shared" si="22"/>
        <v>5.6368455987100941E-2</v>
      </c>
      <c r="AL36" s="360">
        <f t="shared" si="23"/>
        <v>1.397088E-2</v>
      </c>
      <c r="AM36" s="360">
        <f t="shared" si="24"/>
        <v>0.16037999999999999</v>
      </c>
      <c r="AN36" s="360">
        <f t="shared" si="25"/>
        <v>7.0261177008019718E-2</v>
      </c>
      <c r="AO36" s="360">
        <f t="shared" si="26"/>
        <v>1.5749999999999998E-3</v>
      </c>
      <c r="AP36" s="360">
        <f t="shared" si="27"/>
        <v>0.32669999999999993</v>
      </c>
      <c r="AQ36" s="360">
        <f t="shared" si="28"/>
        <v>0.31218000000000001</v>
      </c>
      <c r="AR36" s="360">
        <f t="shared" si="29"/>
        <v>0.29039999999999999</v>
      </c>
      <c r="AS36" s="360">
        <f t="shared" si="48"/>
        <v>0.32827499999999993</v>
      </c>
      <c r="AT36" s="360">
        <f t="shared" si="41"/>
        <v>1.1584837309024547</v>
      </c>
      <c r="AU36">
        <f t="shared" si="30"/>
        <v>16.200000000000003</v>
      </c>
      <c r="AV36" s="542">
        <f t="shared" si="42"/>
        <v>0.93326123704917485</v>
      </c>
      <c r="AW36" s="551">
        <f t="shared" si="31"/>
        <v>8.6549583985824956</v>
      </c>
      <c r="AX36" s="551">
        <f t="shared" si="32"/>
        <v>4.1531665275098355</v>
      </c>
      <c r="AY36" s="9"/>
      <c r="AZ36" s="4">
        <f t="shared" si="43"/>
        <v>93.326123704917478</v>
      </c>
      <c r="BA36" s="360">
        <f t="shared" si="33"/>
        <v>0.39057066673498531</v>
      </c>
      <c r="BB36" s="360">
        <f t="shared" si="44"/>
        <v>0.33865971910769288</v>
      </c>
      <c r="BC36" s="360">
        <f t="shared" si="45"/>
        <v>0.22776206312059197</v>
      </c>
      <c r="BD36" s="360">
        <f t="shared" si="46"/>
        <v>0.10929385598710094</v>
      </c>
      <c r="BE36" s="360">
        <f t="shared" si="47"/>
        <v>7.0261177008019718E-2</v>
      </c>
    </row>
    <row r="37" spans="1:57" x14ac:dyDescent="0.25">
      <c r="A37" s="23" t="s">
        <v>71</v>
      </c>
      <c r="B37" s="5">
        <f>Rdson3*1000</f>
        <v>6</v>
      </c>
      <c r="C37" s="442" t="s">
        <v>466</v>
      </c>
      <c r="D37" s="440" t="s">
        <v>528</v>
      </c>
      <c r="G37">
        <v>28</v>
      </c>
      <c r="H37" s="548">
        <f t="shared" si="0"/>
        <v>45</v>
      </c>
      <c r="I37" s="4">
        <f t="shared" si="1"/>
        <v>2</v>
      </c>
      <c r="J37" s="360">
        <f t="shared" si="34"/>
        <v>3.36</v>
      </c>
      <c r="K37" s="4">
        <f t="shared" si="2"/>
        <v>0.41481481481481486</v>
      </c>
      <c r="L37" s="4"/>
      <c r="M37" s="360">
        <f t="shared" si="3"/>
        <v>0.11154825411790133</v>
      </c>
      <c r="N37" s="4">
        <f t="shared" si="4"/>
        <v>9.2103457463716012</v>
      </c>
      <c r="O37" s="4">
        <f t="shared" si="35"/>
        <v>7.9651728731858</v>
      </c>
      <c r="P37" s="4">
        <f t="shared" si="36"/>
        <v>-1.2451728731858007</v>
      </c>
      <c r="Q37" s="4">
        <f t="shared" si="5"/>
        <v>13.018012265403041</v>
      </c>
      <c r="R37" s="4">
        <f t="shared" si="6"/>
        <v>4.2847176955596638</v>
      </c>
      <c r="S37" s="360">
        <f t="shared" si="7"/>
        <v>9.1794028653210569E-2</v>
      </c>
      <c r="T37" s="360">
        <f t="shared" si="8"/>
        <v>0.3</v>
      </c>
      <c r="U37" s="360">
        <f t="shared" si="9"/>
        <v>0.39469246154313831</v>
      </c>
      <c r="V37" s="4">
        <f t="shared" si="37"/>
        <v>2.6587977979985844</v>
      </c>
      <c r="W37" s="360">
        <f t="shared" si="10"/>
        <v>1.4138411461284243E-2</v>
      </c>
      <c r="X37" s="360">
        <f t="shared" si="38"/>
        <v>1.4138411461284243E-2</v>
      </c>
      <c r="Y37" s="4">
        <f t="shared" si="11"/>
        <v>1.3488713313847347</v>
      </c>
      <c r="Z37" s="360">
        <f t="shared" si="12"/>
        <v>2.7291808029474402E-3</v>
      </c>
      <c r="AA37" s="541">
        <f t="shared" si="39"/>
        <v>2.7291808029474402E-3</v>
      </c>
      <c r="AB37" s="360">
        <f t="shared" si="13"/>
        <v>1.431046025445321</v>
      </c>
      <c r="AC37" s="360">
        <f t="shared" si="14"/>
        <v>1.2287356361657103E-2</v>
      </c>
      <c r="AD37" s="360">
        <f t="shared" si="15"/>
        <v>6.0824241962371982E-2</v>
      </c>
      <c r="AE37" s="360">
        <f t="shared" si="16"/>
        <v>4.3773947019536671E-2</v>
      </c>
      <c r="AF37" s="360">
        <f t="shared" si="17"/>
        <v>2.6845927145885862E-3</v>
      </c>
      <c r="AG37" s="360">
        <f t="shared" si="18"/>
        <v>0.11979387446202404</v>
      </c>
      <c r="AH37" s="360">
        <f t="shared" si="19"/>
        <v>4.0386771353624278</v>
      </c>
      <c r="AI37" s="360">
        <f t="shared" si="20"/>
        <v>4.0777282509248163E-2</v>
      </c>
      <c r="AJ37" s="360">
        <f t="shared" si="21"/>
        <v>1.7172912714588585E-2</v>
      </c>
      <c r="AK37" s="360">
        <f t="shared" si="22"/>
        <v>5.8426691565445728E-2</v>
      </c>
      <c r="AL37" s="360">
        <f t="shared" si="23"/>
        <v>1.4488319999999999E-2</v>
      </c>
      <c r="AM37" s="360">
        <f t="shared" si="24"/>
        <v>0.16632</v>
      </c>
      <c r="AN37" s="360">
        <f t="shared" si="25"/>
        <v>7.3435222922568461E-2</v>
      </c>
      <c r="AO37" s="360">
        <f t="shared" si="26"/>
        <v>1.5749999999999998E-3</v>
      </c>
      <c r="AP37" s="360">
        <f t="shared" si="27"/>
        <v>0.32669999999999993</v>
      </c>
      <c r="AQ37" s="360">
        <f t="shared" si="28"/>
        <v>0.31218000000000001</v>
      </c>
      <c r="AR37" s="360">
        <f t="shared" si="29"/>
        <v>0.29039999999999999</v>
      </c>
      <c r="AS37" s="360">
        <f t="shared" si="48"/>
        <v>0.32827499999999993</v>
      </c>
      <c r="AT37" s="360">
        <f t="shared" si="41"/>
        <v>1.1722991627574082</v>
      </c>
      <c r="AU37">
        <f t="shared" si="30"/>
        <v>16.8</v>
      </c>
      <c r="AV37" s="542">
        <f t="shared" si="42"/>
        <v>0.93477188688319457</v>
      </c>
      <c r="AW37" s="551">
        <f t="shared" si="31"/>
        <v>8.7234728295569131</v>
      </c>
      <c r="AX37" s="551">
        <f t="shared" si="32"/>
        <v>4.305867079486938</v>
      </c>
      <c r="AY37" s="9"/>
      <c r="AZ37" s="4">
        <f t="shared" si="43"/>
        <v>93.477188688319458</v>
      </c>
      <c r="BA37" s="360">
        <f t="shared" si="33"/>
        <v>0.39469246154313831</v>
      </c>
      <c r="BB37" s="360">
        <f t="shared" si="44"/>
        <v>0.34454056602746974</v>
      </c>
      <c r="BC37" s="360">
        <f t="shared" si="45"/>
        <v>0.22956507446202404</v>
      </c>
      <c r="BD37" s="360">
        <f t="shared" si="46"/>
        <v>0.11331229156544573</v>
      </c>
      <c r="BE37" s="360">
        <f t="shared" si="47"/>
        <v>7.3435222922568461E-2</v>
      </c>
    </row>
    <row r="38" spans="1:57" x14ac:dyDescent="0.25">
      <c r="A38" s="22" t="s">
        <v>79</v>
      </c>
      <c r="B38" s="5">
        <f>RdsonTopTc*1000000</f>
        <v>4000</v>
      </c>
      <c r="C38" s="440" t="s">
        <v>81</v>
      </c>
      <c r="D38" s="21" t="s">
        <v>109</v>
      </c>
      <c r="G38">
        <v>29</v>
      </c>
      <c r="H38" s="548">
        <f t="shared" si="0"/>
        <v>45</v>
      </c>
      <c r="I38" s="4">
        <f t="shared" si="1"/>
        <v>2</v>
      </c>
      <c r="J38" s="360">
        <f t="shared" si="34"/>
        <v>3.48</v>
      </c>
      <c r="K38" s="4">
        <f t="shared" si="2"/>
        <v>0.42962962962962958</v>
      </c>
      <c r="L38" s="4"/>
      <c r="M38" s="360">
        <f t="shared" si="3"/>
        <v>0.1115638637124315</v>
      </c>
      <c r="N38" s="4">
        <f t="shared" si="4"/>
        <v>9.2113303384180742</v>
      </c>
      <c r="O38" s="4">
        <f t="shared" si="35"/>
        <v>8.0856651692090367</v>
      </c>
      <c r="P38" s="4">
        <f t="shared" si="36"/>
        <v>-1.1256651692090371</v>
      </c>
      <c r="Q38" s="4">
        <f t="shared" si="5"/>
        <v>11.768585145938706</v>
      </c>
      <c r="R38" s="4">
        <f t="shared" si="6"/>
        <v>4.379625237044273</v>
      </c>
      <c r="S38" s="360">
        <f t="shared" si="7"/>
        <v>9.5905586084775521E-2</v>
      </c>
      <c r="T38" s="360">
        <f t="shared" si="8"/>
        <v>0.3</v>
      </c>
      <c r="U38" s="360">
        <f t="shared" si="9"/>
        <v>0.39896663641224656</v>
      </c>
      <c r="V38" s="4">
        <f t="shared" si="37"/>
        <v>2.6590820252401208</v>
      </c>
      <c r="W38" s="360">
        <f t="shared" si="10"/>
        <v>1.4141434433910206E-2</v>
      </c>
      <c r="X38" s="360">
        <f t="shared" si="38"/>
        <v>1.4141434433910206E-2</v>
      </c>
      <c r="Y38" s="4">
        <f t="shared" si="11"/>
        <v>1.3788335121915574</v>
      </c>
      <c r="Z38" s="360">
        <f t="shared" si="12"/>
        <v>2.8517727815137585E-3</v>
      </c>
      <c r="AA38" s="541">
        <f t="shared" si="39"/>
        <v>2.8517727815137585E-3</v>
      </c>
      <c r="AB38" s="360">
        <f t="shared" si="13"/>
        <v>1.4628463853202607</v>
      </c>
      <c r="AC38" s="360">
        <f t="shared" si="14"/>
        <v>1.2839517282267317E-2</v>
      </c>
      <c r="AD38" s="360">
        <f t="shared" si="15"/>
        <v>6.2996536318170981E-2</v>
      </c>
      <c r="AE38" s="360">
        <f t="shared" si="16"/>
        <v>3.8692581572834693E-2</v>
      </c>
      <c r="AF38" s="360">
        <f t="shared" si="17"/>
        <v>2.4269341048146838E-3</v>
      </c>
      <c r="AG38" s="360">
        <f t="shared" si="18"/>
        <v>0.11718426686987989</v>
      </c>
      <c r="AH38" s="360">
        <f t="shared" si="19"/>
        <v>4.1280985538030155</v>
      </c>
      <c r="AI38" s="360">
        <f t="shared" si="20"/>
        <v>4.2602994174776372E-2</v>
      </c>
      <c r="AJ38" s="360">
        <f t="shared" si="21"/>
        <v>1.7432694104814683E-2</v>
      </c>
      <c r="AK38" s="360">
        <f t="shared" si="22"/>
        <v>6.0551624379735679E-2</v>
      </c>
      <c r="AL38" s="360">
        <f t="shared" si="23"/>
        <v>1.500576E-2</v>
      </c>
      <c r="AM38" s="360">
        <f t="shared" si="24"/>
        <v>0.17226000000000002</v>
      </c>
      <c r="AN38" s="360">
        <f t="shared" si="25"/>
        <v>7.6724468867820417E-2</v>
      </c>
      <c r="AO38" s="360">
        <f t="shared" si="26"/>
        <v>1.5749999999999998E-3</v>
      </c>
      <c r="AP38" s="360">
        <f t="shared" si="27"/>
        <v>0.32669999999999993</v>
      </c>
      <c r="AQ38" s="360">
        <f t="shared" si="28"/>
        <v>0.31218000000000001</v>
      </c>
      <c r="AR38" s="360">
        <f t="shared" si="29"/>
        <v>0.29039999999999999</v>
      </c>
      <c r="AS38" s="360">
        <f t="shared" si="48"/>
        <v>0.32827499999999993</v>
      </c>
      <c r="AT38" s="360">
        <f t="shared" si="41"/>
        <v>1.1859609637451063</v>
      </c>
      <c r="AU38">
        <f t="shared" si="30"/>
        <v>17.399999999999999</v>
      </c>
      <c r="AV38" s="542">
        <f t="shared" si="42"/>
        <v>0.93619049528520404</v>
      </c>
      <c r="AW38" s="551">
        <f t="shared" si="31"/>
        <v>8.7732829410554363</v>
      </c>
      <c r="AX38" s="551">
        <f t="shared" si="32"/>
        <v>4.4611021264299557</v>
      </c>
      <c r="AY38" s="9"/>
      <c r="AZ38" s="4">
        <f t="shared" si="43"/>
        <v>93.619049528520407</v>
      </c>
      <c r="BA38" s="360">
        <f t="shared" si="33"/>
        <v>0.39896663641224656</v>
      </c>
      <c r="BB38" s="360">
        <f t="shared" si="44"/>
        <v>0.34999589124961561</v>
      </c>
      <c r="BC38" s="360">
        <f t="shared" si="45"/>
        <v>0.2308758668698799</v>
      </c>
      <c r="BD38" s="360">
        <f t="shared" si="46"/>
        <v>0.11739742437973569</v>
      </c>
      <c r="BE38" s="360">
        <f t="shared" si="47"/>
        <v>7.6724468867820417E-2</v>
      </c>
    </row>
    <row r="39" spans="1:57" x14ac:dyDescent="0.25">
      <c r="A39" s="23" t="s">
        <v>70</v>
      </c>
      <c r="B39" s="5">
        <f>Qg_Q3*1000000000</f>
        <v>8</v>
      </c>
      <c r="C39" s="440" t="s">
        <v>65</v>
      </c>
      <c r="D39" s="21" t="s">
        <v>99</v>
      </c>
      <c r="G39">
        <v>30</v>
      </c>
      <c r="H39" s="548">
        <f t="shared" si="0"/>
        <v>45</v>
      </c>
      <c r="I39" s="4">
        <f t="shared" si="1"/>
        <v>2</v>
      </c>
      <c r="J39" s="360">
        <f t="shared" si="34"/>
        <v>3.6</v>
      </c>
      <c r="K39" s="4">
        <f t="shared" si="2"/>
        <v>0.44444444444444442</v>
      </c>
      <c r="L39" s="4"/>
      <c r="M39" s="360">
        <f t="shared" si="3"/>
        <v>0.11157947312384132</v>
      </c>
      <c r="N39" s="4">
        <f t="shared" si="4"/>
        <v>9.2123148302023736</v>
      </c>
      <c r="O39" s="4">
        <f t="shared" si="35"/>
        <v>8.2061574151011865</v>
      </c>
      <c r="P39" s="4">
        <f t="shared" si="36"/>
        <v>-1.0061574151011867</v>
      </c>
      <c r="Q39" s="4">
        <f t="shared" si="5"/>
        <v>10.519157502364733</v>
      </c>
      <c r="R39" s="4">
        <f t="shared" si="6"/>
        <v>4.4757377839745276</v>
      </c>
      <c r="S39" s="360">
        <f t="shared" si="7"/>
        <v>0.10016114355448608</v>
      </c>
      <c r="T39" s="360">
        <f t="shared" si="8"/>
        <v>0.3</v>
      </c>
      <c r="U39" s="360">
        <f t="shared" si="9"/>
        <v>0.4033934918300166</v>
      </c>
      <c r="V39" s="4">
        <f t="shared" si="37"/>
        <v>2.659366223538461</v>
      </c>
      <c r="W39" s="360">
        <f t="shared" si="10"/>
        <v>1.4144457421794432E-2</v>
      </c>
      <c r="X39" s="360">
        <f t="shared" si="38"/>
        <v>1.4144457421794432E-2</v>
      </c>
      <c r="Y39" s="4">
        <f t="shared" si="11"/>
        <v>1.4091787331059775</v>
      </c>
      <c r="Z39" s="360">
        <f t="shared" si="12"/>
        <v>2.9786770527572516E-3</v>
      </c>
      <c r="AA39" s="541">
        <f t="shared" si="39"/>
        <v>2.9786770527572516E-3</v>
      </c>
      <c r="AB39" s="360">
        <f t="shared" si="13"/>
        <v>1.4950536863464798</v>
      </c>
      <c r="AC39" s="360">
        <f t="shared" si="14"/>
        <v>1.3411113150349192E-2</v>
      </c>
      <c r="AD39" s="360">
        <f t="shared" si="15"/>
        <v>6.5168830673969988E-2</v>
      </c>
      <c r="AE39" s="360">
        <f t="shared" si="16"/>
        <v>3.3100525846248077E-2</v>
      </c>
      <c r="AF39" s="360">
        <f t="shared" si="17"/>
        <v>2.1692753869581587E-3</v>
      </c>
      <c r="AG39" s="360">
        <f t="shared" si="18"/>
        <v>0.11408230059506877</v>
      </c>
      <c r="AH39" s="360">
        <f t="shared" si="19"/>
        <v>4.2186541913078175</v>
      </c>
      <c r="AI39" s="360">
        <f t="shared" si="20"/>
        <v>4.4492607964597537E-2</v>
      </c>
      <c r="AJ39" s="360">
        <f t="shared" si="21"/>
        <v>1.7692475386958159E-2</v>
      </c>
      <c r="AK39" s="360">
        <f t="shared" si="22"/>
        <v>6.2743406912782421E-2</v>
      </c>
      <c r="AL39" s="360">
        <f t="shared" si="23"/>
        <v>1.5523199999999999E-2</v>
      </c>
      <c r="AM39" s="360">
        <f t="shared" si="24"/>
        <v>0.1782</v>
      </c>
      <c r="AN39" s="360">
        <f t="shared" si="25"/>
        <v>8.0128914843588861E-2</v>
      </c>
      <c r="AO39" s="360">
        <f t="shared" si="26"/>
        <v>1.5749999999999998E-3</v>
      </c>
      <c r="AP39" s="360">
        <f t="shared" si="27"/>
        <v>0.32669999999999993</v>
      </c>
      <c r="AQ39" s="360">
        <f t="shared" si="28"/>
        <v>0.31218000000000001</v>
      </c>
      <c r="AR39" s="360">
        <f t="shared" si="29"/>
        <v>0.29039999999999999</v>
      </c>
      <c r="AS39" s="360">
        <f t="shared" si="48"/>
        <v>0.32827499999999993</v>
      </c>
      <c r="AT39" s="360">
        <f t="shared" si="41"/>
        <v>1.1994694486560082</v>
      </c>
      <c r="AU39">
        <f t="shared" si="30"/>
        <v>18</v>
      </c>
      <c r="AV39" s="542">
        <f t="shared" si="42"/>
        <v>0.93752590654321588</v>
      </c>
      <c r="AW39" s="551">
        <f t="shared" si="31"/>
        <v>8.8043834226126148</v>
      </c>
      <c r="AX39" s="551">
        <f t="shared" si="32"/>
        <v>4.6188774626857327</v>
      </c>
      <c r="AY39" s="9"/>
      <c r="AZ39" s="4">
        <f t="shared" si="43"/>
        <v>93.752590654321594</v>
      </c>
      <c r="BA39" s="360">
        <f t="shared" si="33"/>
        <v>0.4033934918300166</v>
      </c>
      <c r="BB39" s="360">
        <f t="shared" si="44"/>
        <v>0.35502570750785123</v>
      </c>
      <c r="BC39" s="360">
        <f t="shared" si="45"/>
        <v>0.23169430059506879</v>
      </c>
      <c r="BD39" s="360">
        <f t="shared" si="46"/>
        <v>0.12154940691278243</v>
      </c>
      <c r="BE39" s="360">
        <f t="shared" si="47"/>
        <v>8.0128914843588861E-2</v>
      </c>
    </row>
    <row r="40" spans="1:57" x14ac:dyDescent="0.25">
      <c r="A40" s="23" t="s">
        <v>120</v>
      </c>
      <c r="B40" s="5">
        <f>Qgd_Q3*1000000000</f>
        <v>1.4</v>
      </c>
      <c r="C40" s="440" t="s">
        <v>65</v>
      </c>
      <c r="D40" s="21" t="s">
        <v>121</v>
      </c>
      <c r="G40">
        <v>31</v>
      </c>
      <c r="H40" s="548">
        <f t="shared" si="0"/>
        <v>45</v>
      </c>
      <c r="I40" s="4">
        <f t="shared" si="1"/>
        <v>2</v>
      </c>
      <c r="J40" s="360">
        <f t="shared" si="34"/>
        <v>3.72</v>
      </c>
      <c r="K40" s="4">
        <f t="shared" si="2"/>
        <v>0.45925925925925931</v>
      </c>
      <c r="L40" s="4"/>
      <c r="M40" s="360">
        <f t="shared" si="3"/>
        <v>0.111595082352134</v>
      </c>
      <c r="N40" s="4">
        <f t="shared" si="4"/>
        <v>9.2132992217262615</v>
      </c>
      <c r="O40" s="4">
        <f t="shared" si="35"/>
        <v>8.3266496108631305</v>
      </c>
      <c r="P40" s="4">
        <f t="shared" si="36"/>
        <v>-0.88664961086313054</v>
      </c>
      <c r="Q40" s="4">
        <f t="shared" si="5"/>
        <v>9.2697293346903358</v>
      </c>
      <c r="R40" s="4">
        <f t="shared" si="6"/>
        <v>4.5729793584075811</v>
      </c>
      <c r="S40" s="360">
        <f t="shared" si="7"/>
        <v>0.10456070106210906</v>
      </c>
      <c r="T40" s="360">
        <f t="shared" si="8"/>
        <v>0.3</v>
      </c>
      <c r="U40" s="360">
        <f t="shared" si="9"/>
        <v>0.40797333933212643</v>
      </c>
      <c r="V40" s="4">
        <f t="shared" si="37"/>
        <v>2.6596503928941133</v>
      </c>
      <c r="W40" s="360">
        <f t="shared" si="10"/>
        <v>1.4147480424843624E-2</v>
      </c>
      <c r="X40" s="360">
        <f t="shared" si="38"/>
        <v>1.4147480424843624E-2</v>
      </c>
      <c r="Y40" s="4">
        <f t="shared" si="11"/>
        <v>1.4398831401253875</v>
      </c>
      <c r="Z40" s="360">
        <f t="shared" si="12"/>
        <v>3.1098951858260196E-3</v>
      </c>
      <c r="AA40" s="541">
        <f t="shared" si="39"/>
        <v>3.1098951858260196E-3</v>
      </c>
      <c r="AB40" s="360">
        <f t="shared" si="13"/>
        <v>1.5276426313652631</v>
      </c>
      <c r="AC40" s="360">
        <f t="shared" si="14"/>
        <v>1.4002152054987511E-2</v>
      </c>
      <c r="AD40" s="360">
        <f t="shared" si="15"/>
        <v>6.7341125029768981E-2</v>
      </c>
      <c r="AE40" s="360">
        <f t="shared" si="16"/>
        <v>2.6997779197153533E-2</v>
      </c>
      <c r="AF40" s="360">
        <f t="shared" si="17"/>
        <v>1.9116165610209093E-3</v>
      </c>
      <c r="AG40" s="360">
        <f t="shared" si="18"/>
        <v>0.11048782708089275</v>
      </c>
      <c r="AH40" s="360">
        <f t="shared" si="19"/>
        <v>4.3102724047625145</v>
      </c>
      <c r="AI40" s="360">
        <f t="shared" si="20"/>
        <v>4.6446120508143077E-2</v>
      </c>
      <c r="AJ40" s="360">
        <f t="shared" si="21"/>
        <v>1.795225656102091E-2</v>
      </c>
      <c r="AK40" s="360">
        <f t="shared" si="22"/>
        <v>6.5002197044609578E-2</v>
      </c>
      <c r="AL40" s="360">
        <f t="shared" si="23"/>
        <v>1.6040640000000002E-2</v>
      </c>
      <c r="AM40" s="360">
        <f t="shared" si="24"/>
        <v>0.18413999999999997</v>
      </c>
      <c r="AN40" s="360">
        <f t="shared" si="25"/>
        <v>8.3648560849687248E-2</v>
      </c>
      <c r="AO40" s="360">
        <f t="shared" si="26"/>
        <v>1.5749999999999998E-3</v>
      </c>
      <c r="AP40" s="360">
        <f t="shared" si="27"/>
        <v>0.32669999999999993</v>
      </c>
      <c r="AQ40" s="360">
        <f t="shared" si="28"/>
        <v>0.31218000000000001</v>
      </c>
      <c r="AR40" s="360">
        <f t="shared" si="29"/>
        <v>0.29039999999999999</v>
      </c>
      <c r="AS40" s="360">
        <f t="shared" si="48"/>
        <v>0.32827499999999993</v>
      </c>
      <c r="AT40" s="360">
        <f t="shared" si="41"/>
        <v>1.2128249399179858</v>
      </c>
      <c r="AU40">
        <f t="shared" si="30"/>
        <v>18.600000000000001</v>
      </c>
      <c r="AV40" s="542">
        <f t="shared" si="42"/>
        <v>0.93878586503459982</v>
      </c>
      <c r="AW40" s="551">
        <f t="shared" si="31"/>
        <v>8.8167686290739233</v>
      </c>
      <c r="AX40" s="551">
        <f t="shared" si="32"/>
        <v>4.7791990876951633</v>
      </c>
      <c r="AY40" s="9"/>
      <c r="AZ40" s="4">
        <f t="shared" si="43"/>
        <v>93.878586503459985</v>
      </c>
      <c r="BA40" s="360">
        <f t="shared" si="33"/>
        <v>0.40797333933212643</v>
      </c>
      <c r="BB40" s="360">
        <f t="shared" si="44"/>
        <v>0.35963002412550227</v>
      </c>
      <c r="BC40" s="360">
        <f t="shared" si="45"/>
        <v>0.23202022708089273</v>
      </c>
      <c r="BD40" s="360">
        <f t="shared" si="46"/>
        <v>0.12576839704460957</v>
      </c>
      <c r="BE40" s="360">
        <f t="shared" si="47"/>
        <v>8.3648560849687248E-2</v>
      </c>
    </row>
    <row r="41" spans="1:57" x14ac:dyDescent="0.25">
      <c r="A41" s="23" t="s">
        <v>124</v>
      </c>
      <c r="B41" s="5">
        <f>Qgs_Q3*1000000000</f>
        <v>3.8000000000000003</v>
      </c>
      <c r="C41" s="440" t="s">
        <v>65</v>
      </c>
      <c r="D41" s="21"/>
      <c r="G41">
        <v>32</v>
      </c>
      <c r="H41" s="548">
        <f t="shared" si="0"/>
        <v>45</v>
      </c>
      <c r="I41" s="4">
        <f t="shared" ref="I41:I72" si="49">MODE</f>
        <v>2</v>
      </c>
      <c r="J41" s="360">
        <f t="shared" si="34"/>
        <v>3.84</v>
      </c>
      <c r="K41" s="4">
        <f t="shared" ref="K41:K72" si="50">Vout2*J41/(Vin*Efficiency)</f>
        <v>0.47407407407407404</v>
      </c>
      <c r="L41" s="4"/>
      <c r="M41" s="360">
        <f t="shared" ref="M41:M72" si="51">(Vout2+(Rdson4+Rs+Rdcr)*J41)/(Vin+(Rs+Rdson2-Rdson1)*J41)</f>
        <v>0.11161069139731279</v>
      </c>
      <c r="N41" s="4">
        <f t="shared" ref="N41:N72" si="52">(Vin-(Rdson3+Rdcr2)*J41-Vout2)*M41/(Fsw*Lo_2)</f>
        <v>9.2142835129915053</v>
      </c>
      <c r="O41" s="4">
        <f t="shared" si="35"/>
        <v>8.4471417564957534</v>
      </c>
      <c r="P41" s="4">
        <f t="shared" si="36"/>
        <v>-0.76714175649575278</v>
      </c>
      <c r="Q41" s="4">
        <f t="shared" ref="Q41:Q72" si="53">IF(MIN(Vin, -P41/(Coss_Q3+Coss_Q4)*0.00000002)&lt;0, 0, MIN(Vin, -P41/(Coss_Q3+Coss_Q4)*0.00000002))</f>
        <v>8.0203006429247541</v>
      </c>
      <c r="R41" s="4">
        <f t="shared" ref="R41:R72" si="54">SQRT(J41^2+(N41^2)/12)</f>
        <v>4.6712794523002215</v>
      </c>
      <c r="S41" s="360">
        <f t="shared" ref="S41:S72" si="55">R41^2*Rdcr2</f>
        <v>0.10910425860741128</v>
      </c>
      <c r="T41" s="360">
        <f t="shared" ref="T41:T72" si="56">Core_Loss_Ch1</f>
        <v>0.3</v>
      </c>
      <c r="U41" s="360">
        <f t="shared" ref="U41:U72" si="57">(T41+S41*(1+Ltc*(Ta-25)))/(1-S41*Ltc*ThetaCa)</f>
        <v>0.41270650155740157</v>
      </c>
      <c r="V41" s="4">
        <f t="shared" si="37"/>
        <v>2.6599345333075881</v>
      </c>
      <c r="W41" s="360">
        <f t="shared" ref="W41:W72" si="58">Cout2_ESR*V41^2</f>
        <v>1.4150503442964514E-2</v>
      </c>
      <c r="X41" s="360">
        <f t="shared" si="38"/>
        <v>1.4150503442964514E-2</v>
      </c>
      <c r="Y41" s="4">
        <f t="shared" ref="Y41:Y72" si="59">SQRT(M41*(1-M41))*SQRT(J41^2+(N41^2)/12)</f>
        <v>1.4709245957798291</v>
      </c>
      <c r="Z41" s="360">
        <f t="shared" si="12"/>
        <v>3.2454287497050809E-3</v>
      </c>
      <c r="AA41" s="541">
        <f t="shared" si="39"/>
        <v>3.2454287497050809E-3</v>
      </c>
      <c r="AB41" s="360">
        <f t="shared" ref="AB41:AB72" si="60">SQRT(M41)*SQRT(J41^2+(N41^2)/12)</f>
        <v>1.5605897434985525</v>
      </c>
      <c r="AC41" s="360">
        <f t="shared" ref="AC41:AC72" si="61">Rdson3*AB41^2</f>
        <v>1.4612642085077267E-2</v>
      </c>
      <c r="AD41" s="360">
        <f t="shared" ref="AD41:AD72" si="62">(Vin*J41/2)*Fsw*(Tr_Ch2+Tf_Ch2)</f>
        <v>6.9513419385567973E-2</v>
      </c>
      <c r="AE41" s="360">
        <f t="shared" ref="AE41:AE72" si="63">(0.5*Coss_Q3*(Vin-Q41)^2-0.5*Coss_Q4*(Vin-Q41)^2+(Qoss_Q4*(Vin-Q41)/Vin)*Vin)*Fsw</f>
        <v>2.0384340982942568E-2</v>
      </c>
      <c r="AF41" s="360">
        <f t="shared" ref="AF41:AF72" si="64">IF(J41&gt;N41/2,0,ABS(J41-N41/2)*Vsd_Q3*Deadtime*Fsw)</f>
        <v>1.6539576270048427E-3</v>
      </c>
      <c r="AG41" s="360">
        <f t="shared" ref="AG41:AG72" si="65">(AF41+AE41+AD41+AC41*(1+RdsonTopTc*Ta-RdsonTopTc*25))/(1-AC41*RdsonTopTc*ThetaJA_Q2)</f>
        <v>0.10640068894874513</v>
      </c>
      <c r="AH41" s="360">
        <f t="shared" ref="AH41:AH72" si="66">SQRT((1-M41))*SQRT(J41^2+(N41^2)/12)</f>
        <v>4.4028867091908435</v>
      </c>
      <c r="AI41" s="360">
        <f t="shared" ref="AI41:AI72" si="67">Rdson4*AH41^2</f>
        <v>4.8463528434923443E-2</v>
      </c>
      <c r="AJ41" s="360">
        <f t="shared" ref="AJ41:AJ72" si="68">IF(J41&lt;N41/2,Deadtime*Fsw*IF(VfdSky_Q4&gt;0,0,Vsd_Q4)*(J41+N41/2),2*Deadtime*Fsw*IF(VfdSky_Q4&gt;0,0,Vsd_Q4)*J41)</f>
        <v>1.8212037627004844E-2</v>
      </c>
      <c r="AK41" s="360">
        <f t="shared" ref="AK41:AK72" si="69">(AJ41+AI41*(1+RdsonBotTc*Ta-RdsonBotTc*25))/(1-AI41*RdsonBotTc*ThetaJA_Q3)</f>
        <v>6.7328158082670383E-2</v>
      </c>
      <c r="AL41" s="360">
        <f t="shared" ref="AL41:AL72" si="70">2*Deadtime*Fsw*IF(VfdSky_Q4&gt;0,VfdSky_Q4,Vsd_Q4)*J41</f>
        <v>1.6558079999999999E-2</v>
      </c>
      <c r="AM41" s="360">
        <f t="shared" ref="AM41:AM72" si="71">IF(QrrSky_Q4&gt;0,QrrSky_Q4,Qrr_Q4*J41/Iout2)*Fsw*Vin</f>
        <v>0.19007999999999997</v>
      </c>
      <c r="AN41" s="360">
        <f t="shared" ref="AN41:AN72" si="72">CHOOSE(SENSING_TYPE, Rs_Ch2*R41^2, 0)</f>
        <v>8.7283406885929032E-2</v>
      </c>
      <c r="AO41" s="360">
        <f t="shared" ref="AO41:AO72" si="73">Iq*Vin</f>
        <v>1.5749999999999998E-3</v>
      </c>
      <c r="AP41" s="360">
        <f t="shared" ref="AP41:AP72" si="74">IF(Ext_VCC=1,  (Qg_Q3+Qg_Q4)*Fsw*VCC, (Qg_Q3+Qg_Q4)*Fsw*Vin)</f>
        <v>0.32669999999999993</v>
      </c>
      <c r="AQ41" s="360">
        <f t="shared" ref="AQ41:AQ72" si="75">(Vin-VCC)*Fsw*(Qg_Q3+Qg_Q4)+(RdsonDRT+RdsonDRT2)*Fsw*Qg_Q3*VCC/(RdsonDRT+2*Rgate3+RdsonDRT2)+(RdsonDRB+RdsonDRB2)*Fsw*Qg_Q4*VCC/(RdsonDRB+2*Rgate4+RdsonDRB2)</f>
        <v>0.31218000000000001</v>
      </c>
      <c r="AR41" s="360">
        <f t="shared" ref="AR41:AR72" si="76">(Qg_Q3+Qg_Q4)*Fsw*(Vin-VCC)</f>
        <v>0.29039999999999999</v>
      </c>
      <c r="AS41" s="360">
        <f t="shared" si="48"/>
        <v>0.32827499999999993</v>
      </c>
      <c r="AT41" s="360">
        <f t="shared" si="41"/>
        <v>1.2260277676674154</v>
      </c>
      <c r="AU41">
        <f t="shared" ref="AU41:AU72" si="77">Vout2*J41</f>
        <v>19.2</v>
      </c>
      <c r="AV41" s="542">
        <f t="shared" si="42"/>
        <v>0.93997718099609617</v>
      </c>
      <c r="AW41" s="551">
        <f t="shared" ref="AW41:AW72" si="78">ThetaJA_Q1*BC41</f>
        <v>8.8104325800523142</v>
      </c>
      <c r="AX41" s="551">
        <f t="shared" ref="AX41:AX72" si="79">ThetaJA_Q2*BD41</f>
        <v>4.9420732071414735</v>
      </c>
      <c r="AY41" s="9"/>
      <c r="AZ41" s="4">
        <f t="shared" si="43"/>
        <v>93.997718099609614</v>
      </c>
      <c r="BA41" s="360">
        <f t="shared" ref="BA41:BA72" si="80">U41</f>
        <v>0.41270650155740157</v>
      </c>
      <c r="BB41" s="360">
        <f t="shared" si="44"/>
        <v>0.36380884703141547</v>
      </c>
      <c r="BC41" s="360">
        <f t="shared" si="45"/>
        <v>0.23185348894874511</v>
      </c>
      <c r="BD41" s="360">
        <f t="shared" si="46"/>
        <v>0.13005455808267036</v>
      </c>
      <c r="BE41" s="360">
        <f t="shared" si="47"/>
        <v>8.7283406885929032E-2</v>
      </c>
    </row>
    <row r="42" spans="1:57" x14ac:dyDescent="0.25">
      <c r="A42" s="23" t="s">
        <v>90</v>
      </c>
      <c r="B42" s="5">
        <f>Rgate3</f>
        <v>0.5</v>
      </c>
      <c r="C42" s="444" t="s">
        <v>116</v>
      </c>
      <c r="D42" s="21" t="s">
        <v>100</v>
      </c>
      <c r="G42">
        <v>33</v>
      </c>
      <c r="H42" s="548">
        <f t="shared" si="0"/>
        <v>45</v>
      </c>
      <c r="I42" s="4">
        <f t="shared" si="49"/>
        <v>2</v>
      </c>
      <c r="J42" s="360">
        <f t="shared" ref="J42:J73" si="81">Iout2*G42/100</f>
        <v>3.96</v>
      </c>
      <c r="K42" s="4">
        <f t="shared" si="50"/>
        <v>0.48888888888888893</v>
      </c>
      <c r="L42" s="4"/>
      <c r="M42" s="360">
        <f t="shared" si="51"/>
        <v>0.11162630025938088</v>
      </c>
      <c r="N42" s="4">
        <f t="shared" si="52"/>
        <v>9.2152677039998672</v>
      </c>
      <c r="O42" s="4">
        <f t="shared" si="35"/>
        <v>8.5676338519999327</v>
      </c>
      <c r="P42" s="4">
        <f t="shared" si="36"/>
        <v>-0.64763385199993362</v>
      </c>
      <c r="Q42" s="4">
        <f t="shared" si="53"/>
        <v>6.7708714270771946</v>
      </c>
      <c r="R42" s="4">
        <f t="shared" si="54"/>
        <v>4.7705726320885118</v>
      </c>
      <c r="S42" s="360">
        <f t="shared" si="55"/>
        <v>0.11379181619015956</v>
      </c>
      <c r="T42" s="360">
        <f t="shared" si="56"/>
        <v>0.3</v>
      </c>
      <c r="U42" s="360">
        <f t="shared" si="57"/>
        <v>0.41759331230504393</v>
      </c>
      <c r="V42" s="4">
        <f t="shared" si="37"/>
        <v>2.6602186447793943</v>
      </c>
      <c r="W42" s="360">
        <f t="shared" si="58"/>
        <v>1.4153526476063836E-2</v>
      </c>
      <c r="X42" s="360">
        <f t="shared" si="38"/>
        <v>1.4153526476063836E-2</v>
      </c>
      <c r="Y42" s="4">
        <f t="shared" si="59"/>
        <v>1.5022825551398733</v>
      </c>
      <c r="Z42" s="360">
        <f t="shared" si="12"/>
        <v>3.3852793132163796E-3</v>
      </c>
      <c r="AA42" s="541">
        <f t="shared" si="39"/>
        <v>3.3852793132163796E-3</v>
      </c>
      <c r="AB42" s="360">
        <f t="shared" si="60"/>
        <v>1.5938732346772768</v>
      </c>
      <c r="AC42" s="360">
        <f t="shared" si="61"/>
        <v>1.5242591329323632E-2</v>
      </c>
      <c r="AD42" s="360">
        <f t="shared" si="62"/>
        <v>7.168571374136698E-2</v>
      </c>
      <c r="AE42" s="360">
        <f t="shared" si="63"/>
        <v>1.3260210561021574E-2</v>
      </c>
      <c r="AF42" s="360">
        <f t="shared" si="64"/>
        <v>1.3962985849118566E-3</v>
      </c>
      <c r="AG42" s="360">
        <f t="shared" si="65"/>
        <v>0.10182071998340586</v>
      </c>
      <c r="AH42" s="360">
        <f t="shared" si="66"/>
        <v>4.4964354048302866</v>
      </c>
      <c r="AI42" s="360">
        <f t="shared" si="67"/>
        <v>5.0544828374528256E-2</v>
      </c>
      <c r="AJ42" s="360">
        <f t="shared" si="68"/>
        <v>1.8471818584911853E-2</v>
      </c>
      <c r="AK42" s="360">
        <f t="shared" si="69"/>
        <v>6.9721458793184768E-2</v>
      </c>
      <c r="AL42" s="360">
        <f t="shared" si="70"/>
        <v>1.707552E-2</v>
      </c>
      <c r="AM42" s="360">
        <f t="shared" si="71"/>
        <v>0.19601999999999997</v>
      </c>
      <c r="AN42" s="360">
        <f t="shared" si="72"/>
        <v>9.1033452952127655E-2</v>
      </c>
      <c r="AO42" s="360">
        <f t="shared" si="73"/>
        <v>1.5749999999999998E-3</v>
      </c>
      <c r="AP42" s="360">
        <f t="shared" si="74"/>
        <v>0.32669999999999993</v>
      </c>
      <c r="AQ42" s="360">
        <f t="shared" si="75"/>
        <v>0.31218000000000001</v>
      </c>
      <c r="AR42" s="360">
        <f t="shared" si="76"/>
        <v>0.29039999999999999</v>
      </c>
      <c r="AS42" s="360">
        <f t="shared" si="48"/>
        <v>0.32827499999999993</v>
      </c>
      <c r="AT42" s="360">
        <f t="shared" si="41"/>
        <v>1.2390782698230425</v>
      </c>
      <c r="AU42">
        <f t="shared" si="77"/>
        <v>19.8</v>
      </c>
      <c r="AV42" s="542">
        <f t="shared" si="42"/>
        <v>0.94110586718999523</v>
      </c>
      <c r="AW42" s="551">
        <f t="shared" si="78"/>
        <v>8.7853689593694231</v>
      </c>
      <c r="AX42" s="551">
        <f t="shared" si="79"/>
        <v>5.1075062341410211</v>
      </c>
      <c r="AY42" s="9"/>
      <c r="AZ42" s="4">
        <f t="shared" si="43"/>
        <v>94.110586718999528</v>
      </c>
      <c r="BA42" s="360">
        <f t="shared" si="80"/>
        <v>0.41759331230504393</v>
      </c>
      <c r="BB42" s="360">
        <f t="shared" si="44"/>
        <v>0.36756217877659059</v>
      </c>
      <c r="BC42" s="360">
        <f t="shared" si="45"/>
        <v>0.23119391998340585</v>
      </c>
      <c r="BD42" s="360">
        <f t="shared" si="46"/>
        <v>0.13440805879318476</v>
      </c>
      <c r="BE42" s="360">
        <f t="shared" si="47"/>
        <v>9.1033452952127655E-2</v>
      </c>
    </row>
    <row r="43" spans="1:57" x14ac:dyDescent="0.25">
      <c r="A43" s="23" t="s">
        <v>69</v>
      </c>
      <c r="B43" s="5">
        <f>Gfs_Q3</f>
        <v>64</v>
      </c>
      <c r="C43" s="440" t="s">
        <v>66</v>
      </c>
      <c r="D43" s="21" t="s">
        <v>101</v>
      </c>
      <c r="G43">
        <v>34</v>
      </c>
      <c r="H43" s="548">
        <f t="shared" si="0"/>
        <v>45</v>
      </c>
      <c r="I43" s="4">
        <f t="shared" si="49"/>
        <v>2</v>
      </c>
      <c r="J43" s="360">
        <f t="shared" si="81"/>
        <v>4.08</v>
      </c>
      <c r="K43" s="4">
        <f t="shared" si="50"/>
        <v>0.50370370370370365</v>
      </c>
      <c r="L43" s="4"/>
      <c r="M43" s="360">
        <f t="shared" si="51"/>
        <v>0.11164190893834154</v>
      </c>
      <c r="N43" s="4">
        <f t="shared" si="52"/>
        <v>9.2162517947531182</v>
      </c>
      <c r="O43" s="4">
        <f t="shared" si="35"/>
        <v>8.6881258973765583</v>
      </c>
      <c r="P43" s="4">
        <f t="shared" si="36"/>
        <v>-0.52812589737655902</v>
      </c>
      <c r="Q43" s="4">
        <f t="shared" si="53"/>
        <v>5.5214416871569174</v>
      </c>
      <c r="R43" s="4">
        <f t="shared" si="54"/>
        <v>4.8707981647799956</v>
      </c>
      <c r="S43" s="360">
        <f t="shared" si="55"/>
        <v>0.11862337381012086</v>
      </c>
      <c r="T43" s="360">
        <f t="shared" si="56"/>
        <v>0.3</v>
      </c>
      <c r="U43" s="360">
        <f t="shared" si="57"/>
        <v>0.42263411659393141</v>
      </c>
      <c r="V43" s="4">
        <f t="shared" si="37"/>
        <v>2.6605027273100421</v>
      </c>
      <c r="W43" s="360">
        <f t="shared" si="58"/>
        <v>1.4156549524048344E-2</v>
      </c>
      <c r="X43" s="360">
        <f t="shared" si="38"/>
        <v>1.4156549524048344E-2</v>
      </c>
      <c r="Y43" s="4">
        <f t="shared" si="59"/>
        <v>1.5339379485535054</v>
      </c>
      <c r="Z43" s="360">
        <f t="shared" si="12"/>
        <v>3.5294484450188049E-3</v>
      </c>
      <c r="AA43" s="541">
        <f t="shared" si="39"/>
        <v>3.5294484450188049E-3</v>
      </c>
      <c r="AB43" s="360">
        <f t="shared" si="60"/>
        <v>1.6274728813020733</v>
      </c>
      <c r="AC43" s="360">
        <f t="shared" si="61"/>
        <v>1.5892007876242037E-2</v>
      </c>
      <c r="AD43" s="360">
        <f t="shared" si="62"/>
        <v>7.3858008097165986E-2</v>
      </c>
      <c r="AE43" s="360">
        <f t="shared" si="63"/>
        <v>5.6253872888118997E-3</v>
      </c>
      <c r="AF43" s="360">
        <f t="shared" si="64"/>
        <v>1.1386394347438612E-3</v>
      </c>
      <c r="AG43" s="360">
        <f t="shared" si="65"/>
        <v>9.6747745117932049E-2</v>
      </c>
      <c r="AH43" s="360">
        <f t="shared" si="66"/>
        <v>4.5908612245035787</v>
      </c>
      <c r="AI43" s="360">
        <f t="shared" si="67"/>
        <v>5.269001695662625E-2</v>
      </c>
      <c r="AJ43" s="360">
        <f t="shared" si="68"/>
        <v>1.8731599434743861E-2</v>
      </c>
      <c r="AK43" s="360">
        <f t="shared" si="69"/>
        <v>7.218227343360703E-2</v>
      </c>
      <c r="AL43" s="360">
        <f t="shared" si="70"/>
        <v>1.7592960000000001E-2</v>
      </c>
      <c r="AM43" s="360">
        <f t="shared" si="71"/>
        <v>0.20196</v>
      </c>
      <c r="AN43" s="360">
        <f t="shared" si="72"/>
        <v>9.4898699048096696E-2</v>
      </c>
      <c r="AO43" s="360">
        <f t="shared" si="73"/>
        <v>1.5749999999999998E-3</v>
      </c>
      <c r="AP43" s="360">
        <f t="shared" si="74"/>
        <v>0.32669999999999993</v>
      </c>
      <c r="AQ43" s="360">
        <f t="shared" si="75"/>
        <v>0.31218000000000001</v>
      </c>
      <c r="AR43" s="360">
        <f t="shared" si="76"/>
        <v>0.29039999999999999</v>
      </c>
      <c r="AS43" s="360">
        <f t="shared" si="48"/>
        <v>0.32827499999999993</v>
      </c>
      <c r="AT43" s="360">
        <f t="shared" si="41"/>
        <v>1.2519767921626344</v>
      </c>
      <c r="AU43">
        <f t="shared" si="77"/>
        <v>20.399999999999999</v>
      </c>
      <c r="AV43" s="542">
        <f t="shared" si="42"/>
        <v>0.94217725225828752</v>
      </c>
      <c r="AW43" s="551">
        <f t="shared" si="78"/>
        <v>8.7415711144814185</v>
      </c>
      <c r="AX43" s="551">
        <f t="shared" si="79"/>
        <v>5.2755047904770676</v>
      </c>
      <c r="AY43" s="9"/>
      <c r="AZ43" s="4">
        <f t="shared" si="43"/>
        <v>94.217725225828758</v>
      </c>
      <c r="BA43" s="360">
        <f t="shared" si="80"/>
        <v>0.42263411659393141</v>
      </c>
      <c r="BB43" s="360">
        <f t="shared" si="44"/>
        <v>0.37089001855153908</v>
      </c>
      <c r="BC43" s="360">
        <f t="shared" si="45"/>
        <v>0.23004134511793206</v>
      </c>
      <c r="BD43" s="360">
        <f t="shared" si="46"/>
        <v>0.13882907343360704</v>
      </c>
      <c r="BE43" s="360">
        <f t="shared" si="47"/>
        <v>9.4898699048096696E-2</v>
      </c>
    </row>
    <row r="44" spans="1:57" x14ac:dyDescent="0.25">
      <c r="A44" s="23" t="s">
        <v>92</v>
      </c>
      <c r="B44" s="5">
        <f>Vth_Q3</f>
        <v>2.9</v>
      </c>
      <c r="C44" s="440" t="s">
        <v>0</v>
      </c>
      <c r="D44" s="21" t="s">
        <v>102</v>
      </c>
      <c r="G44">
        <v>35</v>
      </c>
      <c r="H44" s="548">
        <f t="shared" si="0"/>
        <v>45</v>
      </c>
      <c r="I44" s="4">
        <f t="shared" si="49"/>
        <v>2</v>
      </c>
      <c r="J44" s="360">
        <f t="shared" si="81"/>
        <v>4.2</v>
      </c>
      <c r="K44" s="4">
        <f t="shared" si="50"/>
        <v>0.51851851851851849</v>
      </c>
      <c r="L44" s="4"/>
      <c r="M44" s="360">
        <f t="shared" si="51"/>
        <v>0.11165751743419795</v>
      </c>
      <c r="N44" s="4">
        <f t="shared" si="52"/>
        <v>9.2172357852530116</v>
      </c>
      <c r="O44" s="4">
        <f t="shared" si="35"/>
        <v>8.808617892626506</v>
      </c>
      <c r="P44" s="4">
        <f t="shared" si="36"/>
        <v>-0.40861789262650561</v>
      </c>
      <c r="Q44" s="4">
        <f t="shared" si="53"/>
        <v>4.2720114231730859</v>
      </c>
      <c r="R44" s="4">
        <f t="shared" si="54"/>
        <v>4.9718996664667712</v>
      </c>
      <c r="S44" s="360">
        <f t="shared" si="55"/>
        <v>0.12359893146706195</v>
      </c>
      <c r="T44" s="360">
        <f t="shared" si="56"/>
        <v>0.3</v>
      </c>
      <c r="U44" s="360">
        <f t="shared" si="57"/>
        <v>0.4278292707240075</v>
      </c>
      <c r="V44" s="4">
        <f t="shared" si="37"/>
        <v>2.6607867809000392</v>
      </c>
      <c r="W44" s="360">
        <f t="shared" si="58"/>
        <v>1.4159572586824787E-2</v>
      </c>
      <c r="X44" s="360">
        <f t="shared" si="38"/>
        <v>1.4159572586824787E-2</v>
      </c>
      <c r="Y44" s="4">
        <f t="shared" si="59"/>
        <v>1.5658730714009939</v>
      </c>
      <c r="Z44" s="360">
        <f t="shared" si="12"/>
        <v>3.677937713608173E-3</v>
      </c>
      <c r="AA44" s="541">
        <f t="shared" si="39"/>
        <v>3.677937713608173E-3</v>
      </c>
      <c r="AB44" s="360">
        <f t="shared" si="60"/>
        <v>1.6613699073434371</v>
      </c>
      <c r="AC44" s="360">
        <f t="shared" si="61"/>
        <v>1.6560899814158047E-2</v>
      </c>
      <c r="AD44" s="360">
        <f t="shared" si="62"/>
        <v>7.6030302452964979E-2</v>
      </c>
      <c r="AE44" s="360">
        <f t="shared" si="63"/>
        <v>-2.5201294762508568E-3</v>
      </c>
      <c r="AF44" s="360">
        <f t="shared" si="64"/>
        <v>8.8098017650274608E-4</v>
      </c>
      <c r="AG44" s="360">
        <f t="shared" si="65"/>
        <v>9.1181580418141547E-2</v>
      </c>
      <c r="AH44" s="360">
        <f t="shared" si="66"/>
        <v>4.6861110021409065</v>
      </c>
      <c r="AI44" s="360">
        <f t="shared" si="67"/>
        <v>5.4899090810965126E-2</v>
      </c>
      <c r="AJ44" s="360">
        <f t="shared" si="68"/>
        <v>1.8991380176502745E-2</v>
      </c>
      <c r="AK44" s="360">
        <f t="shared" si="69"/>
        <v>7.4710781786236025E-2</v>
      </c>
      <c r="AL44" s="360">
        <f t="shared" si="70"/>
        <v>1.8110399999999999E-2</v>
      </c>
      <c r="AM44" s="360">
        <f t="shared" si="71"/>
        <v>0.2079</v>
      </c>
      <c r="AN44" s="360">
        <f t="shared" si="72"/>
        <v>9.8879145173649569E-2</v>
      </c>
      <c r="AO44" s="360">
        <f t="shared" si="73"/>
        <v>1.5749999999999998E-3</v>
      </c>
      <c r="AP44" s="360">
        <f t="shared" si="74"/>
        <v>0.32669999999999993</v>
      </c>
      <c r="AQ44" s="360">
        <f t="shared" si="75"/>
        <v>0.31218000000000001</v>
      </c>
      <c r="AR44" s="360">
        <f t="shared" si="76"/>
        <v>0.29039999999999999</v>
      </c>
      <c r="AS44" s="360">
        <f t="shared" si="48"/>
        <v>0.32827499999999993</v>
      </c>
      <c r="AT44" s="360">
        <f t="shared" si="41"/>
        <v>1.2647236884024673</v>
      </c>
      <c r="AU44">
        <f t="shared" si="77"/>
        <v>21</v>
      </c>
      <c r="AV44" s="542">
        <f t="shared" si="42"/>
        <v>0.94319607527573979</v>
      </c>
      <c r="AW44" s="551">
        <f t="shared" si="78"/>
        <v>8.6790320558893796</v>
      </c>
      <c r="AX44" s="551">
        <f t="shared" si="79"/>
        <v>5.446075707876969</v>
      </c>
      <c r="AY44" s="9"/>
      <c r="AZ44" s="4">
        <f t="shared" si="43"/>
        <v>94.319607527573979</v>
      </c>
      <c r="BA44" s="360">
        <f t="shared" si="80"/>
        <v>0.4278292707240075</v>
      </c>
      <c r="BB44" s="360">
        <f t="shared" si="44"/>
        <v>0.37379236220437762</v>
      </c>
      <c r="BC44" s="360">
        <f t="shared" si="45"/>
        <v>0.22839558041814156</v>
      </c>
      <c r="BD44" s="360">
        <f t="shared" si="46"/>
        <v>0.14331778178623603</v>
      </c>
      <c r="BE44" s="360">
        <f t="shared" si="47"/>
        <v>9.8879145173649569E-2</v>
      </c>
    </row>
    <row r="45" spans="1:57" x14ac:dyDescent="0.25">
      <c r="A45" s="28" t="s">
        <v>123</v>
      </c>
      <c r="B45" s="447">
        <f>Vsp_Q3</f>
        <v>3.0874999999999999</v>
      </c>
      <c r="C45" s="445" t="s">
        <v>0</v>
      </c>
      <c r="G45">
        <v>36</v>
      </c>
      <c r="H45" s="548">
        <f t="shared" si="0"/>
        <v>45</v>
      </c>
      <c r="I45" s="4">
        <f t="shared" si="49"/>
        <v>2</v>
      </c>
      <c r="J45" s="360">
        <f t="shared" si="81"/>
        <v>4.32</v>
      </c>
      <c r="K45" s="4">
        <f t="shared" si="50"/>
        <v>0.53333333333333333</v>
      </c>
      <c r="L45" s="4"/>
      <c r="M45" s="360">
        <f t="shared" si="51"/>
        <v>0.11167312574695336</v>
      </c>
      <c r="N45" s="4">
        <f t="shared" si="52"/>
        <v>9.2182196755013202</v>
      </c>
      <c r="O45" s="4">
        <f t="shared" si="35"/>
        <v>8.9291098377506604</v>
      </c>
      <c r="P45" s="4">
        <f t="shared" si="36"/>
        <v>-0.28910983775065979</v>
      </c>
      <c r="Q45" s="4">
        <f t="shared" si="53"/>
        <v>3.0225806351349696</v>
      </c>
      <c r="R45" s="4">
        <f t="shared" si="54"/>
        <v>5.0738247734968116</v>
      </c>
      <c r="S45" s="360">
        <f t="shared" si="55"/>
        <v>0.12871848916074988</v>
      </c>
      <c r="T45" s="360">
        <f t="shared" si="56"/>
        <v>0.3</v>
      </c>
      <c r="U45" s="360">
        <f t="shared" si="57"/>
        <v>0.43317914233978394</v>
      </c>
      <c r="V45" s="4">
        <f t="shared" si="37"/>
        <v>2.6610708055498962</v>
      </c>
      <c r="W45" s="360">
        <f t="shared" si="58"/>
        <v>1.4162595664299947E-2</v>
      </c>
      <c r="X45" s="360">
        <f t="shared" si="38"/>
        <v>1.4162595664299947E-2</v>
      </c>
      <c r="Y45" s="4">
        <f t="shared" si="59"/>
        <v>1.5980714809455532</v>
      </c>
      <c r="Z45" s="360">
        <f t="shared" si="12"/>
        <v>3.8307486873172705E-3</v>
      </c>
      <c r="AA45" s="541">
        <f t="shared" si="39"/>
        <v>3.8307486873172705E-3</v>
      </c>
      <c r="AB45" s="360">
        <f t="shared" si="60"/>
        <v>1.695546874964315</v>
      </c>
      <c r="AC45" s="360">
        <f t="shared" si="61"/>
        <v>1.7249275231207527E-2</v>
      </c>
      <c r="AD45" s="360">
        <f t="shared" si="62"/>
        <v>7.8202596808763986E-2</v>
      </c>
      <c r="AE45" s="360">
        <f t="shared" si="63"/>
        <v>-1.117634037671558E-2</v>
      </c>
      <c r="AF45" s="360">
        <f t="shared" si="64"/>
        <v>6.2332081019042247E-4</v>
      </c>
      <c r="AG45" s="360">
        <f t="shared" si="65"/>
        <v>8.5122033066690667E-2</v>
      </c>
      <c r="AH45" s="360">
        <f t="shared" si="66"/>
        <v>4.7821353626752057</v>
      </c>
      <c r="AI45" s="360">
        <f t="shared" si="67"/>
        <v>5.71720465673718E-2</v>
      </c>
      <c r="AJ45" s="360">
        <f t="shared" si="68"/>
        <v>1.9251160810190421E-2</v>
      </c>
      <c r="AK45" s="360">
        <f t="shared" si="69"/>
        <v>7.7307169192980779E-2</v>
      </c>
      <c r="AL45" s="360">
        <f t="shared" si="70"/>
        <v>1.862784E-2</v>
      </c>
      <c r="AM45" s="360">
        <f t="shared" si="71"/>
        <v>0.21383999999999997</v>
      </c>
      <c r="AN45" s="360">
        <f t="shared" si="72"/>
        <v>0.10297479132859989</v>
      </c>
      <c r="AO45" s="360">
        <f t="shared" si="73"/>
        <v>1.5749999999999998E-3</v>
      </c>
      <c r="AP45" s="360">
        <f t="shared" si="74"/>
        <v>0.32669999999999993</v>
      </c>
      <c r="AQ45" s="360">
        <f t="shared" si="75"/>
        <v>0.31218000000000001</v>
      </c>
      <c r="AR45" s="360">
        <f t="shared" si="76"/>
        <v>0.29039999999999999</v>
      </c>
      <c r="AS45" s="360">
        <f t="shared" si="48"/>
        <v>0.32827499999999993</v>
      </c>
      <c r="AT45" s="360">
        <f t="shared" si="41"/>
        <v>1.2773193202796722</v>
      </c>
      <c r="AU45">
        <f t="shared" si="77"/>
        <v>21.6</v>
      </c>
      <c r="AV45" s="542">
        <f t="shared" si="42"/>
        <v>0.94416656504211183</v>
      </c>
      <c r="AW45" s="551">
        <f t="shared" si="78"/>
        <v>8.5977444565342456</v>
      </c>
      <c r="AX45" s="551">
        <f t="shared" si="79"/>
        <v>5.6192260293332694</v>
      </c>
      <c r="AY45" s="9"/>
      <c r="AZ45" s="4">
        <f t="shared" si="43"/>
        <v>94.416656504211176</v>
      </c>
      <c r="BA45" s="360">
        <f t="shared" si="80"/>
        <v>0.43317914233978394</v>
      </c>
      <c r="BB45" s="360">
        <f t="shared" si="44"/>
        <v>0.37626920225967142</v>
      </c>
      <c r="BC45" s="360">
        <f t="shared" si="45"/>
        <v>0.22625643306669066</v>
      </c>
      <c r="BD45" s="360">
        <f t="shared" si="46"/>
        <v>0.14787436919298078</v>
      </c>
      <c r="BE45" s="360">
        <f t="shared" si="47"/>
        <v>0.10297479132859989</v>
      </c>
    </row>
    <row r="46" spans="1:57" x14ac:dyDescent="0.25">
      <c r="A46" s="77" t="s">
        <v>203</v>
      </c>
      <c r="B46" s="5">
        <f>Vsd_Q3</f>
        <v>0.7</v>
      </c>
      <c r="C46" s="445" t="s">
        <v>0</v>
      </c>
      <c r="G46">
        <v>37</v>
      </c>
      <c r="H46" s="548">
        <f t="shared" si="0"/>
        <v>45</v>
      </c>
      <c r="I46" s="4">
        <f t="shared" si="49"/>
        <v>2</v>
      </c>
      <c r="J46" s="360">
        <f t="shared" si="81"/>
        <v>4.4400000000000004</v>
      </c>
      <c r="K46" s="4">
        <f t="shared" si="50"/>
        <v>0.54814814814814827</v>
      </c>
      <c r="L46" s="4"/>
      <c r="M46" s="360">
        <f t="shared" si="51"/>
        <v>0.11168873387661096</v>
      </c>
      <c r="N46" s="4">
        <f t="shared" si="52"/>
        <v>9.2192034654998025</v>
      </c>
      <c r="O46" s="4">
        <f t="shared" si="35"/>
        <v>9.0496017327499025</v>
      </c>
      <c r="P46" s="4">
        <f t="shared" si="36"/>
        <v>-0.16960173274990087</v>
      </c>
      <c r="Q46" s="4">
        <f t="shared" si="53"/>
        <v>1.7731493230517603</v>
      </c>
      <c r="R46" s="4">
        <f t="shared" si="54"/>
        <v>5.1765248360449601</v>
      </c>
      <c r="S46" s="360">
        <f t="shared" si="55"/>
        <v>0.1339820468909515</v>
      </c>
      <c r="T46" s="360">
        <f t="shared" si="56"/>
        <v>0.3</v>
      </c>
      <c r="U46" s="360">
        <f t="shared" si="57"/>
        <v>0.43868411049597444</v>
      </c>
      <c r="V46" s="4">
        <f t="shared" si="37"/>
        <v>2.6613548012601211</v>
      </c>
      <c r="W46" s="360">
        <f t="shared" si="58"/>
        <v>1.4165618756380598E-2</v>
      </c>
      <c r="X46" s="360">
        <f t="shared" si="38"/>
        <v>1.4165618756380598E-2</v>
      </c>
      <c r="Y46" s="4">
        <f t="shared" si="59"/>
        <v>1.6305179002014123</v>
      </c>
      <c r="Z46" s="360">
        <f t="shared" si="12"/>
        <v>3.9878829343158338E-3</v>
      </c>
      <c r="AA46" s="541">
        <f t="shared" si="39"/>
        <v>3.9878829343158338E-3</v>
      </c>
      <c r="AB46" s="360">
        <f t="shared" si="60"/>
        <v>1.7299875825824353</v>
      </c>
      <c r="AC46" s="360">
        <f t="shared" si="61"/>
        <v>1.7957142215336511E-2</v>
      </c>
      <c r="AD46" s="360">
        <f t="shared" si="62"/>
        <v>8.0374891164562978E-2</v>
      </c>
      <c r="AE46" s="360">
        <f t="shared" si="63"/>
        <v>-2.0343246055116993E-2</v>
      </c>
      <c r="AF46" s="360">
        <f t="shared" si="64"/>
        <v>3.6566133580878625E-4</v>
      </c>
      <c r="AG46" s="360">
        <f t="shared" si="65"/>
        <v>7.8568901346739578E-2</v>
      </c>
      <c r="AH46" s="360">
        <f t="shared" si="66"/>
        <v>4.8788884330655566</v>
      </c>
      <c r="AI46" s="360">
        <f t="shared" si="67"/>
        <v>5.9508880855752205E-2</v>
      </c>
      <c r="AJ46" s="360">
        <f t="shared" si="68"/>
        <v>1.9510941335808791E-2</v>
      </c>
      <c r="AK46" s="360">
        <f t="shared" si="69"/>
        <v>7.9971626591293379E-2</v>
      </c>
      <c r="AL46" s="360">
        <f t="shared" si="70"/>
        <v>1.9145280000000001E-2</v>
      </c>
      <c r="AM46" s="360">
        <f t="shared" si="71"/>
        <v>0.21978</v>
      </c>
      <c r="AN46" s="360">
        <f t="shared" si="72"/>
        <v>0.10718563751276121</v>
      </c>
      <c r="AO46" s="360">
        <f t="shared" si="73"/>
        <v>1.5749999999999998E-3</v>
      </c>
      <c r="AP46" s="360">
        <f t="shared" si="74"/>
        <v>0.32669999999999993</v>
      </c>
      <c r="AQ46" s="360">
        <f t="shared" si="75"/>
        <v>0.31218000000000001</v>
      </c>
      <c r="AR46" s="360">
        <f t="shared" si="76"/>
        <v>0.29039999999999999</v>
      </c>
      <c r="AS46" s="360">
        <f t="shared" si="48"/>
        <v>0.32827499999999993</v>
      </c>
      <c r="AT46" s="360">
        <f t="shared" si="41"/>
        <v>1.2897640576374649</v>
      </c>
      <c r="AU46">
        <f t="shared" si="77"/>
        <v>22.200000000000003</v>
      </c>
      <c r="AV46" s="542">
        <f t="shared" si="42"/>
        <v>0.94509250691183033</v>
      </c>
      <c r="AW46" s="551">
        <f t="shared" si="78"/>
        <v>8.4977006511761051</v>
      </c>
      <c r="AX46" s="551">
        <f t="shared" si="79"/>
        <v>5.7949630104691483</v>
      </c>
      <c r="AY46" s="9"/>
      <c r="AZ46" s="4">
        <f t="shared" si="43"/>
        <v>94.509250691183027</v>
      </c>
      <c r="BA46" s="360">
        <f t="shared" si="80"/>
        <v>0.43868411049597444</v>
      </c>
      <c r="BB46" s="360">
        <f t="shared" si="44"/>
        <v>0.37832052793803295</v>
      </c>
      <c r="BC46" s="360">
        <f t="shared" si="45"/>
        <v>0.22362370134673959</v>
      </c>
      <c r="BD46" s="360">
        <f t="shared" si="46"/>
        <v>0.15249902659129339</v>
      </c>
      <c r="BE46" s="360">
        <f t="shared" si="47"/>
        <v>0.10718563751276121</v>
      </c>
    </row>
    <row r="47" spans="1:57" ht="15.5" x14ac:dyDescent="0.4">
      <c r="A47" s="446" t="s">
        <v>472</v>
      </c>
      <c r="B47" s="5">
        <f>ThetaJA_Q3</f>
        <v>50</v>
      </c>
      <c r="C47" s="441" t="s">
        <v>205</v>
      </c>
      <c r="D47" s="21" t="s">
        <v>103</v>
      </c>
      <c r="G47">
        <v>38</v>
      </c>
      <c r="H47" s="548">
        <f t="shared" si="0"/>
        <v>45</v>
      </c>
      <c r="I47" s="4">
        <f t="shared" si="49"/>
        <v>2</v>
      </c>
      <c r="J47" s="360">
        <f t="shared" si="81"/>
        <v>4.5599999999999996</v>
      </c>
      <c r="K47" s="4">
        <f t="shared" si="50"/>
        <v>0.56296296296296289</v>
      </c>
      <c r="L47" s="4"/>
      <c r="M47" s="360">
        <f t="shared" si="51"/>
        <v>0.11170434182317399</v>
      </c>
      <c r="N47" s="4">
        <f t="shared" si="52"/>
        <v>9.2201871552502244</v>
      </c>
      <c r="O47" s="4">
        <f t="shared" si="35"/>
        <v>9.1700935776251118</v>
      </c>
      <c r="P47" s="4">
        <f t="shared" si="36"/>
        <v>-5.0093577625112573E-2</v>
      </c>
      <c r="Q47" s="4">
        <f t="shared" si="53"/>
        <v>0.52371748693269815</v>
      </c>
      <c r="R47" s="4">
        <f t="shared" si="54"/>
        <v>5.2799546334686216</v>
      </c>
      <c r="S47" s="360">
        <f t="shared" si="55"/>
        <v>0.13938960465743383</v>
      </c>
      <c r="T47" s="360">
        <f t="shared" si="56"/>
        <v>0.3</v>
      </c>
      <c r="U47" s="360">
        <f t="shared" si="57"/>
        <v>0.44434456572528391</v>
      </c>
      <c r="V47" s="4">
        <f t="shared" si="37"/>
        <v>2.6616387680312235</v>
      </c>
      <c r="W47" s="360">
        <f t="shared" si="58"/>
        <v>1.4168641862973537E-2</v>
      </c>
      <c r="X47" s="360">
        <f t="shared" si="38"/>
        <v>1.4168641862973537E-2</v>
      </c>
      <c r="Y47" s="4">
        <f t="shared" si="59"/>
        <v>1.6631981286286117</v>
      </c>
      <c r="Z47" s="360">
        <f t="shared" si="12"/>
        <v>4.1493420226105743E-3</v>
      </c>
      <c r="AA47" s="541">
        <f t="shared" si="39"/>
        <v>4.1493420226105743E-3</v>
      </c>
      <c r="AB47" s="360">
        <f t="shared" si="60"/>
        <v>1.7646769701705223</v>
      </c>
      <c r="AC47" s="360">
        <f t="shared" si="61"/>
        <v>1.8684508854301288E-2</v>
      </c>
      <c r="AD47" s="360">
        <f t="shared" si="62"/>
        <v>8.2547185520361985E-2</v>
      </c>
      <c r="AE47" s="360">
        <f t="shared" si="63"/>
        <v>-3.0020847153974399E-2</v>
      </c>
      <c r="AF47" s="360">
        <f t="shared" si="64"/>
        <v>1.0800175335974268E-4</v>
      </c>
      <c r="AG47" s="360">
        <f t="shared" si="65"/>
        <v>7.1521974625209206E-2</v>
      </c>
      <c r="AH47" s="360">
        <f t="shared" si="66"/>
        <v>4.9763275738677564</v>
      </c>
      <c r="AI47" s="360">
        <f t="shared" si="67"/>
        <v>6.1909590306091382E-2</v>
      </c>
      <c r="AJ47" s="360">
        <f t="shared" si="68"/>
        <v>1.9770721753359741E-2</v>
      </c>
      <c r="AK47" s="360">
        <f t="shared" si="69"/>
        <v>8.2704350551283376E-2</v>
      </c>
      <c r="AL47" s="360">
        <f t="shared" si="70"/>
        <v>1.9662719999999998E-2</v>
      </c>
      <c r="AM47" s="360">
        <f t="shared" si="71"/>
        <v>0.22571999999999995</v>
      </c>
      <c r="AN47" s="360">
        <f t="shared" si="72"/>
        <v>0.11151168372594707</v>
      </c>
      <c r="AO47" s="360">
        <f t="shared" si="73"/>
        <v>1.5749999999999998E-3</v>
      </c>
      <c r="AP47" s="360">
        <f t="shared" si="74"/>
        <v>0.32669999999999993</v>
      </c>
      <c r="AQ47" s="360">
        <f t="shared" si="75"/>
        <v>0.31218000000000001</v>
      </c>
      <c r="AR47" s="360">
        <f t="shared" si="76"/>
        <v>0.29039999999999999</v>
      </c>
      <c r="AS47" s="360">
        <f t="shared" si="48"/>
        <v>0.32827499999999993</v>
      </c>
      <c r="AT47" s="360">
        <f t="shared" si="41"/>
        <v>1.3020582785133075</v>
      </c>
      <c r="AU47">
        <f t="shared" si="77"/>
        <v>22.799999999999997</v>
      </c>
      <c r="AV47" s="542">
        <f t="shared" si="42"/>
        <v>0.94597729938799147</v>
      </c>
      <c r="AW47" s="551">
        <f t="shared" si="78"/>
        <v>8.3788926357579481</v>
      </c>
      <c r="AX47" s="551">
        <f t="shared" si="79"/>
        <v>5.9732941209487684</v>
      </c>
      <c r="AY47" s="9"/>
      <c r="AZ47" s="4">
        <f t="shared" si="43"/>
        <v>94.597729938799148</v>
      </c>
      <c r="BA47" s="360">
        <f t="shared" si="80"/>
        <v>0.44434456572528391</v>
      </c>
      <c r="BB47" s="360">
        <f t="shared" si="44"/>
        <v>0.37994632517649252</v>
      </c>
      <c r="BC47" s="360">
        <f t="shared" si="45"/>
        <v>0.22049717462520918</v>
      </c>
      <c r="BD47" s="360">
        <f t="shared" si="46"/>
        <v>0.15719195055128338</v>
      </c>
      <c r="BE47" s="360">
        <f t="shared" si="47"/>
        <v>0.11151168372594707</v>
      </c>
    </row>
    <row r="48" spans="1:57" ht="13" x14ac:dyDescent="0.3">
      <c r="A48" s="24" t="s">
        <v>526</v>
      </c>
      <c r="B48" s="15" t="s">
        <v>111</v>
      </c>
      <c r="C48" s="24" t="s">
        <v>76</v>
      </c>
      <c r="D48" s="17" t="s">
        <v>107</v>
      </c>
      <c r="G48">
        <v>39</v>
      </c>
      <c r="H48" s="548">
        <f t="shared" si="0"/>
        <v>45</v>
      </c>
      <c r="I48" s="4">
        <f t="shared" si="49"/>
        <v>2</v>
      </c>
      <c r="J48" s="360">
        <f t="shared" si="81"/>
        <v>4.68</v>
      </c>
      <c r="K48" s="4">
        <f t="shared" si="50"/>
        <v>0.57777777777777772</v>
      </c>
      <c r="L48" s="4"/>
      <c r="M48" s="360">
        <f t="shared" si="51"/>
        <v>0.11171994958664569</v>
      </c>
      <c r="N48" s="4">
        <f t="shared" si="52"/>
        <v>9.2211707447543532</v>
      </c>
      <c r="O48" s="4">
        <f t="shared" si="35"/>
        <v>9.2905853723771763</v>
      </c>
      <c r="P48" s="4">
        <f t="shared" si="36"/>
        <v>6.9414627622823133E-2</v>
      </c>
      <c r="Q48" s="4">
        <f t="shared" si="53"/>
        <v>0</v>
      </c>
      <c r="R48" s="4">
        <f t="shared" si="54"/>
        <v>5.3840721105862608</v>
      </c>
      <c r="S48" s="360">
        <f t="shared" si="55"/>
        <v>0.14494116245996397</v>
      </c>
      <c r="T48" s="360">
        <f t="shared" si="56"/>
        <v>0.3</v>
      </c>
      <c r="U48" s="360">
        <f t="shared" si="57"/>
        <v>0.45016091010837539</v>
      </c>
      <c r="V48" s="4">
        <f t="shared" si="37"/>
        <v>2.6619227058637138</v>
      </c>
      <c r="W48" s="360">
        <f t="shared" si="58"/>
        <v>1.4171664983985591E-2</v>
      </c>
      <c r="X48" s="360">
        <f t="shared" si="38"/>
        <v>1.4171664983985591E-2</v>
      </c>
      <c r="Y48" s="4">
        <f t="shared" si="59"/>
        <v>1.6960989593859557</v>
      </c>
      <c r="Z48" s="360">
        <f t="shared" si="12"/>
        <v>4.3151275200451825E-3</v>
      </c>
      <c r="AA48" s="541">
        <f t="shared" si="39"/>
        <v>4.3151275200451825E-3</v>
      </c>
      <c r="AB48" s="360">
        <f t="shared" si="60"/>
        <v>1.7996010315098732</v>
      </c>
      <c r="AC48" s="360">
        <f t="shared" si="61"/>
        <v>1.9431383235668398E-2</v>
      </c>
      <c r="AD48" s="360">
        <f t="shared" si="62"/>
        <v>8.4719479876160977E-2</v>
      </c>
      <c r="AE48" s="360">
        <f t="shared" si="63"/>
        <v>-3.4229250000000003E-2</v>
      </c>
      <c r="AF48" s="360">
        <f t="shared" si="64"/>
        <v>0</v>
      </c>
      <c r="AG48" s="360">
        <f t="shared" si="65"/>
        <v>7.0128743281784089E-2</v>
      </c>
      <c r="AH48" s="360">
        <f t="shared" si="66"/>
        <v>5.0744131305384856</v>
      </c>
      <c r="AI48" s="360">
        <f t="shared" si="67"/>
        <v>6.4374171548453485E-2</v>
      </c>
      <c r="AJ48" s="360">
        <f t="shared" si="68"/>
        <v>2.0180159999999999E-2</v>
      </c>
      <c r="AK48" s="360">
        <f t="shared" si="69"/>
        <v>8.565715320338689E-2</v>
      </c>
      <c r="AL48" s="360">
        <f t="shared" si="70"/>
        <v>2.0180159999999999E-2</v>
      </c>
      <c r="AM48" s="360">
        <f t="shared" si="71"/>
        <v>0.23165999999999998</v>
      </c>
      <c r="AN48" s="360">
        <f t="shared" si="72"/>
        <v>0.11595292996797117</v>
      </c>
      <c r="AO48" s="360">
        <f t="shared" si="73"/>
        <v>1.5749999999999998E-3</v>
      </c>
      <c r="AP48" s="360">
        <f t="shared" si="74"/>
        <v>0.32669999999999993</v>
      </c>
      <c r="AQ48" s="360">
        <f t="shared" si="75"/>
        <v>0.31218000000000001</v>
      </c>
      <c r="AR48" s="360">
        <f t="shared" si="76"/>
        <v>0.29039999999999999</v>
      </c>
      <c r="AS48" s="360">
        <f t="shared" si="48"/>
        <v>0.32827499999999993</v>
      </c>
      <c r="AT48" s="360">
        <f t="shared" si="41"/>
        <v>1.3205016890655481</v>
      </c>
      <c r="AU48">
        <f t="shared" si="77"/>
        <v>23.4</v>
      </c>
      <c r="AV48" s="542">
        <f t="shared" si="42"/>
        <v>0.94658273097873102</v>
      </c>
      <c r="AW48" s="551">
        <f t="shared" si="78"/>
        <v>8.4749250447077955</v>
      </c>
      <c r="AX48" s="551">
        <f t="shared" si="79"/>
        <v>6.1599882217287014</v>
      </c>
      <c r="AY48" s="9"/>
      <c r="AZ48" s="4">
        <f t="shared" si="43"/>
        <v>94.658273097873106</v>
      </c>
      <c r="BA48" s="360">
        <f t="shared" si="80"/>
        <v>0.45016091010837539</v>
      </c>
      <c r="BB48" s="360">
        <f t="shared" si="44"/>
        <v>0.38744589648517097</v>
      </c>
      <c r="BC48" s="360">
        <f t="shared" si="45"/>
        <v>0.22302434328178408</v>
      </c>
      <c r="BD48" s="360">
        <f t="shared" si="46"/>
        <v>0.16210495320338689</v>
      </c>
      <c r="BE48" s="360">
        <f t="shared" si="47"/>
        <v>0.11595292996797117</v>
      </c>
    </row>
    <row r="49" spans="1:64" x14ac:dyDescent="0.25">
      <c r="A49" s="23" t="s">
        <v>68</v>
      </c>
      <c r="B49" s="5">
        <f>Rdson4*1000</f>
        <v>2.5</v>
      </c>
      <c r="C49" s="442" t="s">
        <v>466</v>
      </c>
      <c r="D49" s="440" t="s">
        <v>527</v>
      </c>
      <c r="G49">
        <v>40</v>
      </c>
      <c r="H49" s="548">
        <f t="shared" si="0"/>
        <v>45</v>
      </c>
      <c r="I49" s="4">
        <f t="shared" si="49"/>
        <v>2</v>
      </c>
      <c r="J49" s="360">
        <f t="shared" si="81"/>
        <v>4.8</v>
      </c>
      <c r="K49" s="4">
        <f t="shared" si="50"/>
        <v>0.59259259259259256</v>
      </c>
      <c r="L49" s="4"/>
      <c r="M49" s="360">
        <f t="shared" si="51"/>
        <v>0.11173555716702925</v>
      </c>
      <c r="N49" s="4">
        <f t="shared" si="52"/>
        <v>9.2221542340139475</v>
      </c>
      <c r="O49" s="4">
        <f t="shared" si="35"/>
        <v>9.4110771170069736</v>
      </c>
      <c r="P49" s="4">
        <f t="shared" si="36"/>
        <v>0.18892288299302606</v>
      </c>
      <c r="Q49" s="4">
        <f t="shared" si="53"/>
        <v>0</v>
      </c>
      <c r="R49" s="4">
        <f t="shared" si="54"/>
        <v>5.4888381338550856</v>
      </c>
      <c r="S49" s="360">
        <f t="shared" si="55"/>
        <v>0.15063672029830888</v>
      </c>
      <c r="T49" s="360">
        <f t="shared" si="56"/>
        <v>0.3</v>
      </c>
      <c r="U49" s="360">
        <f t="shared" si="57"/>
        <v>0.45613355734603744</v>
      </c>
      <c r="V49" s="4">
        <f t="shared" si="37"/>
        <v>2.6622066147580998</v>
      </c>
      <c r="W49" s="360">
        <f t="shared" si="58"/>
        <v>1.4174688119323564E-2</v>
      </c>
      <c r="X49" s="360">
        <f t="shared" si="38"/>
        <v>1.4174688119323564E-2</v>
      </c>
      <c r="Y49" s="4">
        <f t="shared" si="59"/>
        <v>1.7292081028224708</v>
      </c>
      <c r="Z49" s="360">
        <f t="shared" si="12"/>
        <v>4.4852409943003336E-3</v>
      </c>
      <c r="AA49" s="541">
        <f t="shared" si="39"/>
        <v>4.4852409943003336E-3</v>
      </c>
      <c r="AB49" s="360">
        <f t="shared" si="60"/>
        <v>1.8347467330585705</v>
      </c>
      <c r="AC49" s="360">
        <f t="shared" si="61"/>
        <v>2.0197773446814584E-2</v>
      </c>
      <c r="AD49" s="360">
        <f t="shared" si="62"/>
        <v>8.6891774231959984E-2</v>
      </c>
      <c r="AE49" s="360">
        <f t="shared" si="63"/>
        <v>-3.4229250000000003E-2</v>
      </c>
      <c r="AF49" s="360">
        <f t="shared" si="64"/>
        <v>0</v>
      </c>
      <c r="AG49" s="360">
        <f t="shared" si="65"/>
        <v>7.3084672121566385E-2</v>
      </c>
      <c r="AH49" s="360">
        <f t="shared" si="66"/>
        <v>5.1731082035071223</v>
      </c>
      <c r="AI49" s="360">
        <f t="shared" si="67"/>
        <v>6.6902621212981711E-2</v>
      </c>
      <c r="AJ49" s="360">
        <f t="shared" si="68"/>
        <v>2.06976E-2</v>
      </c>
      <c r="AK49" s="360">
        <f t="shared" si="69"/>
        <v>8.8788254606197756E-2</v>
      </c>
      <c r="AL49" s="360">
        <f t="shared" si="70"/>
        <v>2.06976E-2</v>
      </c>
      <c r="AM49" s="360">
        <f t="shared" si="71"/>
        <v>0.23760000000000001</v>
      </c>
      <c r="AN49" s="360">
        <f t="shared" si="72"/>
        <v>0.1205093762386471</v>
      </c>
      <c r="AO49" s="360">
        <f t="shared" si="73"/>
        <v>1.5749999999999998E-3</v>
      </c>
      <c r="AP49" s="360">
        <f t="shared" si="74"/>
        <v>0.32669999999999993</v>
      </c>
      <c r="AQ49" s="360">
        <f t="shared" si="75"/>
        <v>0.31218000000000001</v>
      </c>
      <c r="AR49" s="360">
        <f t="shared" si="76"/>
        <v>0.29039999999999999</v>
      </c>
      <c r="AS49" s="360">
        <f t="shared" si="48"/>
        <v>0.32827499999999993</v>
      </c>
      <c r="AT49" s="360">
        <f t="shared" si="41"/>
        <v>1.3437483894260724</v>
      </c>
      <c r="AU49">
        <f t="shared" si="77"/>
        <v>24</v>
      </c>
      <c r="AV49" s="542">
        <f t="shared" si="42"/>
        <v>0.94697909840413697</v>
      </c>
      <c r="AW49" s="551">
        <f t="shared" si="78"/>
        <v>8.7362255406195235</v>
      </c>
      <c r="AX49" s="551">
        <f t="shared" si="79"/>
        <v>6.3534576750355143</v>
      </c>
      <c r="AY49" s="9"/>
      <c r="AZ49" s="4">
        <f t="shared" si="43"/>
        <v>94.697909840413701</v>
      </c>
      <c r="BA49" s="360">
        <f t="shared" si="80"/>
        <v>0.45613355734603744</v>
      </c>
      <c r="BB49" s="360">
        <f t="shared" si="44"/>
        <v>0.39947292672776413</v>
      </c>
      <c r="BC49" s="360">
        <f t="shared" si="45"/>
        <v>0.2299006721215664</v>
      </c>
      <c r="BD49" s="360">
        <f t="shared" si="46"/>
        <v>0.16719625460619775</v>
      </c>
      <c r="BE49" s="360">
        <f t="shared" si="47"/>
        <v>0.1205093762386471</v>
      </c>
    </row>
    <row r="50" spans="1:64" x14ac:dyDescent="0.25">
      <c r="A50" s="23" t="s">
        <v>80</v>
      </c>
      <c r="B50" s="5">
        <f>RdsonBotTc*1000000</f>
        <v>4000</v>
      </c>
      <c r="C50" s="440" t="s">
        <v>81</v>
      </c>
      <c r="D50" s="21" t="s">
        <v>104</v>
      </c>
      <c r="G50">
        <v>41</v>
      </c>
      <c r="H50" s="548">
        <f t="shared" si="0"/>
        <v>45</v>
      </c>
      <c r="I50" s="4">
        <f t="shared" si="49"/>
        <v>2</v>
      </c>
      <c r="J50" s="360">
        <f t="shared" si="81"/>
        <v>4.92</v>
      </c>
      <c r="K50" s="4">
        <f t="shared" si="50"/>
        <v>0.6074074074074074</v>
      </c>
      <c r="L50" s="4"/>
      <c r="M50" s="360">
        <f t="shared" si="51"/>
        <v>0.1117511645643279</v>
      </c>
      <c r="N50" s="4">
        <f t="shared" si="52"/>
        <v>9.2231376230307731</v>
      </c>
      <c r="O50" s="4">
        <f t="shared" si="35"/>
        <v>9.5315688115153865</v>
      </c>
      <c r="P50" s="4">
        <f t="shared" si="36"/>
        <v>0.30843118848461337</v>
      </c>
      <c r="Q50" s="4">
        <f t="shared" si="53"/>
        <v>0</v>
      </c>
      <c r="R50" s="4">
        <f t="shared" si="54"/>
        <v>5.5942162663278534</v>
      </c>
      <c r="S50" s="360">
        <f t="shared" si="55"/>
        <v>0.15647627817223575</v>
      </c>
      <c r="T50" s="360">
        <f t="shared" si="56"/>
        <v>0.3</v>
      </c>
      <c r="U50" s="360">
        <f t="shared" si="57"/>
        <v>0.46226293283357817</v>
      </c>
      <c r="V50" s="4">
        <f t="shared" si="37"/>
        <v>2.6624904947148913</v>
      </c>
      <c r="W50" s="360">
        <f t="shared" si="58"/>
        <v>1.4177711268894295E-2</v>
      </c>
      <c r="X50" s="360">
        <f t="shared" si="38"/>
        <v>1.4177711268894295E-2</v>
      </c>
      <c r="Y50" s="4">
        <f t="shared" si="59"/>
        <v>1.7625141158571742</v>
      </c>
      <c r="Z50" s="360">
        <f t="shared" si="12"/>
        <v>4.6596840128936947E-3</v>
      </c>
      <c r="AA50" s="541">
        <f t="shared" si="39"/>
        <v>4.6596840128936947E-3</v>
      </c>
      <c r="AB50" s="360">
        <f t="shared" si="60"/>
        <v>1.8701019390631661</v>
      </c>
      <c r="AC50" s="360">
        <f t="shared" si="61"/>
        <v>2.0983687574926885E-2</v>
      </c>
      <c r="AD50" s="360">
        <f t="shared" si="62"/>
        <v>8.9064068587758977E-2</v>
      </c>
      <c r="AE50" s="360">
        <f t="shared" si="63"/>
        <v>-3.4229250000000003E-2</v>
      </c>
      <c r="AF50" s="360">
        <f t="shared" si="64"/>
        <v>0</v>
      </c>
      <c r="AG50" s="360">
        <f t="shared" si="65"/>
        <v>7.6061104615977412E-2</v>
      </c>
      <c r="AH50" s="360">
        <f t="shared" si="66"/>
        <v>5.2723784359584176</v>
      </c>
      <c r="AI50" s="360">
        <f t="shared" si="67"/>
        <v>6.9494935929898333E-2</v>
      </c>
      <c r="AJ50" s="360">
        <f t="shared" si="68"/>
        <v>2.1215039999999998E-2</v>
      </c>
      <c r="AK50" s="360">
        <f t="shared" si="69"/>
        <v>9.1988523235607231E-2</v>
      </c>
      <c r="AL50" s="360">
        <f t="shared" si="70"/>
        <v>2.1215039999999998E-2</v>
      </c>
      <c r="AM50" s="360">
        <f t="shared" si="71"/>
        <v>0.24353999999999998</v>
      </c>
      <c r="AN50" s="360">
        <f t="shared" si="72"/>
        <v>0.12518102253778859</v>
      </c>
      <c r="AO50" s="360">
        <f t="shared" si="73"/>
        <v>1.5749999999999998E-3</v>
      </c>
      <c r="AP50" s="360">
        <f t="shared" si="74"/>
        <v>0.32669999999999993</v>
      </c>
      <c r="AQ50" s="360">
        <f t="shared" si="75"/>
        <v>0.31218000000000001</v>
      </c>
      <c r="AR50" s="360">
        <f t="shared" si="76"/>
        <v>0.29039999999999999</v>
      </c>
      <c r="AS50" s="360">
        <f t="shared" si="48"/>
        <v>0.32827499999999993</v>
      </c>
      <c r="AT50" s="360">
        <f t="shared" si="41"/>
        <v>1.3673610185047391</v>
      </c>
      <c r="AU50">
        <f t="shared" si="77"/>
        <v>24.6</v>
      </c>
      <c r="AV50" s="542">
        <f t="shared" si="42"/>
        <v>0.94734308898272968</v>
      </c>
      <c r="AW50" s="551">
        <f t="shared" si="78"/>
        <v>8.9983051754071415</v>
      </c>
      <c r="AX50" s="551">
        <f t="shared" si="79"/>
        <v>6.5495554829530755</v>
      </c>
      <c r="AY50" s="9"/>
      <c r="AZ50" s="4">
        <f t="shared" si="43"/>
        <v>94.734308898272971</v>
      </c>
      <c r="BA50" s="360">
        <f t="shared" si="80"/>
        <v>0.46226293283357817</v>
      </c>
      <c r="BB50" s="360">
        <f t="shared" si="44"/>
        <v>0.41158962785158459</v>
      </c>
      <c r="BC50" s="360">
        <f t="shared" si="45"/>
        <v>0.23679750461597743</v>
      </c>
      <c r="BD50" s="360">
        <f t="shared" si="46"/>
        <v>0.17235672323560725</v>
      </c>
      <c r="BE50" s="360">
        <f t="shared" si="47"/>
        <v>0.12518102253778859</v>
      </c>
    </row>
    <row r="51" spans="1:64" x14ac:dyDescent="0.25">
      <c r="A51" s="23" t="s">
        <v>67</v>
      </c>
      <c r="B51" s="5">
        <f>Qg_Q4*1000000000</f>
        <v>25</v>
      </c>
      <c r="C51" s="440" t="s">
        <v>65</v>
      </c>
      <c r="D51" s="21" t="s">
        <v>99</v>
      </c>
      <c r="G51">
        <v>42</v>
      </c>
      <c r="H51" s="548">
        <f t="shared" si="0"/>
        <v>45</v>
      </c>
      <c r="I51" s="4">
        <f t="shared" si="49"/>
        <v>2</v>
      </c>
      <c r="J51" s="360">
        <f t="shared" si="81"/>
        <v>5.04</v>
      </c>
      <c r="K51" s="4">
        <f t="shared" si="50"/>
        <v>0.62222222222222223</v>
      </c>
      <c r="L51" s="4"/>
      <c r="M51" s="360">
        <f t="shared" si="51"/>
        <v>0.11176677177854488</v>
      </c>
      <c r="N51" s="4">
        <f t="shared" si="52"/>
        <v>9.2241209118065974</v>
      </c>
      <c r="O51" s="4">
        <f t="shared" si="35"/>
        <v>9.6520604559032996</v>
      </c>
      <c r="P51" s="4">
        <f t="shared" si="36"/>
        <v>0.42793954409670132</v>
      </c>
      <c r="Q51" s="4">
        <f t="shared" si="53"/>
        <v>0</v>
      </c>
      <c r="R51" s="4">
        <f t="shared" si="54"/>
        <v>5.7001725602215165</v>
      </c>
      <c r="S51" s="360">
        <f t="shared" si="55"/>
        <v>0.1624598360815116</v>
      </c>
      <c r="T51" s="360">
        <f t="shared" si="56"/>
        <v>0.3</v>
      </c>
      <c r="U51" s="360">
        <f t="shared" si="57"/>
        <v>0.46854947373746902</v>
      </c>
      <c r="V51" s="4">
        <f t="shared" si="37"/>
        <v>2.6627743457345976</v>
      </c>
      <c r="W51" s="360">
        <f t="shared" si="58"/>
        <v>1.418073443260463E-2</v>
      </c>
      <c r="X51" s="360">
        <f t="shared" si="38"/>
        <v>1.418073443260463E-2</v>
      </c>
      <c r="Y51" s="4">
        <f t="shared" si="59"/>
        <v>1.7960063368819066</v>
      </c>
      <c r="Z51" s="360">
        <f t="shared" si="12"/>
        <v>4.8384581431799465E-3</v>
      </c>
      <c r="AA51" s="541">
        <f t="shared" si="39"/>
        <v>4.8384581431799465E-3</v>
      </c>
      <c r="AB51" s="360">
        <f t="shared" si="60"/>
        <v>1.9056553425266658</v>
      </c>
      <c r="AC51" s="360">
        <f t="shared" si="61"/>
        <v>2.1789133707002546E-2</v>
      </c>
      <c r="AD51" s="360">
        <f t="shared" si="62"/>
        <v>9.1236362943557983E-2</v>
      </c>
      <c r="AE51" s="360">
        <f t="shared" si="63"/>
        <v>-3.4229250000000003E-2</v>
      </c>
      <c r="AF51" s="360">
        <f t="shared" si="64"/>
        <v>0</v>
      </c>
      <c r="AG51" s="360">
        <f t="shared" si="65"/>
        <v>7.905808293579604E-2</v>
      </c>
      <c r="AH51" s="360">
        <f t="shared" si="66"/>
        <v>5.372191818224838</v>
      </c>
      <c r="AI51" s="360">
        <f t="shared" si="67"/>
        <v>7.2151112329504732E-2</v>
      </c>
      <c r="AJ51" s="360">
        <f t="shared" si="68"/>
        <v>2.1732479999999998E-2</v>
      </c>
      <c r="AK51" s="360">
        <f t="shared" si="69"/>
        <v>9.5258189191233106E-2</v>
      </c>
      <c r="AL51" s="360">
        <f t="shared" si="70"/>
        <v>2.1732479999999998E-2</v>
      </c>
      <c r="AM51" s="360">
        <f t="shared" si="71"/>
        <v>0.24947999999999998</v>
      </c>
      <c r="AN51" s="360">
        <f t="shared" si="72"/>
        <v>0.12996786886520928</v>
      </c>
      <c r="AO51" s="360">
        <f t="shared" si="73"/>
        <v>1.5749999999999998E-3</v>
      </c>
      <c r="AP51" s="360">
        <f t="shared" si="74"/>
        <v>0.32669999999999993</v>
      </c>
      <c r="AQ51" s="360">
        <f t="shared" si="75"/>
        <v>0.31218000000000001</v>
      </c>
      <c r="AR51" s="360">
        <f t="shared" si="76"/>
        <v>0.29039999999999999</v>
      </c>
      <c r="AS51" s="360">
        <f t="shared" si="48"/>
        <v>0.32827499999999993</v>
      </c>
      <c r="AT51" s="360">
        <f t="shared" si="41"/>
        <v>1.3913402873054919</v>
      </c>
      <c r="AU51">
        <f t="shared" si="77"/>
        <v>25.2</v>
      </c>
      <c r="AV51" s="542">
        <f t="shared" si="42"/>
        <v>0.9476769402266757</v>
      </c>
      <c r="AW51" s="551">
        <f t="shared" si="78"/>
        <v>9.2611655515602482</v>
      </c>
      <c r="AX51" s="551">
        <f t="shared" si="79"/>
        <v>6.7482903892668578</v>
      </c>
      <c r="AY51" s="9"/>
      <c r="AZ51" s="4">
        <f t="shared" si="43"/>
        <v>94.76769402266757</v>
      </c>
      <c r="BA51" s="360">
        <f t="shared" si="80"/>
        <v>0.46854947373746902</v>
      </c>
      <c r="BB51" s="360">
        <f t="shared" si="44"/>
        <v>0.42379627212702914</v>
      </c>
      <c r="BC51" s="360">
        <f t="shared" si="45"/>
        <v>0.24371488293579602</v>
      </c>
      <c r="BD51" s="360">
        <f t="shared" si="46"/>
        <v>0.1775865891912331</v>
      </c>
      <c r="BE51" s="360">
        <f t="shared" si="47"/>
        <v>0.12996786886520928</v>
      </c>
    </row>
    <row r="52" spans="1:64" x14ac:dyDescent="0.25">
      <c r="A52" s="23" t="s">
        <v>91</v>
      </c>
      <c r="B52" s="5">
        <f>Rgate4</f>
        <v>0.5</v>
      </c>
      <c r="C52" s="444" t="s">
        <v>116</v>
      </c>
      <c r="D52" s="21" t="s">
        <v>100</v>
      </c>
      <c r="G52">
        <v>43</v>
      </c>
      <c r="H52" s="548">
        <f t="shared" si="0"/>
        <v>45</v>
      </c>
      <c r="I52" s="4">
        <f t="shared" si="49"/>
        <v>2</v>
      </c>
      <c r="J52" s="360">
        <f t="shared" si="81"/>
        <v>5.16</v>
      </c>
      <c r="K52" s="4">
        <f t="shared" si="50"/>
        <v>0.63703703703703707</v>
      </c>
      <c r="L52" s="4"/>
      <c r="M52" s="360">
        <f t="shared" si="51"/>
        <v>0.11178237880968338</v>
      </c>
      <c r="N52" s="4">
        <f t="shared" si="52"/>
        <v>9.2251041003431773</v>
      </c>
      <c r="O52" s="4">
        <f t="shared" si="35"/>
        <v>9.7725520501715888</v>
      </c>
      <c r="P52" s="4">
        <f t="shared" si="36"/>
        <v>0.5474479498284115</v>
      </c>
      <c r="Q52" s="4">
        <f t="shared" si="53"/>
        <v>0</v>
      </c>
      <c r="R52" s="4">
        <f t="shared" si="54"/>
        <v>5.8066753659198751</v>
      </c>
      <c r="S52" s="360">
        <f t="shared" si="55"/>
        <v>0.16858739402590359</v>
      </c>
      <c r="T52" s="360">
        <f t="shared" si="56"/>
        <v>0.3</v>
      </c>
      <c r="U52" s="360">
        <f t="shared" si="57"/>
        <v>0.47499362907426657</v>
      </c>
      <c r="V52" s="4">
        <f t="shared" si="37"/>
        <v>2.6630581678177272</v>
      </c>
      <c r="W52" s="360">
        <f t="shared" si="58"/>
        <v>1.4183757610361421E-2</v>
      </c>
      <c r="X52" s="360">
        <f t="shared" si="38"/>
        <v>1.4183757610361421E-2</v>
      </c>
      <c r="Y52" s="4">
        <f t="shared" si="59"/>
        <v>1.8296748258184699</v>
      </c>
      <c r="Z52" s="360">
        <f t="shared" si="12"/>
        <v>5.0215649523507721E-3</v>
      </c>
      <c r="AA52" s="541">
        <f t="shared" si="39"/>
        <v>5.0215649523507721E-3</v>
      </c>
      <c r="AB52" s="360">
        <f t="shared" si="60"/>
        <v>1.9413964016419163</v>
      </c>
      <c r="AC52" s="360">
        <f t="shared" si="61"/>
        <v>2.2614119929849085E-2</v>
      </c>
      <c r="AD52" s="360">
        <f t="shared" si="62"/>
        <v>9.340865729935699E-2</v>
      </c>
      <c r="AE52" s="360">
        <f t="shared" si="63"/>
        <v>-3.4229250000000003E-2</v>
      </c>
      <c r="AF52" s="360">
        <f t="shared" si="64"/>
        <v>0</v>
      </c>
      <c r="AG52" s="360">
        <f t="shared" si="65"/>
        <v>8.2075649654064872E-2</v>
      </c>
      <c r="AH52" s="360">
        <f t="shared" si="66"/>
        <v>5.4725185076774787</v>
      </c>
      <c r="AI52" s="360">
        <f t="shared" si="67"/>
        <v>7.4871147042181341E-2</v>
      </c>
      <c r="AJ52" s="360">
        <f t="shared" si="68"/>
        <v>2.2249919999999999E-2</v>
      </c>
      <c r="AK52" s="360">
        <f t="shared" si="69"/>
        <v>9.8597488453377874E-2</v>
      </c>
      <c r="AL52" s="360">
        <f t="shared" si="70"/>
        <v>2.2249919999999999E-2</v>
      </c>
      <c r="AM52" s="360">
        <f t="shared" si="71"/>
        <v>0.25541999999999992</v>
      </c>
      <c r="AN52" s="360">
        <f t="shared" si="72"/>
        <v>0.13486991522072286</v>
      </c>
      <c r="AO52" s="360">
        <f t="shared" si="73"/>
        <v>1.5749999999999998E-3</v>
      </c>
      <c r="AP52" s="360">
        <f t="shared" si="74"/>
        <v>0.32669999999999993</v>
      </c>
      <c r="AQ52" s="360">
        <f t="shared" si="75"/>
        <v>0.31218000000000001</v>
      </c>
      <c r="AR52" s="360">
        <f t="shared" si="76"/>
        <v>0.29039999999999999</v>
      </c>
      <c r="AS52" s="360">
        <f t="shared" si="48"/>
        <v>0.32827499999999993</v>
      </c>
      <c r="AT52" s="360">
        <f t="shared" si="41"/>
        <v>1.4156869249651443</v>
      </c>
      <c r="AU52">
        <f t="shared" si="77"/>
        <v>25.8</v>
      </c>
      <c r="AV52" s="542">
        <f t="shared" si="42"/>
        <v>0.94798268627691618</v>
      </c>
      <c r="AW52" s="551">
        <f t="shared" si="78"/>
        <v>9.5248082868544621</v>
      </c>
      <c r="AX52" s="551">
        <f t="shared" si="79"/>
        <v>6.9496713612283578</v>
      </c>
      <c r="AY52" s="9"/>
      <c r="AZ52" s="4">
        <f t="shared" si="43"/>
        <v>94.798268627691613</v>
      </c>
      <c r="BA52" s="360">
        <f t="shared" si="80"/>
        <v>0.47499362907426657</v>
      </c>
      <c r="BB52" s="360">
        <f t="shared" si="44"/>
        <v>0.43609313810744266</v>
      </c>
      <c r="BC52" s="360">
        <f t="shared" si="45"/>
        <v>0.25065284965406481</v>
      </c>
      <c r="BD52" s="360">
        <f t="shared" si="46"/>
        <v>0.18288608845337784</v>
      </c>
      <c r="BE52" s="360">
        <f t="shared" si="47"/>
        <v>0.13486991522072286</v>
      </c>
    </row>
    <row r="53" spans="1:64" x14ac:dyDescent="0.25">
      <c r="A53" s="23" t="s">
        <v>72</v>
      </c>
      <c r="B53" s="5">
        <f>Vsd_Q4</f>
        <v>0.7</v>
      </c>
      <c r="C53" s="440" t="s">
        <v>0</v>
      </c>
      <c r="D53" s="21" t="s">
        <v>105</v>
      </c>
      <c r="G53">
        <v>44</v>
      </c>
      <c r="H53" s="548">
        <f t="shared" si="0"/>
        <v>45</v>
      </c>
      <c r="I53" s="4">
        <f t="shared" si="49"/>
        <v>2</v>
      </c>
      <c r="J53" s="360">
        <f t="shared" si="81"/>
        <v>5.28</v>
      </c>
      <c r="K53" s="4">
        <f t="shared" si="50"/>
        <v>0.6518518518518519</v>
      </c>
      <c r="L53" s="4"/>
      <c r="M53" s="360">
        <f t="shared" si="51"/>
        <v>0.11179798565774667</v>
      </c>
      <c r="N53" s="4">
        <f t="shared" si="52"/>
        <v>9.2260871886422819</v>
      </c>
      <c r="O53" s="4">
        <f t="shared" si="35"/>
        <v>9.8930435943211421</v>
      </c>
      <c r="P53" s="4">
        <f t="shared" si="36"/>
        <v>0.66695640567885928</v>
      </c>
      <c r="Q53" s="4">
        <f t="shared" si="53"/>
        <v>0</v>
      </c>
      <c r="R53" s="4">
        <f t="shared" si="54"/>
        <v>5.9136951562483988</v>
      </c>
      <c r="S53" s="360">
        <f t="shared" si="55"/>
        <v>0.17485895200517887</v>
      </c>
      <c r="T53" s="360">
        <f t="shared" si="56"/>
        <v>0.3</v>
      </c>
      <c r="U53" s="360">
        <f t="shared" si="57"/>
        <v>0.48159585979183755</v>
      </c>
      <c r="V53" s="4">
        <f t="shared" si="37"/>
        <v>2.6633419609647895</v>
      </c>
      <c r="W53" s="360">
        <f t="shared" si="58"/>
        <v>1.4186780802071541E-2</v>
      </c>
      <c r="X53" s="360">
        <f t="shared" si="38"/>
        <v>1.4186780802071541E-2</v>
      </c>
      <c r="Y53" s="4">
        <f t="shared" si="59"/>
        <v>1.8635103089661869</v>
      </c>
      <c r="Z53" s="360">
        <f t="shared" si="12"/>
        <v>5.2090060074348804E-3</v>
      </c>
      <c r="AA53" s="541">
        <f t="shared" si="39"/>
        <v>5.2090060074348804E-3</v>
      </c>
      <c r="AB53" s="360">
        <f t="shared" si="60"/>
        <v>1.9773152813046078</v>
      </c>
      <c r="AC53" s="360">
        <f t="shared" si="61"/>
        <v>2.3458654330084323E-2</v>
      </c>
      <c r="AD53" s="360">
        <f t="shared" si="62"/>
        <v>9.5580951655155996E-2</v>
      </c>
      <c r="AE53" s="360">
        <f t="shared" si="63"/>
        <v>-3.4229250000000003E-2</v>
      </c>
      <c r="AF53" s="360">
        <f t="shared" si="64"/>
        <v>0</v>
      </c>
      <c r="AG53" s="360">
        <f t="shared" si="65"/>
        <v>8.511384774785942E-2</v>
      </c>
      <c r="AH53" s="360">
        <f t="shared" si="66"/>
        <v>5.5733306630196502</v>
      </c>
      <c r="AI53" s="360">
        <f t="shared" si="67"/>
        <v>7.7655036698387636E-2</v>
      </c>
      <c r="AJ53" s="360">
        <f t="shared" si="68"/>
        <v>2.276736E-2</v>
      </c>
      <c r="AK53" s="360">
        <f t="shared" si="69"/>
        <v>0.10200666292903447</v>
      </c>
      <c r="AL53" s="360">
        <f t="shared" si="70"/>
        <v>2.276736E-2</v>
      </c>
      <c r="AM53" s="360">
        <f t="shared" si="71"/>
        <v>0.26135999999999998</v>
      </c>
      <c r="AN53" s="360">
        <f t="shared" si="72"/>
        <v>0.13988716160414311</v>
      </c>
      <c r="AO53" s="360">
        <f t="shared" si="73"/>
        <v>1.5749999999999998E-3</v>
      </c>
      <c r="AP53" s="360">
        <f t="shared" si="74"/>
        <v>0.32669999999999993</v>
      </c>
      <c r="AQ53" s="360">
        <f t="shared" si="75"/>
        <v>0.31218000000000001</v>
      </c>
      <c r="AR53" s="360">
        <f t="shared" si="76"/>
        <v>0.29039999999999999</v>
      </c>
      <c r="AS53" s="360">
        <f t="shared" si="48"/>
        <v>0.32827499999999993</v>
      </c>
      <c r="AT53" s="360">
        <f t="shared" si="41"/>
        <v>1.4404016788823808</v>
      </c>
      <c r="AU53">
        <f t="shared" si="77"/>
        <v>26.400000000000002</v>
      </c>
      <c r="AV53" s="542">
        <f t="shared" si="42"/>
        <v>0.94826218042769972</v>
      </c>
      <c r="AW53" s="551">
        <f t="shared" si="78"/>
        <v>9.789235014418658</v>
      </c>
      <c r="AX53" s="551">
        <f t="shared" si="79"/>
        <v>7.1537075913033101</v>
      </c>
      <c r="AY53" s="9"/>
      <c r="AZ53" s="4">
        <f t="shared" si="43"/>
        <v>94.826218042769966</v>
      </c>
      <c r="BA53" s="360">
        <f t="shared" si="80"/>
        <v>0.48159585979183755</v>
      </c>
      <c r="BB53" s="360">
        <f t="shared" si="44"/>
        <v>0.44848051067689387</v>
      </c>
      <c r="BC53" s="360">
        <f t="shared" si="45"/>
        <v>0.25761144774785943</v>
      </c>
      <c r="BD53" s="360">
        <f t="shared" si="46"/>
        <v>0.18825546292903447</v>
      </c>
      <c r="BE53" s="360">
        <f t="shared" si="47"/>
        <v>0.13988716160414311</v>
      </c>
    </row>
    <row r="54" spans="1:64" x14ac:dyDescent="0.25">
      <c r="A54" s="23" t="s">
        <v>73</v>
      </c>
      <c r="B54" s="5">
        <f>Qrr_Q4*1000000000</f>
        <v>59.999999999999993</v>
      </c>
      <c r="C54" s="440" t="s">
        <v>65</v>
      </c>
      <c r="D54" s="21" t="s">
        <v>110</v>
      </c>
      <c r="G54">
        <v>45</v>
      </c>
      <c r="H54" s="548">
        <f t="shared" si="0"/>
        <v>45</v>
      </c>
      <c r="I54" s="4">
        <f t="shared" si="49"/>
        <v>2</v>
      </c>
      <c r="J54" s="360">
        <f t="shared" si="81"/>
        <v>5.4</v>
      </c>
      <c r="K54" s="4">
        <f t="shared" si="50"/>
        <v>0.66666666666666663</v>
      </c>
      <c r="L54" s="4"/>
      <c r="M54" s="360">
        <f t="shared" si="51"/>
        <v>0.11181359232273791</v>
      </c>
      <c r="N54" s="4">
        <f t="shared" si="52"/>
        <v>9.2270701767056735</v>
      </c>
      <c r="O54" s="4">
        <f t="shared" si="35"/>
        <v>10.013535088352837</v>
      </c>
      <c r="P54" s="4">
        <f t="shared" si="36"/>
        <v>0.78646491164716359</v>
      </c>
      <c r="Q54" s="4">
        <f t="shared" si="53"/>
        <v>0</v>
      </c>
      <c r="R54" s="4">
        <f t="shared" si="54"/>
        <v>6.0212043648941984</v>
      </c>
      <c r="S54" s="360">
        <f t="shared" si="55"/>
        <v>0.18127451001910472</v>
      </c>
      <c r="T54" s="360">
        <f t="shared" si="56"/>
        <v>0.3</v>
      </c>
      <c r="U54" s="360">
        <f t="shared" si="57"/>
        <v>0.48835663885291586</v>
      </c>
      <c r="V54" s="4">
        <f t="shared" si="37"/>
        <v>2.6636257251762943</v>
      </c>
      <c r="W54" s="360">
        <f t="shared" si="58"/>
        <v>1.4189804007641879E-2</v>
      </c>
      <c r="X54" s="360">
        <f t="shared" si="38"/>
        <v>1.4189804007641879E-2</v>
      </c>
      <c r="Y54" s="4">
        <f t="shared" si="59"/>
        <v>1.8975041282867708</v>
      </c>
      <c r="Z54" s="360">
        <f t="shared" si="12"/>
        <v>5.4007828752980066E-3</v>
      </c>
      <c r="AA54" s="541">
        <f t="shared" si="39"/>
        <v>5.4007828752980066E-3</v>
      </c>
      <c r="AB54" s="360">
        <f t="shared" si="60"/>
        <v>2.0134027993315318</v>
      </c>
      <c r="AC54" s="360">
        <f t="shared" si="61"/>
        <v>2.4322744994136291E-2</v>
      </c>
      <c r="AD54" s="360">
        <f t="shared" si="62"/>
        <v>9.7753246010954989E-2</v>
      </c>
      <c r="AE54" s="360">
        <f t="shared" si="63"/>
        <v>-3.4229250000000003E-2</v>
      </c>
      <c r="AF54" s="360">
        <f t="shared" si="64"/>
        <v>0</v>
      </c>
      <c r="AG54" s="360">
        <f t="shared" si="65"/>
        <v>8.8172720600077706E-2</v>
      </c>
      <c r="AH54" s="360">
        <f t="shared" si="66"/>
        <v>5.6746022919201042</v>
      </c>
      <c r="AI54" s="360">
        <f t="shared" si="67"/>
        <v>8.0502777928662256E-2</v>
      </c>
      <c r="AJ54" s="360">
        <f t="shared" si="68"/>
        <v>2.3284800000000001E-2</v>
      </c>
      <c r="AK54" s="360">
        <f t="shared" si="69"/>
        <v>0.1054859604991939</v>
      </c>
      <c r="AL54" s="360">
        <f t="shared" si="70"/>
        <v>2.3284800000000001E-2</v>
      </c>
      <c r="AM54" s="360">
        <f t="shared" si="71"/>
        <v>0.26729999999999998</v>
      </c>
      <c r="AN54" s="360">
        <f t="shared" si="72"/>
        <v>0.1450196080152838</v>
      </c>
      <c r="AO54" s="360">
        <f t="shared" si="73"/>
        <v>1.5749999999999998E-3</v>
      </c>
      <c r="AP54" s="360">
        <f t="shared" si="74"/>
        <v>0.32669999999999993</v>
      </c>
      <c r="AQ54" s="360">
        <f t="shared" si="75"/>
        <v>0.31218000000000001</v>
      </c>
      <c r="AR54" s="360">
        <f t="shared" si="76"/>
        <v>0.29039999999999999</v>
      </c>
      <c r="AS54" s="360">
        <f t="shared" si="48"/>
        <v>0.32827499999999993</v>
      </c>
      <c r="AT54" s="360">
        <f t="shared" si="41"/>
        <v>1.4654853148504112</v>
      </c>
      <c r="AU54">
        <f t="shared" si="77"/>
        <v>27</v>
      </c>
      <c r="AV54" s="542">
        <f t="shared" si="42"/>
        <v>0.94851711472188149</v>
      </c>
      <c r="AW54" s="551">
        <f t="shared" si="78"/>
        <v>10.054447382802953</v>
      </c>
      <c r="AX54" s="551">
        <f t="shared" si="79"/>
        <v>7.3604084989693677</v>
      </c>
      <c r="AY54" s="9"/>
      <c r="AZ54" s="4">
        <f t="shared" si="43"/>
        <v>94.851711472188143</v>
      </c>
      <c r="BA54" s="360">
        <f t="shared" si="80"/>
        <v>0.48835663885291586</v>
      </c>
      <c r="BB54" s="360">
        <f t="shared" si="44"/>
        <v>0.46095868109927157</v>
      </c>
      <c r="BC54" s="360">
        <f t="shared" si="45"/>
        <v>0.26459072060007771</v>
      </c>
      <c r="BD54" s="360">
        <f t="shared" si="46"/>
        <v>0.19369496049919388</v>
      </c>
      <c r="BE54" s="360">
        <f t="shared" si="47"/>
        <v>0.1450196080152838</v>
      </c>
    </row>
    <row r="55" spans="1:64" x14ac:dyDescent="0.25">
      <c r="A55" s="23" t="s">
        <v>74</v>
      </c>
      <c r="B55" s="5">
        <f>Trr_Q4*1000000000</f>
        <v>40</v>
      </c>
      <c r="C55" s="440" t="s">
        <v>75</v>
      </c>
      <c r="D55" s="76" t="s">
        <v>106</v>
      </c>
      <c r="G55">
        <v>46</v>
      </c>
      <c r="H55" s="548">
        <f t="shared" si="0"/>
        <v>45</v>
      </c>
      <c r="I55" s="4">
        <f t="shared" si="49"/>
        <v>2</v>
      </c>
      <c r="J55" s="360">
        <f t="shared" si="81"/>
        <v>5.52</v>
      </c>
      <c r="K55" s="4">
        <f t="shared" si="50"/>
        <v>0.68148148148148147</v>
      </c>
      <c r="L55" s="4"/>
      <c r="M55" s="360">
        <f t="shared" si="51"/>
        <v>0.11182919880466037</v>
      </c>
      <c r="N55" s="4">
        <f t="shared" si="52"/>
        <v>9.2280530645351142</v>
      </c>
      <c r="O55" s="4">
        <f t="shared" si="35"/>
        <v>10.134026532267557</v>
      </c>
      <c r="P55" s="4">
        <f t="shared" si="36"/>
        <v>0.90597346773244247</v>
      </c>
      <c r="Q55" s="4">
        <f t="shared" si="53"/>
        <v>0</v>
      </c>
      <c r="R55" s="4">
        <f t="shared" si="54"/>
        <v>6.1291772378916942</v>
      </c>
      <c r="S55" s="360">
        <f t="shared" si="55"/>
        <v>0.18783406806744829</v>
      </c>
      <c r="T55" s="360">
        <f t="shared" si="56"/>
        <v>0.3</v>
      </c>
      <c r="U55" s="360">
        <f t="shared" si="57"/>
        <v>0.49527645132101922</v>
      </c>
      <c r="V55" s="4">
        <f t="shared" si="37"/>
        <v>2.6639094604527496</v>
      </c>
      <c r="W55" s="360">
        <f t="shared" si="58"/>
        <v>1.4192827226979319E-2</v>
      </c>
      <c r="X55" s="360">
        <f t="shared" si="38"/>
        <v>1.4192827226979319E-2</v>
      </c>
      <c r="Y55" s="4">
        <f t="shared" si="59"/>
        <v>1.9316481947882271</v>
      </c>
      <c r="Z55" s="360">
        <f t="shared" si="12"/>
        <v>5.5968971226429253E-3</v>
      </c>
      <c r="AA55" s="541">
        <f t="shared" si="39"/>
        <v>5.5968971226429253E-3</v>
      </c>
      <c r="AB55" s="360">
        <f t="shared" si="60"/>
        <v>2.0496503770254471</v>
      </c>
      <c r="AC55" s="360">
        <f t="shared" si="61"/>
        <v>2.5206400008243344E-2</v>
      </c>
      <c r="AD55" s="360">
        <f t="shared" si="62"/>
        <v>9.9925540366753968E-2</v>
      </c>
      <c r="AE55" s="360">
        <f t="shared" si="63"/>
        <v>-3.4229250000000003E-2</v>
      </c>
      <c r="AF55" s="360">
        <f t="shared" si="64"/>
        <v>0</v>
      </c>
      <c r="AG55" s="360">
        <f t="shared" si="65"/>
        <v>9.1252312001250349E-2</v>
      </c>
      <c r="AH55" s="360">
        <f t="shared" si="66"/>
        <v>5.7763091109677553</v>
      </c>
      <c r="AI55" s="360">
        <f t="shared" si="67"/>
        <v>8.341436736362276E-2</v>
      </c>
      <c r="AJ55" s="360">
        <f t="shared" si="68"/>
        <v>2.3802239999999999E-2</v>
      </c>
      <c r="AK55" s="360">
        <f t="shared" si="69"/>
        <v>0.10903563506747156</v>
      </c>
      <c r="AL55" s="360">
        <f t="shared" si="70"/>
        <v>2.3802239999999999E-2</v>
      </c>
      <c r="AM55" s="360">
        <f t="shared" si="71"/>
        <v>0.27323999999999998</v>
      </c>
      <c r="AN55" s="360">
        <f t="shared" si="72"/>
        <v>0.15026725445395864</v>
      </c>
      <c r="AO55" s="360">
        <f t="shared" si="73"/>
        <v>1.5749999999999998E-3</v>
      </c>
      <c r="AP55" s="360">
        <f t="shared" si="74"/>
        <v>0.32669999999999993</v>
      </c>
      <c r="AQ55" s="360">
        <f t="shared" si="75"/>
        <v>0.31218000000000001</v>
      </c>
      <c r="AR55" s="360">
        <f t="shared" si="76"/>
        <v>0.29039999999999999</v>
      </c>
      <c r="AS55" s="360">
        <f t="shared" si="48"/>
        <v>0.32827499999999993</v>
      </c>
      <c r="AT55" s="360">
        <f t="shared" si="41"/>
        <v>1.4909386171933219</v>
      </c>
      <c r="AU55">
        <f t="shared" si="77"/>
        <v>27.599999999999998</v>
      </c>
      <c r="AV55" s="542">
        <f t="shared" si="42"/>
        <v>0.94874903705196545</v>
      </c>
      <c r="AW55" s="551">
        <f t="shared" si="78"/>
        <v>10.320447056047513</v>
      </c>
      <c r="AX55" s="551">
        <f t="shared" si="79"/>
        <v>7.569783732563919</v>
      </c>
      <c r="AY55" s="9"/>
      <c r="AZ55" s="4">
        <f t="shared" si="43"/>
        <v>94.874903705196544</v>
      </c>
      <c r="BA55" s="360">
        <f t="shared" si="80"/>
        <v>0.49527645132101922</v>
      </c>
      <c r="BB55" s="360">
        <f t="shared" si="44"/>
        <v>0.47352794706872192</v>
      </c>
      <c r="BC55" s="360">
        <f t="shared" si="45"/>
        <v>0.27159071200125035</v>
      </c>
      <c r="BD55" s="360">
        <f t="shared" si="46"/>
        <v>0.19920483506747155</v>
      </c>
      <c r="BE55" s="360">
        <f t="shared" si="47"/>
        <v>0.15026725445395864</v>
      </c>
    </row>
    <row r="56" spans="1:64" ht="15.5" x14ac:dyDescent="0.4">
      <c r="A56" s="446" t="s">
        <v>471</v>
      </c>
      <c r="B56" s="5">
        <f>ThetaJA_Q4</f>
        <v>38</v>
      </c>
      <c r="C56" s="441" t="s">
        <v>205</v>
      </c>
      <c r="D56" s="76" t="s">
        <v>103</v>
      </c>
      <c r="E56" s="2"/>
      <c r="G56">
        <v>47</v>
      </c>
      <c r="H56" s="548">
        <f t="shared" si="0"/>
        <v>45</v>
      </c>
      <c r="I56" s="4">
        <f t="shared" si="49"/>
        <v>2</v>
      </c>
      <c r="J56" s="360">
        <f t="shared" si="81"/>
        <v>5.64</v>
      </c>
      <c r="K56" s="4">
        <f t="shared" si="50"/>
        <v>0.6962962962962963</v>
      </c>
      <c r="L56" s="4"/>
      <c r="M56" s="360">
        <f t="shared" si="51"/>
        <v>0.11184480510351724</v>
      </c>
      <c r="N56" s="4">
        <f t="shared" si="52"/>
        <v>9.2290358521323697</v>
      </c>
      <c r="O56" s="4">
        <f t="shared" si="35"/>
        <v>10.254517926066185</v>
      </c>
      <c r="P56" s="4">
        <f t="shared" si="36"/>
        <v>1.0254820739338149</v>
      </c>
      <c r="Q56" s="4">
        <f t="shared" si="53"/>
        <v>0</v>
      </c>
      <c r="R56" s="4">
        <f t="shared" si="54"/>
        <v>6.2375896971502849</v>
      </c>
      <c r="S56" s="360">
        <f t="shared" si="55"/>
        <v>0.19453762614997694</v>
      </c>
      <c r="T56" s="360">
        <f t="shared" si="56"/>
        <v>0.3</v>
      </c>
      <c r="U56" s="360">
        <f t="shared" si="57"/>
        <v>0.50235579444875667</v>
      </c>
      <c r="V56" s="4">
        <f t="shared" si="37"/>
        <v>2.6641931667946657</v>
      </c>
      <c r="W56" s="360">
        <f t="shared" si="58"/>
        <v>1.4195850459990778E-2</v>
      </c>
      <c r="X56" s="360">
        <f t="shared" si="38"/>
        <v>1.4195850459990778E-2</v>
      </c>
      <c r="Y56" s="4">
        <f t="shared" si="59"/>
        <v>1.9659349456869051</v>
      </c>
      <c r="Z56" s="360">
        <f t="shared" si="12"/>
        <v>5.7973503160094622E-3</v>
      </c>
      <c r="AA56" s="541">
        <f t="shared" si="39"/>
        <v>5.7973503160094622E-3</v>
      </c>
      <c r="AB56" s="360">
        <f t="shared" si="60"/>
        <v>2.0860499937463182</v>
      </c>
      <c r="AC56" s="360">
        <f t="shared" si="61"/>
        <v>2.6109627458454084E-2</v>
      </c>
      <c r="AD56" s="360">
        <f t="shared" si="62"/>
        <v>0.10209783472255296</v>
      </c>
      <c r="AE56" s="360">
        <f t="shared" si="63"/>
        <v>-3.4229250000000003E-2</v>
      </c>
      <c r="AF56" s="360">
        <f t="shared" si="64"/>
        <v>0</v>
      </c>
      <c r="AG56" s="360">
        <f t="shared" si="65"/>
        <v>9.4352666151371528E-2</v>
      </c>
      <c r="AH56" s="360">
        <f t="shared" si="66"/>
        <v>5.8784284169824135</v>
      </c>
      <c r="AI56" s="360">
        <f t="shared" si="67"/>
        <v>8.638980163396591E-2</v>
      </c>
      <c r="AJ56" s="360">
        <f t="shared" si="68"/>
        <v>2.4319679999999996E-2</v>
      </c>
      <c r="AK56" s="360">
        <f t="shared" si="69"/>
        <v>0.11265594661007207</v>
      </c>
      <c r="AL56" s="360">
        <f t="shared" si="70"/>
        <v>2.4319679999999996E-2</v>
      </c>
      <c r="AM56" s="360">
        <f t="shared" si="71"/>
        <v>0.27917999999999998</v>
      </c>
      <c r="AN56" s="360">
        <f t="shared" si="72"/>
        <v>0.15563010091998156</v>
      </c>
      <c r="AO56" s="360">
        <f t="shared" si="73"/>
        <v>1.5749999999999998E-3</v>
      </c>
      <c r="AP56" s="360">
        <f t="shared" si="74"/>
        <v>0.32669999999999993</v>
      </c>
      <c r="AQ56" s="360">
        <f t="shared" si="75"/>
        <v>0.31218000000000001</v>
      </c>
      <c r="AR56" s="360">
        <f t="shared" si="76"/>
        <v>0.29039999999999999</v>
      </c>
      <c r="AS56" s="360">
        <f t="shared" si="48"/>
        <v>0.32827499999999993</v>
      </c>
      <c r="AT56" s="360">
        <f t="shared" si="41"/>
        <v>1.5167623889061821</v>
      </c>
      <c r="AU56">
        <f t="shared" si="77"/>
        <v>28.2</v>
      </c>
      <c r="AV56" s="542">
        <f t="shared" si="42"/>
        <v>0.9489593661295882</v>
      </c>
      <c r="AW56" s="551">
        <f t="shared" si="78"/>
        <v>10.587235713752118</v>
      </c>
      <c r="AX56" s="551">
        <f t="shared" si="79"/>
        <v>7.7818431711827394</v>
      </c>
      <c r="AY56" s="9"/>
      <c r="AZ56" s="4">
        <f t="shared" si="43"/>
        <v>94.89593661295882</v>
      </c>
      <c r="BA56" s="360">
        <f t="shared" si="80"/>
        <v>0.50235579444875667</v>
      </c>
      <c r="BB56" s="360">
        <f t="shared" si="44"/>
        <v>0.48618861276144359</v>
      </c>
      <c r="BC56" s="360">
        <f t="shared" si="45"/>
        <v>0.27861146615137156</v>
      </c>
      <c r="BD56" s="360">
        <f t="shared" si="46"/>
        <v>0.20478534661007208</v>
      </c>
      <c r="BE56" s="360">
        <f t="shared" si="47"/>
        <v>0.15563010091998156</v>
      </c>
      <c r="BK56" s="18"/>
      <c r="BL56" s="19"/>
    </row>
    <row r="57" spans="1:64" ht="13" x14ac:dyDescent="0.3">
      <c r="A57" s="24" t="s">
        <v>224</v>
      </c>
      <c r="B57" s="15" t="s">
        <v>111</v>
      </c>
      <c r="C57" s="24" t="s">
        <v>76</v>
      </c>
      <c r="D57" s="24" t="s">
        <v>213</v>
      </c>
      <c r="G57">
        <v>48</v>
      </c>
      <c r="H57" s="548">
        <f t="shared" si="0"/>
        <v>45</v>
      </c>
      <c r="I57" s="4">
        <f t="shared" si="49"/>
        <v>2</v>
      </c>
      <c r="J57" s="360">
        <f t="shared" si="81"/>
        <v>5.76</v>
      </c>
      <c r="K57" s="4">
        <f t="shared" si="50"/>
        <v>0.71111111111111103</v>
      </c>
      <c r="L57" s="4"/>
      <c r="M57" s="360">
        <f t="shared" si="51"/>
        <v>0.11186041121931174</v>
      </c>
      <c r="N57" s="4">
        <f t="shared" si="52"/>
        <v>9.2300185394992003</v>
      </c>
      <c r="O57" s="4">
        <f t="shared" si="35"/>
        <v>10.375009269749601</v>
      </c>
      <c r="P57" s="4">
        <f t="shared" si="36"/>
        <v>1.1449907302503997</v>
      </c>
      <c r="Q57" s="4">
        <f t="shared" si="53"/>
        <v>0</v>
      </c>
      <c r="R57" s="4">
        <f t="shared" si="54"/>
        <v>6.3464192150606928</v>
      </c>
      <c r="S57" s="360">
        <f t="shared" si="55"/>
        <v>0.20138518426645793</v>
      </c>
      <c r="T57" s="360">
        <f t="shared" si="56"/>
        <v>0.3</v>
      </c>
      <c r="U57" s="360">
        <f t="shared" si="57"/>
        <v>0.50959517776855545</v>
      </c>
      <c r="V57" s="4">
        <f t="shared" si="37"/>
        <v>2.6644768442025502</v>
      </c>
      <c r="W57" s="360">
        <f t="shared" si="58"/>
        <v>1.4198873706583161E-2</v>
      </c>
      <c r="X57" s="360">
        <f t="shared" si="38"/>
        <v>1.4198873706583161E-2</v>
      </c>
      <c r="Y57" s="4">
        <f t="shared" si="59"/>
        <v>2.0003573050456906</v>
      </c>
      <c r="Z57" s="360">
        <f t="shared" si="12"/>
        <v>6.0021440217744877E-3</v>
      </c>
      <c r="AA57" s="541">
        <f t="shared" si="39"/>
        <v>6.0021440217744877E-3</v>
      </c>
      <c r="AB57" s="360">
        <f t="shared" si="60"/>
        <v>2.1225941451687294</v>
      </c>
      <c r="AC57" s="360">
        <f t="shared" si="61"/>
        <v>2.7032435430627413E-2</v>
      </c>
      <c r="AD57" s="360">
        <f t="shared" si="62"/>
        <v>0.10427012907835198</v>
      </c>
      <c r="AE57" s="360">
        <f t="shared" si="63"/>
        <v>-3.4229250000000003E-2</v>
      </c>
      <c r="AF57" s="360">
        <f t="shared" si="64"/>
        <v>0</v>
      </c>
      <c r="AG57" s="360">
        <f t="shared" si="65"/>
        <v>9.7473827661750626E-2</v>
      </c>
      <c r="AH57" s="360">
        <f t="shared" si="66"/>
        <v>5.9809389687729642</v>
      </c>
      <c r="AI57" s="360">
        <f t="shared" si="67"/>
        <v>8.9429077370467527E-2</v>
      </c>
      <c r="AJ57" s="360">
        <f t="shared" si="68"/>
        <v>2.4837119999999997E-2</v>
      </c>
      <c r="AK57" s="360">
        <f t="shared" si="69"/>
        <v>0.11634716122711024</v>
      </c>
      <c r="AL57" s="360">
        <f t="shared" si="70"/>
        <v>2.4837119999999997E-2</v>
      </c>
      <c r="AM57" s="360">
        <f t="shared" si="71"/>
        <v>0.28511999999999998</v>
      </c>
      <c r="AN57" s="360">
        <f t="shared" si="72"/>
        <v>0.16110814741316634</v>
      </c>
      <c r="AO57" s="360">
        <f t="shared" si="73"/>
        <v>1.5749999999999998E-3</v>
      </c>
      <c r="AP57" s="360">
        <f t="shared" si="74"/>
        <v>0.32669999999999993</v>
      </c>
      <c r="AQ57" s="360">
        <f t="shared" si="75"/>
        <v>0.31218000000000001</v>
      </c>
      <c r="AR57" s="360">
        <f t="shared" si="76"/>
        <v>0.29039999999999999</v>
      </c>
      <c r="AS57" s="360">
        <f t="shared" si="48"/>
        <v>0.32827499999999993</v>
      </c>
      <c r="AT57" s="360">
        <f t="shared" si="41"/>
        <v>1.5429574517989402</v>
      </c>
      <c r="AU57">
        <f t="shared" si="77"/>
        <v>28.799999999999997</v>
      </c>
      <c r="AV57" s="542">
        <f t="shared" si="42"/>
        <v>0.94914940462708708</v>
      </c>
      <c r="AW57" s="551">
        <f t="shared" si="78"/>
        <v>10.854815051146524</v>
      </c>
      <c r="AX57" s="551">
        <f t="shared" si="79"/>
        <v>7.9965969266301897</v>
      </c>
      <c r="AY57" s="9"/>
      <c r="AZ57" s="4">
        <f t="shared" si="43"/>
        <v>94.914940462708714</v>
      </c>
      <c r="BA57" s="360">
        <f t="shared" si="80"/>
        <v>0.50959517776855545</v>
      </c>
      <c r="BB57" s="360">
        <f t="shared" si="44"/>
        <v>0.49894098888886085</v>
      </c>
      <c r="BC57" s="360">
        <f t="shared" si="45"/>
        <v>0.2856530276617506</v>
      </c>
      <c r="BD57" s="360">
        <f t="shared" si="46"/>
        <v>0.21043676122711025</v>
      </c>
      <c r="BE57" s="360">
        <f t="shared" si="47"/>
        <v>0.16110814741316634</v>
      </c>
      <c r="BK57" s="18"/>
      <c r="BL57" s="19"/>
    </row>
    <row r="58" spans="1:64" x14ac:dyDescent="0.25">
      <c r="A58" s="23" t="s">
        <v>195</v>
      </c>
      <c r="B58" s="73">
        <f>VfdSky_Q4</f>
        <v>0</v>
      </c>
      <c r="C58" s="440" t="s">
        <v>0</v>
      </c>
      <c r="D58" s="76" t="s">
        <v>198</v>
      </c>
      <c r="G58">
        <v>49</v>
      </c>
      <c r="H58" s="548">
        <f t="shared" si="0"/>
        <v>45</v>
      </c>
      <c r="I58" s="4">
        <f t="shared" si="49"/>
        <v>2</v>
      </c>
      <c r="J58" s="360">
        <f t="shared" si="81"/>
        <v>5.88</v>
      </c>
      <c r="K58" s="4">
        <f t="shared" si="50"/>
        <v>0.72592592592592586</v>
      </c>
      <c r="L58" s="4"/>
      <c r="M58" s="360">
        <f t="shared" si="51"/>
        <v>0.11187601715204712</v>
      </c>
      <c r="N58" s="4">
        <f t="shared" si="52"/>
        <v>9.2310011266373753</v>
      </c>
      <c r="O58" s="4">
        <f t="shared" si="35"/>
        <v>10.495500563318688</v>
      </c>
      <c r="P58" s="4">
        <f t="shared" si="36"/>
        <v>1.2644994366813123</v>
      </c>
      <c r="Q58" s="4">
        <f t="shared" si="53"/>
        <v>0</v>
      </c>
      <c r="R58" s="4">
        <f t="shared" si="54"/>
        <v>6.4556446992792056</v>
      </c>
      <c r="S58" s="360">
        <f t="shared" si="55"/>
        <v>0.20837674241665852</v>
      </c>
      <c r="T58" s="360">
        <f t="shared" si="56"/>
        <v>0.3</v>
      </c>
      <c r="U58" s="360">
        <f t="shared" si="57"/>
        <v>0.51699512318583973</v>
      </c>
      <c r="V58" s="4">
        <f t="shared" si="37"/>
        <v>2.6647604926769137</v>
      </c>
      <c r="W58" s="360">
        <f t="shared" si="58"/>
        <v>1.4201896966663416E-2</v>
      </c>
      <c r="X58" s="360">
        <f t="shared" si="38"/>
        <v>1.4201896966663416E-2</v>
      </c>
      <c r="Y58" s="4">
        <f t="shared" si="59"/>
        <v>2.0349086476059051</v>
      </c>
      <c r="Z58" s="360">
        <f t="shared" si="12"/>
        <v>6.2112798061519396E-3</v>
      </c>
      <c r="AA58" s="541">
        <f t="shared" si="39"/>
        <v>6.2112798061519396E-3</v>
      </c>
      <c r="AB58" s="360">
        <f t="shared" si="60"/>
        <v>2.1592758049259846</v>
      </c>
      <c r="AC58" s="360">
        <f t="shared" si="61"/>
        <v>2.7974832010432552E-2</v>
      </c>
      <c r="AD58" s="360">
        <f t="shared" si="62"/>
        <v>0.10644242343415099</v>
      </c>
      <c r="AE58" s="360">
        <f t="shared" si="63"/>
        <v>-3.4229250000000003E-2</v>
      </c>
      <c r="AF58" s="360">
        <f t="shared" si="64"/>
        <v>0</v>
      </c>
      <c r="AG58" s="360">
        <f t="shared" si="65"/>
        <v>0.10061584155688515</v>
      </c>
      <c r="AH58" s="360">
        <f t="shared" si="66"/>
        <v>6.0838208784934613</v>
      </c>
      <c r="AI58" s="360">
        <f t="shared" si="67"/>
        <v>9.2532191203982386E-2</v>
      </c>
      <c r="AJ58" s="360">
        <f t="shared" si="68"/>
        <v>2.5354559999999998E-2</v>
      </c>
      <c r="AK58" s="360">
        <f t="shared" si="69"/>
        <v>0.12010955119530814</v>
      </c>
      <c r="AL58" s="360">
        <f t="shared" si="70"/>
        <v>2.5354559999999998E-2</v>
      </c>
      <c r="AM58" s="360">
        <f t="shared" si="71"/>
        <v>0.29105999999999999</v>
      </c>
      <c r="AN58" s="360">
        <f t="shared" si="72"/>
        <v>0.16670139393332681</v>
      </c>
      <c r="AO58" s="360">
        <f t="shared" si="73"/>
        <v>1.5749999999999998E-3</v>
      </c>
      <c r="AP58" s="360">
        <f t="shared" si="74"/>
        <v>0.32669999999999993</v>
      </c>
      <c r="AQ58" s="360">
        <f t="shared" si="75"/>
        <v>0.31218000000000001</v>
      </c>
      <c r="AR58" s="360">
        <f t="shared" si="76"/>
        <v>0.29039999999999999</v>
      </c>
      <c r="AS58" s="360">
        <f t="shared" si="48"/>
        <v>0.32827499999999993</v>
      </c>
      <c r="AT58" s="360">
        <f t="shared" si="41"/>
        <v>1.569524646644175</v>
      </c>
      <c r="AU58">
        <f t="shared" si="77"/>
        <v>29.4</v>
      </c>
      <c r="AV58" s="542">
        <f t="shared" si="42"/>
        <v>0.94932035074635068</v>
      </c>
      <c r="AW58" s="551">
        <f t="shared" si="78"/>
        <v>11.123186779161637</v>
      </c>
      <c r="AX58" s="551">
        <f t="shared" si="79"/>
        <v>8.2140553454217091</v>
      </c>
      <c r="AY58" s="9"/>
      <c r="AZ58" s="4">
        <f t="shared" si="43"/>
        <v>94.932035074635067</v>
      </c>
      <c r="BA58" s="360">
        <f t="shared" si="80"/>
        <v>0.51699512318583973</v>
      </c>
      <c r="BB58" s="360">
        <f t="shared" si="44"/>
        <v>0.51178539275219326</v>
      </c>
      <c r="BC58" s="360">
        <f t="shared" si="45"/>
        <v>0.29271544155688517</v>
      </c>
      <c r="BD58" s="360">
        <f t="shared" si="46"/>
        <v>0.21615935119530816</v>
      </c>
      <c r="BE58" s="360">
        <f t="shared" si="47"/>
        <v>0.16670139393332681</v>
      </c>
      <c r="BK58" s="18"/>
      <c r="BL58" s="19"/>
    </row>
    <row r="59" spans="1:64" x14ac:dyDescent="0.25">
      <c r="A59" s="23" t="s">
        <v>196</v>
      </c>
      <c r="B59" s="73">
        <f>QrrSky_Q4*1000000000</f>
        <v>0</v>
      </c>
      <c r="C59" s="440" t="s">
        <v>65</v>
      </c>
      <c r="D59" s="76" t="s">
        <v>199</v>
      </c>
      <c r="G59">
        <v>50</v>
      </c>
      <c r="H59" s="548">
        <f t="shared" si="0"/>
        <v>45</v>
      </c>
      <c r="I59" s="4">
        <f t="shared" si="49"/>
        <v>2</v>
      </c>
      <c r="J59" s="360">
        <f t="shared" si="81"/>
        <v>6</v>
      </c>
      <c r="K59" s="4">
        <f t="shared" si="50"/>
        <v>0.7407407407407407</v>
      </c>
      <c r="L59" s="4"/>
      <c r="M59" s="360">
        <f t="shared" si="51"/>
        <v>0.11189162290172661</v>
      </c>
      <c r="N59" s="4">
        <f t="shared" si="52"/>
        <v>9.2319836135486568</v>
      </c>
      <c r="O59" s="4">
        <f t="shared" si="35"/>
        <v>10.615991806774328</v>
      </c>
      <c r="P59" s="4">
        <f t="shared" si="36"/>
        <v>1.3840081932256716</v>
      </c>
      <c r="Q59" s="4">
        <f t="shared" si="53"/>
        <v>0</v>
      </c>
      <c r="R59" s="4">
        <f t="shared" si="54"/>
        <v>6.5652463868516957</v>
      </c>
      <c r="S59" s="360">
        <f t="shared" si="55"/>
        <v>0.21551230060034623</v>
      </c>
      <c r="T59" s="360">
        <f t="shared" si="56"/>
        <v>0.3</v>
      </c>
      <c r="U59" s="360">
        <f t="shared" si="57"/>
        <v>0.5245561650746936</v>
      </c>
      <c r="V59" s="4">
        <f t="shared" si="37"/>
        <v>2.6650441122182658</v>
      </c>
      <c r="W59" s="360">
        <f t="shared" si="58"/>
        <v>1.4204920240138488E-2</v>
      </c>
      <c r="X59" s="360">
        <f t="shared" si="38"/>
        <v>1.4204920240138488E-2</v>
      </c>
      <c r="Y59" s="4">
        <f t="shared" si="59"/>
        <v>2.069582765550074</v>
      </c>
      <c r="Z59" s="360">
        <f t="shared" si="12"/>
        <v>6.4247592351928395E-3</v>
      </c>
      <c r="AA59" s="541">
        <f t="shared" si="39"/>
        <v>6.4247592351928395E-3</v>
      </c>
      <c r="AB59" s="360">
        <f t="shared" si="60"/>
        <v>2.1960883893622083</v>
      </c>
      <c r="AC59" s="360">
        <f t="shared" si="61"/>
        <v>2.8936825283348989E-2</v>
      </c>
      <c r="AD59" s="360">
        <f t="shared" si="62"/>
        <v>0.10861471778994998</v>
      </c>
      <c r="AE59" s="360">
        <f t="shared" si="63"/>
        <v>-3.4229250000000003E-2</v>
      </c>
      <c r="AF59" s="360">
        <f t="shared" si="64"/>
        <v>0</v>
      </c>
      <c r="AG59" s="360">
        <f t="shared" si="65"/>
        <v>0.10377875327635457</v>
      </c>
      <c r="AH59" s="360">
        <f t="shared" si="66"/>
        <v>6.1870555118067063</v>
      </c>
      <c r="AI59" s="360">
        <f t="shared" si="67"/>
        <v>9.5699139765444363E-2</v>
      </c>
      <c r="AJ59" s="360">
        <f t="shared" si="68"/>
        <v>2.5871999999999999E-2</v>
      </c>
      <c r="AK59" s="360">
        <f t="shared" si="69"/>
        <v>0.12394339502208888</v>
      </c>
      <c r="AL59" s="360">
        <f t="shared" si="70"/>
        <v>2.5871999999999999E-2</v>
      </c>
      <c r="AM59" s="360">
        <f t="shared" si="71"/>
        <v>0.29699999999999999</v>
      </c>
      <c r="AN59" s="360">
        <f t="shared" si="72"/>
        <v>0.17240984048027699</v>
      </c>
      <c r="AO59" s="360">
        <f t="shared" si="73"/>
        <v>1.5749999999999998E-3</v>
      </c>
      <c r="AP59" s="360">
        <f t="shared" si="74"/>
        <v>0.32669999999999993</v>
      </c>
      <c r="AQ59" s="360">
        <f t="shared" si="75"/>
        <v>0.31218000000000001</v>
      </c>
      <c r="AR59" s="360">
        <f t="shared" si="76"/>
        <v>0.29039999999999999</v>
      </c>
      <c r="AS59" s="360">
        <f t="shared" si="48"/>
        <v>0.32827499999999993</v>
      </c>
      <c r="AT59" s="360">
        <f t="shared" si="41"/>
        <v>1.5964648333287452</v>
      </c>
      <c r="AU59">
        <f t="shared" si="77"/>
        <v>30</v>
      </c>
      <c r="AV59" s="542">
        <f t="shared" si="42"/>
        <v>0.94947330843022815</v>
      </c>
      <c r="AW59" s="551">
        <f t="shared" si="78"/>
        <v>11.392352624501473</v>
      </c>
      <c r="AX59" s="551">
        <f t="shared" si="79"/>
        <v>8.4342290108393776</v>
      </c>
      <c r="AY59" s="9"/>
      <c r="AZ59" s="4">
        <f t="shared" si="43"/>
        <v>94.947330843022812</v>
      </c>
      <c r="BA59" s="360">
        <f t="shared" si="80"/>
        <v>0.5245561650746936</v>
      </c>
      <c r="BB59" s="360">
        <f t="shared" si="44"/>
        <v>0.52472214829844344</v>
      </c>
      <c r="BC59" s="360">
        <f t="shared" si="45"/>
        <v>0.29979875327635458</v>
      </c>
      <c r="BD59" s="360">
        <f t="shared" si="46"/>
        <v>0.22195339502208888</v>
      </c>
      <c r="BE59" s="360">
        <f t="shared" si="47"/>
        <v>0.17240984048027699</v>
      </c>
      <c r="BK59" s="18"/>
      <c r="BL59" s="19"/>
    </row>
    <row r="60" spans="1:64" ht="13" x14ac:dyDescent="0.3">
      <c r="A60" s="23" t="s">
        <v>197</v>
      </c>
      <c r="B60" s="73">
        <f>Ireverse</f>
        <v>0</v>
      </c>
      <c r="C60" s="440" t="s">
        <v>64</v>
      </c>
      <c r="D60" s="76" t="s">
        <v>200</v>
      </c>
      <c r="E60" s="2"/>
      <c r="G60">
        <v>51</v>
      </c>
      <c r="H60" s="548">
        <f t="shared" si="0"/>
        <v>45</v>
      </c>
      <c r="I60" s="4">
        <f t="shared" si="49"/>
        <v>2</v>
      </c>
      <c r="J60" s="360">
        <f t="shared" si="81"/>
        <v>6.12</v>
      </c>
      <c r="K60" s="4">
        <f t="shared" si="50"/>
        <v>0.75555555555555554</v>
      </c>
      <c r="L60" s="4"/>
      <c r="M60" s="360">
        <f t="shared" si="51"/>
        <v>0.11190722846835338</v>
      </c>
      <c r="N60" s="4">
        <f t="shared" si="52"/>
        <v>9.2329660002348035</v>
      </c>
      <c r="O60" s="4">
        <f t="shared" si="35"/>
        <v>10.736483000117403</v>
      </c>
      <c r="P60" s="4">
        <f t="shared" si="36"/>
        <v>1.5035169998825983</v>
      </c>
      <c r="Q60" s="4">
        <f t="shared" si="53"/>
        <v>0</v>
      </c>
      <c r="R60" s="4">
        <f t="shared" si="54"/>
        <v>6.6752057469008141</v>
      </c>
      <c r="S60" s="360">
        <f t="shared" si="55"/>
        <v>0.2227918588172883</v>
      </c>
      <c r="T60" s="360">
        <f t="shared" si="56"/>
        <v>0.3</v>
      </c>
      <c r="U60" s="360">
        <f t="shared" si="57"/>
        <v>0.53227885037604084</v>
      </c>
      <c r="V60" s="4">
        <f t="shared" si="37"/>
        <v>2.6653277028271134</v>
      </c>
      <c r="W60" s="360">
        <f t="shared" si="58"/>
        <v>1.4207943526915316E-2</v>
      </c>
      <c r="X60" s="360">
        <f t="shared" si="38"/>
        <v>1.4207943526915316E-2</v>
      </c>
      <c r="Y60" s="4">
        <f t="shared" si="59"/>
        <v>2.1043738379520032</v>
      </c>
      <c r="Z60" s="360">
        <f t="shared" si="12"/>
        <v>6.6425838747852656E-3</v>
      </c>
      <c r="AA60" s="541">
        <f t="shared" si="39"/>
        <v>6.6425838747852656E-3</v>
      </c>
      <c r="AB60" s="360">
        <f t="shared" si="60"/>
        <v>2.2330257251341918</v>
      </c>
      <c r="AC60" s="360">
        <f t="shared" si="61"/>
        <v>2.9918423334666502E-2</v>
      </c>
      <c r="AD60" s="360">
        <f t="shared" si="62"/>
        <v>0.11078701214574896</v>
      </c>
      <c r="AE60" s="360">
        <f t="shared" si="63"/>
        <v>-3.4229250000000003E-2</v>
      </c>
      <c r="AF60" s="360">
        <f t="shared" si="64"/>
        <v>0</v>
      </c>
      <c r="AG60" s="360">
        <f t="shared" si="65"/>
        <v>0.10696260867673582</v>
      </c>
      <c r="AH60" s="360">
        <f t="shared" si="66"/>
        <v>6.2906253961229144</v>
      </c>
      <c r="AI60" s="360">
        <f t="shared" si="67"/>
        <v>9.8929919685866438E-2</v>
      </c>
      <c r="AJ60" s="360">
        <f t="shared" si="68"/>
        <v>2.638944E-2</v>
      </c>
      <c r="AK60" s="360">
        <f t="shared" si="69"/>
        <v>0.12784897750108698</v>
      </c>
      <c r="AL60" s="360">
        <f t="shared" si="70"/>
        <v>2.638944E-2</v>
      </c>
      <c r="AM60" s="360">
        <f t="shared" si="71"/>
        <v>0.30293999999999999</v>
      </c>
      <c r="AN60" s="360">
        <f t="shared" si="72"/>
        <v>0.17823348705383063</v>
      </c>
      <c r="AO60" s="360">
        <f t="shared" si="73"/>
        <v>1.5749999999999998E-3</v>
      </c>
      <c r="AP60" s="360">
        <f t="shared" si="74"/>
        <v>0.32669999999999993</v>
      </c>
      <c r="AQ60" s="360">
        <f t="shared" si="75"/>
        <v>0.31218000000000001</v>
      </c>
      <c r="AR60" s="360">
        <f t="shared" si="76"/>
        <v>0.29039999999999999</v>
      </c>
      <c r="AS60" s="360">
        <f t="shared" si="48"/>
        <v>0.32827499999999993</v>
      </c>
      <c r="AT60" s="360">
        <f t="shared" si="41"/>
        <v>1.6237788910093947</v>
      </c>
      <c r="AU60">
        <f t="shared" si="77"/>
        <v>30.6</v>
      </c>
      <c r="AV60" s="542">
        <f t="shared" si="42"/>
        <v>0.94960929639873992</v>
      </c>
      <c r="AW60" s="551">
        <f t="shared" si="78"/>
        <v>11.662314329715961</v>
      </c>
      <c r="AX60" s="551">
        <f t="shared" si="79"/>
        <v>8.6571287450413053</v>
      </c>
      <c r="AY60" s="9"/>
      <c r="AZ60" s="4">
        <f t="shared" si="43"/>
        <v>94.960929639873996</v>
      </c>
      <c r="BA60" s="360">
        <f t="shared" si="80"/>
        <v>0.53227885037604084</v>
      </c>
      <c r="BB60" s="360">
        <f t="shared" si="44"/>
        <v>0.53775158617782282</v>
      </c>
      <c r="BC60" s="360">
        <f t="shared" si="45"/>
        <v>0.30690300867673581</v>
      </c>
      <c r="BD60" s="360">
        <f t="shared" si="46"/>
        <v>0.22781917750108699</v>
      </c>
      <c r="BE60" s="360">
        <f t="shared" si="47"/>
        <v>0.17823348705383063</v>
      </c>
      <c r="BK60" s="18"/>
      <c r="BL60" s="19"/>
    </row>
    <row r="61" spans="1:64" ht="13" x14ac:dyDescent="0.3">
      <c r="A61" s="24" t="s">
        <v>117</v>
      </c>
      <c r="B61" s="15" t="s">
        <v>111</v>
      </c>
      <c r="C61" s="24" t="s">
        <v>76</v>
      </c>
      <c r="D61" s="24" t="s">
        <v>213</v>
      </c>
      <c r="G61">
        <v>52</v>
      </c>
      <c r="H61" s="548">
        <f t="shared" si="0"/>
        <v>45</v>
      </c>
      <c r="I61" s="4">
        <f t="shared" si="49"/>
        <v>2</v>
      </c>
      <c r="J61" s="360">
        <f t="shared" si="81"/>
        <v>6.24</v>
      </c>
      <c r="K61" s="4">
        <f t="shared" si="50"/>
        <v>0.77037037037037048</v>
      </c>
      <c r="L61" s="4"/>
      <c r="M61" s="360">
        <f t="shared" si="51"/>
        <v>0.11192283385193069</v>
      </c>
      <c r="N61" s="4">
        <f t="shared" si="52"/>
        <v>9.2339482866975828</v>
      </c>
      <c r="O61" s="4">
        <f t="shared" si="35"/>
        <v>10.856974143348792</v>
      </c>
      <c r="P61" s="4">
        <f t="shared" si="36"/>
        <v>1.6230258566512088</v>
      </c>
      <c r="Q61" s="4">
        <f t="shared" si="53"/>
        <v>0</v>
      </c>
      <c r="R61" s="4">
        <f t="shared" si="54"/>
        <v>6.7855053911591909</v>
      </c>
      <c r="S61" s="360">
        <f t="shared" si="55"/>
        <v>0.23021541706725224</v>
      </c>
      <c r="T61" s="360">
        <f t="shared" si="56"/>
        <v>0.3</v>
      </c>
      <c r="U61" s="360">
        <f t="shared" si="57"/>
        <v>0.54016373869837642</v>
      </c>
      <c r="V61" s="4">
        <f t="shared" si="37"/>
        <v>2.6656112645039669</v>
      </c>
      <c r="W61" s="360">
        <f t="shared" si="58"/>
        <v>1.4210966826900874E-2</v>
      </c>
      <c r="X61" s="360">
        <f t="shared" si="38"/>
        <v>1.4210966826900874E-2</v>
      </c>
      <c r="Y61" s="4">
        <f t="shared" si="59"/>
        <v>2.1392764026892208</v>
      </c>
      <c r="Z61" s="360">
        <f t="shared" si="12"/>
        <v>6.8647552906544E-3</v>
      </c>
      <c r="AA61" s="541">
        <f t="shared" si="39"/>
        <v>6.8647552906544E-3</v>
      </c>
      <c r="AB61" s="360">
        <f t="shared" si="60"/>
        <v>2.2700820194244526</v>
      </c>
      <c r="AC61" s="360">
        <f t="shared" si="61"/>
        <v>3.0919634249485208E-2</v>
      </c>
      <c r="AD61" s="360">
        <f t="shared" si="62"/>
        <v>0.11295930650154798</v>
      </c>
      <c r="AE61" s="360">
        <f t="shared" si="63"/>
        <v>-3.4229250000000003E-2</v>
      </c>
      <c r="AF61" s="360">
        <f t="shared" si="64"/>
        <v>0</v>
      </c>
      <c r="AG61" s="360">
        <f t="shared" si="65"/>
        <v>0.11016745403354013</v>
      </c>
      <c r="AH61" s="360">
        <f t="shared" si="66"/>
        <v>6.3945141362371105</v>
      </c>
      <c r="AI61" s="360">
        <f t="shared" si="67"/>
        <v>0.1022245275963406</v>
      </c>
      <c r="AJ61" s="360">
        <f t="shared" si="68"/>
        <v>2.6906880000000001E-2</v>
      </c>
      <c r="AK61" s="360">
        <f t="shared" si="69"/>
        <v>0.13182658976909711</v>
      </c>
      <c r="AL61" s="360">
        <f t="shared" si="70"/>
        <v>2.6906880000000001E-2</v>
      </c>
      <c r="AM61" s="360">
        <f t="shared" si="71"/>
        <v>0.30887999999999993</v>
      </c>
      <c r="AN61" s="360">
        <f t="shared" si="72"/>
        <v>0.18417233365380178</v>
      </c>
      <c r="AO61" s="360">
        <f t="shared" si="73"/>
        <v>1.5749999999999998E-3</v>
      </c>
      <c r="AP61" s="360">
        <f t="shared" si="74"/>
        <v>0.32669999999999993</v>
      </c>
      <c r="AQ61" s="360">
        <f t="shared" si="75"/>
        <v>0.31218000000000001</v>
      </c>
      <c r="AR61" s="360">
        <f t="shared" si="76"/>
        <v>0.29039999999999999</v>
      </c>
      <c r="AS61" s="360">
        <f t="shared" si="48"/>
        <v>0.32827499999999993</v>
      </c>
      <c r="AT61" s="360">
        <f t="shared" si="41"/>
        <v>1.6514677182723705</v>
      </c>
      <c r="AU61">
        <f t="shared" si="77"/>
        <v>31.200000000000003</v>
      </c>
      <c r="AV61" s="542">
        <f t="shared" si="42"/>
        <v>0.94972925616489867</v>
      </c>
      <c r="AW61" s="551">
        <f t="shared" si="78"/>
        <v>11.933073653274523</v>
      </c>
      <c r="AX61" s="551">
        <f t="shared" si="79"/>
        <v>8.8827656112256896</v>
      </c>
      <c r="AY61" s="9"/>
      <c r="AZ61" s="4">
        <f t="shared" si="43"/>
        <v>94.972925616489874</v>
      </c>
      <c r="BA61" s="360">
        <f t="shared" si="80"/>
        <v>0.54016373869837642</v>
      </c>
      <c r="BB61" s="360">
        <f t="shared" si="44"/>
        <v>0.55087404380263716</v>
      </c>
      <c r="BC61" s="360">
        <f t="shared" si="45"/>
        <v>0.31402825403354007</v>
      </c>
      <c r="BD61" s="360">
        <f t="shared" si="46"/>
        <v>0.23375698976909709</v>
      </c>
      <c r="BE61" s="360">
        <f t="shared" si="47"/>
        <v>0.18417233365380178</v>
      </c>
      <c r="BK61" s="18"/>
      <c r="BL61" s="19"/>
    </row>
    <row r="62" spans="1:64" ht="15.5" x14ac:dyDescent="0.4">
      <c r="A62" s="446" t="s">
        <v>470</v>
      </c>
      <c r="B62" s="74">
        <v>30</v>
      </c>
      <c r="C62" s="441" t="s">
        <v>205</v>
      </c>
      <c r="D62" s="76" t="s">
        <v>103</v>
      </c>
      <c r="G62">
        <v>53</v>
      </c>
      <c r="H62" s="548">
        <f t="shared" si="0"/>
        <v>45</v>
      </c>
      <c r="I62" s="4">
        <f t="shared" si="49"/>
        <v>2</v>
      </c>
      <c r="J62" s="360">
        <f t="shared" si="81"/>
        <v>6.36</v>
      </c>
      <c r="K62" s="4">
        <f t="shared" si="50"/>
        <v>0.78518518518518521</v>
      </c>
      <c r="L62" s="4"/>
      <c r="M62" s="360">
        <f t="shared" si="51"/>
        <v>0.11193843905246172</v>
      </c>
      <c r="N62" s="4">
        <f t="shared" si="52"/>
        <v>9.2349304729387551</v>
      </c>
      <c r="O62" s="4">
        <f t="shared" si="35"/>
        <v>10.977465236469378</v>
      </c>
      <c r="P62" s="4">
        <f t="shared" si="36"/>
        <v>1.7425347635306228</v>
      </c>
      <c r="Q62" s="4">
        <f t="shared" si="53"/>
        <v>0</v>
      </c>
      <c r="R62" s="4">
        <f t="shared" si="54"/>
        <v>6.8961289916880961</v>
      </c>
      <c r="S62" s="360">
        <f t="shared" si="55"/>
        <v>0.23778297535000539</v>
      </c>
      <c r="T62" s="360">
        <f t="shared" si="56"/>
        <v>0.3</v>
      </c>
      <c r="U62" s="360">
        <f t="shared" si="57"/>
        <v>0.54821140242108413</v>
      </c>
      <c r="V62" s="4">
        <f t="shared" si="37"/>
        <v>2.6658947972493343</v>
      </c>
      <c r="W62" s="360">
        <f t="shared" si="58"/>
        <v>1.4213990140002139E-2</v>
      </c>
      <c r="X62" s="360">
        <f t="shared" si="38"/>
        <v>1.4213990140002139E-2</v>
      </c>
      <c r="Y62" s="4">
        <f t="shared" si="59"/>
        <v>2.1742853306105769</v>
      </c>
      <c r="Z62" s="360">
        <f t="shared" si="12"/>
        <v>7.091275048362519E-3</v>
      </c>
      <c r="AA62" s="541">
        <f t="shared" si="39"/>
        <v>7.091275048362519E-3</v>
      </c>
      <c r="AB62" s="360">
        <f t="shared" si="60"/>
        <v>2.3072518325457922</v>
      </c>
      <c r="AC62" s="360">
        <f t="shared" si="61"/>
        <v>3.1940466112715504E-2</v>
      </c>
      <c r="AD62" s="360">
        <f t="shared" si="62"/>
        <v>0.11513160085734697</v>
      </c>
      <c r="AE62" s="360">
        <f t="shared" si="63"/>
        <v>-3.4229250000000003E-2</v>
      </c>
      <c r="AF62" s="360">
        <f t="shared" si="64"/>
        <v>0</v>
      </c>
      <c r="AG62" s="360">
        <f t="shared" si="65"/>
        <v>0.11339333604317127</v>
      </c>
      <c r="AH62" s="360">
        <f t="shared" si="66"/>
        <v>6.498706336742349</v>
      </c>
      <c r="AI62" s="360">
        <f t="shared" si="67"/>
        <v>0.1055829601280379</v>
      </c>
      <c r="AJ62" s="360">
        <f t="shared" si="68"/>
        <v>2.7424320000000002E-2</v>
      </c>
      <c r="AK62" s="360">
        <f t="shared" si="69"/>
        <v>0.13587652936448319</v>
      </c>
      <c r="AL62" s="360">
        <f t="shared" si="70"/>
        <v>2.7424320000000002E-2</v>
      </c>
      <c r="AM62" s="360">
        <f t="shared" si="71"/>
        <v>0.31481999999999999</v>
      </c>
      <c r="AN62" s="360">
        <f t="shared" si="72"/>
        <v>0.19022638028000433</v>
      </c>
      <c r="AO62" s="360">
        <f t="shared" si="73"/>
        <v>1.5749999999999998E-3</v>
      </c>
      <c r="AP62" s="360">
        <f t="shared" si="74"/>
        <v>0.32669999999999993</v>
      </c>
      <c r="AQ62" s="360">
        <f t="shared" si="75"/>
        <v>0.31218000000000001</v>
      </c>
      <c r="AR62" s="360">
        <f t="shared" si="76"/>
        <v>0.29039999999999999</v>
      </c>
      <c r="AS62" s="360">
        <f t="shared" si="48"/>
        <v>0.32827499999999993</v>
      </c>
      <c r="AT62" s="360">
        <f t="shared" si="41"/>
        <v>1.6795322332971072</v>
      </c>
      <c r="AU62">
        <f t="shared" si="77"/>
        <v>31.8</v>
      </c>
      <c r="AV62" s="542">
        <f t="shared" si="42"/>
        <v>0.94983405916207142</v>
      </c>
      <c r="AW62" s="551">
        <f t="shared" si="78"/>
        <v>12.204632369640507</v>
      </c>
      <c r="AX62" s="551">
        <f t="shared" si="79"/>
        <v>9.1111509158503612</v>
      </c>
      <c r="AY62" s="9"/>
      <c r="AZ62" s="4">
        <f t="shared" si="43"/>
        <v>94.983405916207147</v>
      </c>
      <c r="BA62" s="360">
        <f t="shared" si="80"/>
        <v>0.54821140242108413</v>
      </c>
      <c r="BB62" s="360">
        <f t="shared" si="44"/>
        <v>0.56408986540765449</v>
      </c>
      <c r="BC62" s="360">
        <f t="shared" si="45"/>
        <v>0.32117453604317125</v>
      </c>
      <c r="BD62" s="360">
        <f t="shared" si="46"/>
        <v>0.23976712936448319</v>
      </c>
      <c r="BE62" s="360">
        <f t="shared" si="47"/>
        <v>0.19022638028000433</v>
      </c>
      <c r="BK62" s="18"/>
      <c r="BL62" s="19"/>
    </row>
    <row r="63" spans="1:64" x14ac:dyDescent="0.25">
      <c r="A63" s="23" t="s">
        <v>118</v>
      </c>
      <c r="B63" s="74">
        <v>2</v>
      </c>
      <c r="C63" s="441" t="s">
        <v>205</v>
      </c>
      <c r="D63" s="21" t="s">
        <v>103</v>
      </c>
      <c r="G63">
        <v>54</v>
      </c>
      <c r="H63" s="548">
        <f t="shared" si="0"/>
        <v>45</v>
      </c>
      <c r="I63" s="4">
        <f t="shared" si="49"/>
        <v>2</v>
      </c>
      <c r="J63" s="360">
        <f t="shared" si="81"/>
        <v>6.48</v>
      </c>
      <c r="K63" s="4">
        <f t="shared" si="50"/>
        <v>0.80000000000000016</v>
      </c>
      <c r="L63" s="4"/>
      <c r="M63" s="360">
        <f t="shared" si="51"/>
        <v>0.11195404406994974</v>
      </c>
      <c r="N63" s="4">
        <f t="shared" si="52"/>
        <v>9.2359125589600897</v>
      </c>
      <c r="O63" s="4">
        <f t="shared" si="35"/>
        <v>11.097956279480044</v>
      </c>
      <c r="P63" s="4">
        <f t="shared" si="36"/>
        <v>1.8620437205199556</v>
      </c>
      <c r="Q63" s="4">
        <f t="shared" si="53"/>
        <v>0</v>
      </c>
      <c r="R63" s="4">
        <f t="shared" si="54"/>
        <v>7.0070612051746108</v>
      </c>
      <c r="S63" s="360">
        <f t="shared" si="55"/>
        <v>0.24549453366531535</v>
      </c>
      <c r="T63" s="360">
        <f t="shared" si="56"/>
        <v>0.3</v>
      </c>
      <c r="U63" s="360">
        <f t="shared" si="57"/>
        <v>0.55642242680037779</v>
      </c>
      <c r="V63" s="4">
        <f t="shared" si="37"/>
        <v>2.6661783010637268</v>
      </c>
      <c r="W63" s="360">
        <f t="shared" si="58"/>
        <v>1.4217013466126121E-2</v>
      </c>
      <c r="X63" s="360">
        <f t="shared" si="38"/>
        <v>1.4217013466126121E-2</v>
      </c>
      <c r="Y63" s="4">
        <f t="shared" si="59"/>
        <v>2.2093958017685904</v>
      </c>
      <c r="Z63" s="360">
        <f t="shared" si="12"/>
        <v>7.3221447133090091E-3</v>
      </c>
      <c r="AA63" s="541">
        <f t="shared" si="39"/>
        <v>7.3221447133090091E-3</v>
      </c>
      <c r="AB63" s="360">
        <f t="shared" si="60"/>
        <v>2.3445300527354505</v>
      </c>
      <c r="AC63" s="360">
        <f t="shared" si="61"/>
        <v>3.2980927009078162E-2</v>
      </c>
      <c r="AD63" s="360">
        <f t="shared" si="62"/>
        <v>0.11730389521314599</v>
      </c>
      <c r="AE63" s="360">
        <f t="shared" si="63"/>
        <v>-3.4229250000000003E-2</v>
      </c>
      <c r="AF63" s="360">
        <f t="shared" si="64"/>
        <v>0</v>
      </c>
      <c r="AG63" s="360">
        <f t="shared" si="65"/>
        <v>0.11664030182490637</v>
      </c>
      <c r="AH63" s="360">
        <f t="shared" si="66"/>
        <v>6.6031875306463448</v>
      </c>
      <c r="AI63" s="360">
        <f t="shared" si="67"/>
        <v>0.10900521391220844</v>
      </c>
      <c r="AJ63" s="360">
        <f t="shared" si="68"/>
        <v>2.794176E-2</v>
      </c>
      <c r="AK63" s="360">
        <f t="shared" si="69"/>
        <v>0.13999910028707022</v>
      </c>
      <c r="AL63" s="360">
        <f t="shared" si="70"/>
        <v>2.794176E-2</v>
      </c>
      <c r="AM63" s="360">
        <f t="shared" si="71"/>
        <v>0.32075999999999999</v>
      </c>
      <c r="AN63" s="360">
        <f t="shared" si="72"/>
        <v>0.19639562693225227</v>
      </c>
      <c r="AO63" s="360">
        <f t="shared" si="73"/>
        <v>1.5749999999999998E-3</v>
      </c>
      <c r="AP63" s="360">
        <f t="shared" si="74"/>
        <v>0.32669999999999993</v>
      </c>
      <c r="AQ63" s="360">
        <f t="shared" si="75"/>
        <v>0.31218000000000001</v>
      </c>
      <c r="AR63" s="360">
        <f t="shared" si="76"/>
        <v>0.29039999999999999</v>
      </c>
      <c r="AS63" s="360">
        <f t="shared" si="48"/>
        <v>0.32827499999999993</v>
      </c>
      <c r="AT63" s="360">
        <f t="shared" si="41"/>
        <v>1.7079733740240417</v>
      </c>
      <c r="AU63">
        <f t="shared" si="77"/>
        <v>32.400000000000006</v>
      </c>
      <c r="AV63" s="542">
        <f t="shared" si="42"/>
        <v>0.94992451309567394</v>
      </c>
      <c r="AW63" s="551">
        <f t="shared" si="78"/>
        <v>12.476992269346441</v>
      </c>
      <c r="AX63" s="551">
        <f t="shared" si="79"/>
        <v>9.3422962109086676</v>
      </c>
      <c r="AY63" s="9"/>
      <c r="AZ63" s="4">
        <f t="shared" si="43"/>
        <v>94.9924513095674</v>
      </c>
      <c r="BA63" s="360">
        <f t="shared" si="80"/>
        <v>0.55642242680037779</v>
      </c>
      <c r="BB63" s="360">
        <f t="shared" si="44"/>
        <v>0.5773994021119766</v>
      </c>
      <c r="BC63" s="360">
        <f t="shared" si="45"/>
        <v>0.32834190182490636</v>
      </c>
      <c r="BD63" s="360">
        <f t="shared" si="46"/>
        <v>0.24584990028707021</v>
      </c>
      <c r="BE63" s="360">
        <f t="shared" si="47"/>
        <v>0.19639562693225227</v>
      </c>
      <c r="BK63" s="18"/>
      <c r="BL63" s="19"/>
    </row>
    <row r="64" spans="1:64" x14ac:dyDescent="0.25">
      <c r="A64" s="75"/>
      <c r="B64" s="30"/>
      <c r="G64">
        <v>55</v>
      </c>
      <c r="H64" s="548">
        <f t="shared" si="0"/>
        <v>45</v>
      </c>
      <c r="I64" s="4">
        <f t="shared" si="49"/>
        <v>2</v>
      </c>
      <c r="J64" s="360">
        <f t="shared" si="81"/>
        <v>6.6</v>
      </c>
      <c r="K64" s="4">
        <f t="shared" si="50"/>
        <v>0.81481481481481477</v>
      </c>
      <c r="L64" s="4"/>
      <c r="M64" s="360">
        <f t="shared" si="51"/>
        <v>0.11196964890439796</v>
      </c>
      <c r="N64" s="4">
        <f t="shared" si="52"/>
        <v>9.236894544763345</v>
      </c>
      <c r="O64" s="4">
        <f t="shared" si="35"/>
        <v>11.218447272381672</v>
      </c>
      <c r="P64" s="4">
        <f t="shared" si="36"/>
        <v>1.9815527276183271</v>
      </c>
      <c r="Q64" s="4">
        <f t="shared" si="53"/>
        <v>0</v>
      </c>
      <c r="R64" s="4">
        <f t="shared" si="54"/>
        <v>7.1182876032505105</v>
      </c>
      <c r="S64" s="360">
        <f t="shared" si="55"/>
        <v>0.2533500920129495</v>
      </c>
      <c r="T64" s="360">
        <f t="shared" si="56"/>
        <v>0.3</v>
      </c>
      <c r="U64" s="360">
        <f t="shared" si="57"/>
        <v>0.56479741007790241</v>
      </c>
      <c r="V64" s="4">
        <f t="shared" si="37"/>
        <v>2.6664617759476514</v>
      </c>
      <c r="W64" s="360">
        <f t="shared" si="58"/>
        <v>1.4220036805179807E-2</v>
      </c>
      <c r="X64" s="360">
        <f t="shared" si="38"/>
        <v>1.4220036805179807E-2</v>
      </c>
      <c r="Y64" s="4">
        <f t="shared" si="59"/>
        <v>2.2446032835418612</v>
      </c>
      <c r="Z64" s="360">
        <f t="shared" si="12"/>
        <v>7.5573658507303576E-3</v>
      </c>
      <c r="AA64" s="541">
        <f t="shared" si="39"/>
        <v>7.5573658507303576E-3</v>
      </c>
      <c r="AB64" s="360">
        <f t="shared" si="60"/>
        <v>2.38191187295361</v>
      </c>
      <c r="AC64" s="360">
        <f t="shared" si="61"/>
        <v>3.4041025023104243E-2</v>
      </c>
      <c r="AD64" s="360">
        <f t="shared" si="62"/>
        <v>0.11947618956894497</v>
      </c>
      <c r="AE64" s="360">
        <f t="shared" si="63"/>
        <v>-3.4229250000000003E-2</v>
      </c>
      <c r="AF64" s="360">
        <f t="shared" si="64"/>
        <v>0</v>
      </c>
      <c r="AG64" s="360">
        <f t="shared" si="65"/>
        <v>0.11990839892289785</v>
      </c>
      <c r="AH64" s="360">
        <f t="shared" si="66"/>
        <v>6.7079441136664615</v>
      </c>
      <c r="AI64" s="360">
        <f t="shared" si="67"/>
        <v>0.11249128558018132</v>
      </c>
      <c r="AJ64" s="360">
        <f t="shared" si="68"/>
        <v>2.8459199999999997E-2</v>
      </c>
      <c r="AK64" s="360">
        <f t="shared" si="69"/>
        <v>0.14419461305954226</v>
      </c>
      <c r="AL64" s="360">
        <f t="shared" si="70"/>
        <v>2.8459199999999997E-2</v>
      </c>
      <c r="AM64" s="360">
        <f t="shared" si="71"/>
        <v>0.32669999999999993</v>
      </c>
      <c r="AN64" s="360">
        <f t="shared" si="72"/>
        <v>0.20268007361035958</v>
      </c>
      <c r="AO64" s="360">
        <f t="shared" si="73"/>
        <v>1.5749999999999998E-3</v>
      </c>
      <c r="AP64" s="360">
        <f t="shared" si="74"/>
        <v>0.32669999999999993</v>
      </c>
      <c r="AQ64" s="360">
        <f t="shared" si="75"/>
        <v>0.31218000000000001</v>
      </c>
      <c r="AR64" s="360">
        <f t="shared" si="76"/>
        <v>0.29039999999999999</v>
      </c>
      <c r="AS64" s="360">
        <f t="shared" si="48"/>
        <v>0.32827499999999993</v>
      </c>
      <c r="AT64" s="360">
        <f t="shared" si="41"/>
        <v>1.7367920983266121</v>
      </c>
      <c r="AU64">
        <f t="shared" si="77"/>
        <v>33</v>
      </c>
      <c r="AV64" s="542">
        <f t="shared" si="42"/>
        <v>0.95000136761591525</v>
      </c>
      <c r="AW64" s="551">
        <f t="shared" si="78"/>
        <v>12.750155159070117</v>
      </c>
      <c r="AX64" s="551">
        <f t="shared" si="79"/>
        <v>9.5762132962626065</v>
      </c>
      <c r="AY64" s="9"/>
      <c r="AZ64" s="4">
        <f t="shared" si="43"/>
        <v>95.00013676159152</v>
      </c>
      <c r="BA64" s="360">
        <f t="shared" si="80"/>
        <v>0.56479741007790241</v>
      </c>
      <c r="BB64" s="360">
        <f t="shared" si="44"/>
        <v>0.59080301198244012</v>
      </c>
      <c r="BC64" s="360">
        <f t="shared" si="45"/>
        <v>0.33553039892289782</v>
      </c>
      <c r="BD64" s="360">
        <f t="shared" si="46"/>
        <v>0.25200561305954228</v>
      </c>
      <c r="BE64" s="360">
        <f t="shared" si="47"/>
        <v>0.20268007361035958</v>
      </c>
      <c r="BK64" s="18"/>
      <c r="BL64" s="19"/>
    </row>
    <row r="65" spans="1:64" x14ac:dyDescent="0.25">
      <c r="G65">
        <v>56</v>
      </c>
      <c r="H65" s="548">
        <f t="shared" si="0"/>
        <v>45</v>
      </c>
      <c r="I65" s="4">
        <f t="shared" si="49"/>
        <v>2</v>
      </c>
      <c r="J65" s="360">
        <f t="shared" si="81"/>
        <v>6.72</v>
      </c>
      <c r="K65" s="4">
        <f t="shared" si="50"/>
        <v>0.82962962962962972</v>
      </c>
      <c r="L65" s="4"/>
      <c r="M65" s="360">
        <f t="shared" si="51"/>
        <v>0.11198525355580959</v>
      </c>
      <c r="N65" s="4">
        <f t="shared" si="52"/>
        <v>9.2378764303502834</v>
      </c>
      <c r="O65" s="4">
        <f t="shared" si="35"/>
        <v>11.338938215175141</v>
      </c>
      <c r="P65" s="4">
        <f t="shared" si="36"/>
        <v>2.1010617848248581</v>
      </c>
      <c r="Q65" s="4">
        <f t="shared" si="53"/>
        <v>0</v>
      </c>
      <c r="R65" s="4">
        <f t="shared" si="54"/>
        <v>7.2297946083229156</v>
      </c>
      <c r="S65" s="360">
        <f t="shared" si="55"/>
        <v>0.26134965039267555</v>
      </c>
      <c r="T65" s="360">
        <f t="shared" si="56"/>
        <v>0.3</v>
      </c>
      <c r="U65" s="360">
        <f t="shared" si="57"/>
        <v>0.57333696359203368</v>
      </c>
      <c r="V65" s="4">
        <f t="shared" si="37"/>
        <v>2.6667452219016177</v>
      </c>
      <c r="W65" s="360">
        <f t="shared" si="58"/>
        <v>1.4223060157070217E-2</v>
      </c>
      <c r="X65" s="360">
        <f t="shared" si="38"/>
        <v>1.4223060157070217E-2</v>
      </c>
      <c r="Y65" s="4">
        <f t="shared" si="59"/>
        <v>2.2799035104875522</v>
      </c>
      <c r="Z65" s="360">
        <f t="shared" si="12"/>
        <v>7.7969400257001968E-3</v>
      </c>
      <c r="AA65" s="541">
        <f t="shared" si="39"/>
        <v>7.7969400257001968E-3</v>
      </c>
      <c r="AB65" s="360">
        <f t="shared" si="60"/>
        <v>2.4193927695165973</v>
      </c>
      <c r="AC65" s="360">
        <f t="shared" si="61"/>
        <v>3.5120768239135146E-2</v>
      </c>
      <c r="AD65" s="360">
        <f t="shared" si="62"/>
        <v>0.12164848392474396</v>
      </c>
      <c r="AE65" s="360">
        <f t="shared" si="63"/>
        <v>-3.4229250000000003E-2</v>
      </c>
      <c r="AF65" s="360">
        <f t="shared" si="64"/>
        <v>0</v>
      </c>
      <c r="AG65" s="360">
        <f t="shared" si="65"/>
        <v>0.12319767530819822</v>
      </c>
      <c r="AH65" s="360">
        <f t="shared" si="66"/>
        <v>6.8129632837221363</v>
      </c>
      <c r="AI65" s="360">
        <f t="shared" si="67"/>
        <v>0.11604117176336479</v>
      </c>
      <c r="AJ65" s="360">
        <f t="shared" si="68"/>
        <v>2.8976639999999998E-2</v>
      </c>
      <c r="AK65" s="360">
        <f t="shared" si="69"/>
        <v>0.14846338479037077</v>
      </c>
      <c r="AL65" s="360">
        <f t="shared" si="70"/>
        <v>2.8976639999999998E-2</v>
      </c>
      <c r="AM65" s="360">
        <f t="shared" si="71"/>
        <v>0.33263999999999999</v>
      </c>
      <c r="AN65" s="360">
        <f t="shared" si="72"/>
        <v>0.20907972031414043</v>
      </c>
      <c r="AO65" s="360">
        <f t="shared" si="73"/>
        <v>1.5749999999999998E-3</v>
      </c>
      <c r="AP65" s="360">
        <f t="shared" si="74"/>
        <v>0.32669999999999993</v>
      </c>
      <c r="AQ65" s="360">
        <f t="shared" si="75"/>
        <v>0.31218000000000001</v>
      </c>
      <c r="AR65" s="360">
        <f t="shared" si="76"/>
        <v>0.29039999999999999</v>
      </c>
      <c r="AS65" s="360">
        <f t="shared" si="48"/>
        <v>0.32827499999999993</v>
      </c>
      <c r="AT65" s="360">
        <f t="shared" si="41"/>
        <v>1.7659893841875134</v>
      </c>
      <c r="AU65">
        <f t="shared" si="77"/>
        <v>33.6</v>
      </c>
      <c r="AV65" s="542">
        <f t="shared" si="42"/>
        <v>0.95006531939476557</v>
      </c>
      <c r="AW65" s="551">
        <f t="shared" si="78"/>
        <v>13.024122861711533</v>
      </c>
      <c r="AX65" s="551">
        <f t="shared" si="79"/>
        <v>9.8129142220340881</v>
      </c>
      <c r="AY65" s="9"/>
      <c r="AZ65" s="4">
        <f t="shared" si="43"/>
        <v>95.00653193947656</v>
      </c>
      <c r="BA65" s="360">
        <f t="shared" si="80"/>
        <v>0.57333696359203368</v>
      </c>
      <c r="BB65" s="360">
        <f t="shared" si="44"/>
        <v>0.60430106009856899</v>
      </c>
      <c r="BC65" s="360">
        <f t="shared" si="45"/>
        <v>0.34274007530819822</v>
      </c>
      <c r="BD65" s="360">
        <f t="shared" si="46"/>
        <v>0.25823458479037076</v>
      </c>
      <c r="BE65" s="360">
        <f t="shared" si="47"/>
        <v>0.20907972031414043</v>
      </c>
      <c r="BK65" s="18"/>
      <c r="BL65" s="19"/>
    </row>
    <row r="66" spans="1:64" ht="13" x14ac:dyDescent="0.3">
      <c r="A66" s="11" t="s">
        <v>77</v>
      </c>
      <c r="B66" s="31"/>
      <c r="C66" s="31"/>
      <c r="G66">
        <v>57</v>
      </c>
      <c r="H66" s="548">
        <f t="shared" si="0"/>
        <v>45</v>
      </c>
      <c r="I66" s="4">
        <f t="shared" si="49"/>
        <v>2</v>
      </c>
      <c r="J66" s="360">
        <f t="shared" si="81"/>
        <v>6.84</v>
      </c>
      <c r="K66" s="4">
        <f t="shared" si="50"/>
        <v>0.84444444444444455</v>
      </c>
      <c r="L66" s="4"/>
      <c r="M66" s="360">
        <f t="shared" si="51"/>
        <v>0.11200085802418783</v>
      </c>
      <c r="N66" s="4">
        <f t="shared" si="52"/>
        <v>9.2388582157226704</v>
      </c>
      <c r="O66" s="4">
        <f t="shared" si="35"/>
        <v>11.459429107861336</v>
      </c>
      <c r="P66" s="4">
        <f t="shared" si="36"/>
        <v>2.2205708921386647</v>
      </c>
      <c r="Q66" s="4">
        <f t="shared" si="53"/>
        <v>0</v>
      </c>
      <c r="R66" s="4">
        <f t="shared" si="54"/>
        <v>7.3415694344501157</v>
      </c>
      <c r="S66" s="360">
        <f t="shared" si="55"/>
        <v>0.26949320880426098</v>
      </c>
      <c r="T66" s="360">
        <f t="shared" si="56"/>
        <v>0.3</v>
      </c>
      <c r="U66" s="360">
        <f t="shared" si="57"/>
        <v>0.58204171189191523</v>
      </c>
      <c r="V66" s="4">
        <f t="shared" si="37"/>
        <v>2.6670286389261348</v>
      </c>
      <c r="W66" s="360">
        <f t="shared" si="58"/>
        <v>1.4226083521704382E-2</v>
      </c>
      <c r="X66" s="360">
        <f t="shared" si="38"/>
        <v>1.4226083521704382E-2</v>
      </c>
      <c r="Y66" s="4">
        <f t="shared" si="59"/>
        <v>2.3152924657775253</v>
      </c>
      <c r="Z66" s="360">
        <f t="shared" si="12"/>
        <v>8.0408688031292606E-3</v>
      </c>
      <c r="AA66" s="541">
        <f t="shared" si="39"/>
        <v>8.0408688031292606E-3</v>
      </c>
      <c r="AB66" s="360">
        <f t="shared" si="60"/>
        <v>2.4569684824095255</v>
      </c>
      <c r="AC66" s="360">
        <f t="shared" si="61"/>
        <v>3.62201647413226E-2</v>
      </c>
      <c r="AD66" s="360">
        <f t="shared" si="62"/>
        <v>0.12382077828054297</v>
      </c>
      <c r="AE66" s="360">
        <f t="shared" si="63"/>
        <v>-3.4229250000000003E-2</v>
      </c>
      <c r="AF66" s="360">
        <f t="shared" si="64"/>
        <v>0</v>
      </c>
      <c r="AG66" s="360">
        <f t="shared" si="65"/>
        <v>0.1265081793808068</v>
      </c>
      <c r="AH66" s="360">
        <f t="shared" si="66"/>
        <v>6.9182329851847593</v>
      </c>
      <c r="AI66" s="360">
        <f t="shared" si="67"/>
        <v>0.11965486909324607</v>
      </c>
      <c r="AJ66" s="360">
        <f t="shared" si="68"/>
        <v>2.9494079999999999E-2</v>
      </c>
      <c r="AK66" s="360">
        <f t="shared" si="69"/>
        <v>0.1528057392382971</v>
      </c>
      <c r="AL66" s="360">
        <f t="shared" si="70"/>
        <v>2.9494079999999999E-2</v>
      </c>
      <c r="AM66" s="360">
        <f t="shared" si="71"/>
        <v>0.33857999999999994</v>
      </c>
      <c r="AN66" s="360">
        <f t="shared" si="72"/>
        <v>0.21559456704340879</v>
      </c>
      <c r="AO66" s="360">
        <f t="shared" si="73"/>
        <v>1.5749999999999998E-3</v>
      </c>
      <c r="AP66" s="360">
        <f t="shared" si="74"/>
        <v>0.32669999999999993</v>
      </c>
      <c r="AQ66" s="360">
        <f t="shared" si="75"/>
        <v>0.31218000000000001</v>
      </c>
      <c r="AR66" s="360">
        <f t="shared" si="76"/>
        <v>0.29039999999999999</v>
      </c>
      <c r="AS66" s="360">
        <f t="shared" si="48"/>
        <v>0.32827499999999993</v>
      </c>
      <c r="AT66" s="360">
        <f t="shared" si="41"/>
        <v>1.7955662298792614</v>
      </c>
      <c r="AU66">
        <f t="shared" si="77"/>
        <v>34.200000000000003</v>
      </c>
      <c r="AV66" s="542">
        <f t="shared" si="42"/>
        <v>0.95011701667888204</v>
      </c>
      <c r="AW66" s="551">
        <f t="shared" si="78"/>
        <v>13.298897216470658</v>
      </c>
      <c r="AX66" s="551">
        <f t="shared" si="79"/>
        <v>10.052411291055289</v>
      </c>
      <c r="AY66" s="9"/>
      <c r="AZ66" s="4">
        <f t="shared" si="43"/>
        <v>95.011701667888204</v>
      </c>
      <c r="BA66" s="360">
        <f t="shared" si="80"/>
        <v>0.58204171189191523</v>
      </c>
      <c r="BB66" s="360">
        <f t="shared" si="44"/>
        <v>0.61789391861910392</v>
      </c>
      <c r="BC66" s="360">
        <f t="shared" si="45"/>
        <v>0.34997097938080679</v>
      </c>
      <c r="BD66" s="360">
        <f t="shared" si="46"/>
        <v>0.26453713923829708</v>
      </c>
      <c r="BE66" s="360">
        <f t="shared" si="47"/>
        <v>0.21559456704340879</v>
      </c>
      <c r="BK66" s="18"/>
      <c r="BL66" s="19"/>
    </row>
    <row r="67" spans="1:64" ht="13" x14ac:dyDescent="0.3">
      <c r="A67" s="14" t="s">
        <v>55</v>
      </c>
      <c r="B67" s="15" t="s">
        <v>7</v>
      </c>
      <c r="C67" s="15" t="s">
        <v>76</v>
      </c>
      <c r="G67">
        <v>58</v>
      </c>
      <c r="H67" s="548">
        <f t="shared" si="0"/>
        <v>45</v>
      </c>
      <c r="I67" s="4">
        <f t="shared" si="49"/>
        <v>2</v>
      </c>
      <c r="J67" s="360">
        <f t="shared" si="81"/>
        <v>6.96</v>
      </c>
      <c r="K67" s="4">
        <f t="shared" si="50"/>
        <v>0.85925925925925917</v>
      </c>
      <c r="L67" s="4"/>
      <c r="M67" s="360">
        <f t="shared" si="51"/>
        <v>0.11201646230953591</v>
      </c>
      <c r="N67" s="4">
        <f t="shared" si="52"/>
        <v>9.2398399008822683</v>
      </c>
      <c r="O67" s="4">
        <f t="shared" si="35"/>
        <v>11.579919950441134</v>
      </c>
      <c r="P67" s="4">
        <f t="shared" si="36"/>
        <v>2.3400800495588658</v>
      </c>
      <c r="Q67" s="4">
        <f t="shared" si="53"/>
        <v>0</v>
      </c>
      <c r="R67" s="4">
        <f t="shared" si="54"/>
        <v>7.4536000328361238</v>
      </c>
      <c r="S67" s="360">
        <f t="shared" si="55"/>
        <v>0.27778076724747336</v>
      </c>
      <c r="T67" s="360">
        <f t="shared" si="56"/>
        <v>0.3</v>
      </c>
      <c r="U67" s="360">
        <f t="shared" si="57"/>
        <v>0.59091229285427527</v>
      </c>
      <c r="V67" s="4">
        <f t="shared" si="37"/>
        <v>2.6673120270217114</v>
      </c>
      <c r="W67" s="360">
        <f t="shared" si="58"/>
        <v>1.4229106898989341E-2</v>
      </c>
      <c r="X67" s="360">
        <f t="shared" si="38"/>
        <v>1.4229106898989341E-2</v>
      </c>
      <c r="Y67" s="4">
        <f t="shared" si="59"/>
        <v>2.3507663640843375</v>
      </c>
      <c r="Z67" s="360">
        <f t="shared" si="12"/>
        <v>8.2891537477654438E-3</v>
      </c>
      <c r="AA67" s="541">
        <f t="shared" si="39"/>
        <v>8.2891537477654438E-3</v>
      </c>
      <c r="AB67" s="360">
        <f t="shared" si="60"/>
        <v>2.4946349971364774</v>
      </c>
      <c r="AC67" s="360">
        <f t="shared" si="61"/>
        <v>3.7339222613628681E-2</v>
      </c>
      <c r="AD67" s="360">
        <f t="shared" si="62"/>
        <v>0.12599307263634196</v>
      </c>
      <c r="AE67" s="360">
        <f t="shared" si="63"/>
        <v>-3.4229250000000003E-2</v>
      </c>
      <c r="AF67" s="360">
        <f t="shared" si="64"/>
        <v>0</v>
      </c>
      <c r="AG67" s="360">
        <f t="shared" si="65"/>
        <v>0.12983995997173911</v>
      </c>
      <c r="AH67" s="360">
        <f t="shared" si="66"/>
        <v>7.023741857482845</v>
      </c>
      <c r="AI67" s="360">
        <f t="shared" si="67"/>
        <v>0.12333237420139143</v>
      </c>
      <c r="AJ67" s="360">
        <f t="shared" si="68"/>
        <v>3.001152E-2</v>
      </c>
      <c r="AK67" s="360">
        <f t="shared" si="69"/>
        <v>0.15722200687839544</v>
      </c>
      <c r="AL67" s="360">
        <f t="shared" si="70"/>
        <v>3.001152E-2</v>
      </c>
      <c r="AM67" s="360">
        <f t="shared" si="71"/>
        <v>0.34452000000000005</v>
      </c>
      <c r="AN67" s="360">
        <f t="shared" si="72"/>
        <v>0.22222461379797867</v>
      </c>
      <c r="AO67" s="360">
        <f t="shared" si="73"/>
        <v>1.5749999999999998E-3</v>
      </c>
      <c r="AP67" s="360">
        <f t="shared" si="74"/>
        <v>0.32669999999999993</v>
      </c>
      <c r="AQ67" s="360">
        <f t="shared" si="75"/>
        <v>0.31218000000000001</v>
      </c>
      <c r="AR67" s="360">
        <f t="shared" si="76"/>
        <v>0.29039999999999999</v>
      </c>
      <c r="AS67" s="360">
        <f t="shared" si="48"/>
        <v>0.32827499999999993</v>
      </c>
      <c r="AT67" s="360">
        <f t="shared" si="41"/>
        <v>1.8255236541491433</v>
      </c>
      <c r="AU67">
        <f t="shared" si="77"/>
        <v>34.799999999999997</v>
      </c>
      <c r="AV67" s="542">
        <f t="shared" si="42"/>
        <v>0.95015706338051664</v>
      </c>
      <c r="AW67" s="551">
        <f t="shared" si="78"/>
        <v>13.574480078926088</v>
      </c>
      <c r="AX67" s="551">
        <f t="shared" si="79"/>
        <v>10.294717061379027</v>
      </c>
      <c r="AY67" s="9"/>
      <c r="AZ67" s="4">
        <f t="shared" si="43"/>
        <v>95.015706338051658</v>
      </c>
      <c r="BA67" s="360">
        <f t="shared" si="80"/>
        <v>0.59091229285427527</v>
      </c>
      <c r="BB67" s="360">
        <f t="shared" si="44"/>
        <v>0.63158196685013457</v>
      </c>
      <c r="BC67" s="360">
        <f t="shared" si="45"/>
        <v>0.35722315997173915</v>
      </c>
      <c r="BD67" s="360">
        <f t="shared" si="46"/>
        <v>0.27091360687839544</v>
      </c>
      <c r="BE67" s="360">
        <f t="shared" si="47"/>
        <v>0.22222461379797867</v>
      </c>
      <c r="BK67" s="18"/>
      <c r="BL67" s="19"/>
    </row>
    <row r="68" spans="1:64" x14ac:dyDescent="0.25">
      <c r="A68" s="32" t="s">
        <v>208</v>
      </c>
      <c r="B68" s="449">
        <f>D2_Vinmin</f>
        <v>0.1388888888888889</v>
      </c>
      <c r="C68" s="21" t="s">
        <v>18</v>
      </c>
      <c r="G68">
        <v>59</v>
      </c>
      <c r="H68" s="548">
        <f t="shared" si="0"/>
        <v>45</v>
      </c>
      <c r="I68" s="4">
        <f t="shared" si="49"/>
        <v>2</v>
      </c>
      <c r="J68" s="360">
        <f t="shared" si="81"/>
        <v>7.08</v>
      </c>
      <c r="K68" s="4">
        <f t="shared" si="50"/>
        <v>0.874074074074074</v>
      </c>
      <c r="L68" s="4"/>
      <c r="M68" s="360">
        <f t="shared" si="51"/>
        <v>0.11203206641185708</v>
      </c>
      <c r="N68" s="4">
        <f t="shared" si="52"/>
        <v>9.2408214858308408</v>
      </c>
      <c r="O68" s="4">
        <f t="shared" si="35"/>
        <v>11.70041074291542</v>
      </c>
      <c r="P68" s="4">
        <f t="shared" si="36"/>
        <v>2.4595892570845796</v>
      </c>
      <c r="Q68" s="4">
        <f t="shared" si="53"/>
        <v>0</v>
      </c>
      <c r="R68" s="4">
        <f t="shared" si="54"/>
        <v>7.5658750415544187</v>
      </c>
      <c r="S68" s="360">
        <f t="shared" si="55"/>
        <v>0.28621232572208039</v>
      </c>
      <c r="T68" s="360">
        <f t="shared" si="56"/>
        <v>0.3</v>
      </c>
      <c r="U68" s="360">
        <f t="shared" si="57"/>
        <v>0.59994935780306302</v>
      </c>
      <c r="V68" s="4">
        <f t="shared" si="37"/>
        <v>2.6675953861888568</v>
      </c>
      <c r="W68" s="360">
        <f t="shared" si="58"/>
        <v>1.4232130288832153E-2</v>
      </c>
      <c r="X68" s="360">
        <f t="shared" si="38"/>
        <v>1.4232130288832153E-2</v>
      </c>
      <c r="Y68" s="4">
        <f t="shared" si="59"/>
        <v>2.386321635794832</v>
      </c>
      <c r="Z68" s="360">
        <f t="shared" si="12"/>
        <v>8.5417964241937851E-3</v>
      </c>
      <c r="AA68" s="541">
        <f t="shared" si="39"/>
        <v>8.5417964241937851E-3</v>
      </c>
      <c r="AB68" s="360">
        <f t="shared" si="60"/>
        <v>2.5323885279786027</v>
      </c>
      <c r="AC68" s="360">
        <f t="shared" si="61"/>
        <v>3.8477949939825805E-2</v>
      </c>
      <c r="AD68" s="360">
        <f t="shared" si="62"/>
        <v>0.12816536699214098</v>
      </c>
      <c r="AE68" s="360">
        <f t="shared" si="63"/>
        <v>-3.4229250000000003E-2</v>
      </c>
      <c r="AF68" s="360">
        <f t="shared" si="64"/>
        <v>0</v>
      </c>
      <c r="AG68" s="360">
        <f t="shared" si="65"/>
        <v>0.13319306634511902</v>
      </c>
      <c r="AH68" s="360">
        <f t="shared" si="66"/>
        <v>7.1294791876951606</v>
      </c>
      <c r="AI68" s="360">
        <f t="shared" si="67"/>
        <v>0.12707368371944613</v>
      </c>
      <c r="AJ68" s="360">
        <f t="shared" si="68"/>
        <v>3.0528960000000001E-2</v>
      </c>
      <c r="AK68" s="360">
        <f t="shared" si="69"/>
        <v>0.16171252496974173</v>
      </c>
      <c r="AL68" s="360">
        <f t="shared" si="70"/>
        <v>3.0528960000000001E-2</v>
      </c>
      <c r="AM68" s="360">
        <f t="shared" si="71"/>
        <v>0.35045999999999999</v>
      </c>
      <c r="AN68" s="360">
        <f t="shared" si="72"/>
        <v>0.22896986057766433</v>
      </c>
      <c r="AO68" s="360">
        <f t="shared" si="73"/>
        <v>1.5749999999999998E-3</v>
      </c>
      <c r="AP68" s="360">
        <f t="shared" si="74"/>
        <v>0.32669999999999993</v>
      </c>
      <c r="AQ68" s="360">
        <f t="shared" si="75"/>
        <v>0.31218000000000001</v>
      </c>
      <c r="AR68" s="360">
        <f t="shared" si="76"/>
        <v>0.29039999999999999</v>
      </c>
      <c r="AS68" s="360">
        <f t="shared" si="48"/>
        <v>0.32827499999999993</v>
      </c>
      <c r="AT68" s="360">
        <f t="shared" si="41"/>
        <v>1.855862696408614</v>
      </c>
      <c r="AU68">
        <f t="shared" si="77"/>
        <v>35.4</v>
      </c>
      <c r="AV68" s="542">
        <f t="shared" si="42"/>
        <v>0.95018602276018382</v>
      </c>
      <c r="AW68" s="551">
        <f t="shared" si="78"/>
        <v>13.850873321114523</v>
      </c>
      <c r="AX68" s="551">
        <f t="shared" si="79"/>
        <v>10.539844348850185</v>
      </c>
      <c r="AY68" s="9"/>
      <c r="AZ68" s="4">
        <f t="shared" si="43"/>
        <v>95.018602276018385</v>
      </c>
      <c r="BA68" s="360">
        <f t="shared" si="80"/>
        <v>0.59994935780306302</v>
      </c>
      <c r="BB68" s="360">
        <f t="shared" si="44"/>
        <v>0.64536559131486071</v>
      </c>
      <c r="BC68" s="360">
        <f t="shared" si="45"/>
        <v>0.36449666634511901</v>
      </c>
      <c r="BD68" s="360">
        <f t="shared" si="46"/>
        <v>0.27736432496974173</v>
      </c>
      <c r="BE68" s="360">
        <f t="shared" si="47"/>
        <v>0.22896986057766433</v>
      </c>
      <c r="BK68" s="18"/>
      <c r="BL68" s="19"/>
    </row>
    <row r="69" spans="1:64" x14ac:dyDescent="0.25">
      <c r="A69" s="23" t="s">
        <v>78</v>
      </c>
      <c r="B69" s="449">
        <f>1-B68</f>
        <v>0.86111111111111116</v>
      </c>
      <c r="C69" s="21" t="s">
        <v>18</v>
      </c>
      <c r="G69">
        <v>60</v>
      </c>
      <c r="H69" s="548">
        <f t="shared" si="0"/>
        <v>45</v>
      </c>
      <c r="I69" s="4">
        <f t="shared" si="49"/>
        <v>2</v>
      </c>
      <c r="J69" s="360">
        <f t="shared" si="81"/>
        <v>7.2</v>
      </c>
      <c r="K69" s="4">
        <f t="shared" si="50"/>
        <v>0.88888888888888884</v>
      </c>
      <c r="L69" s="4"/>
      <c r="M69" s="360">
        <f t="shared" si="51"/>
        <v>0.11204767033115455</v>
      </c>
      <c r="N69" s="4">
        <f t="shared" si="52"/>
        <v>9.2418029705701539</v>
      </c>
      <c r="O69" s="4">
        <f t="shared" si="35"/>
        <v>11.820901485285077</v>
      </c>
      <c r="P69" s="4">
        <f t="shared" si="36"/>
        <v>2.5790985147149232</v>
      </c>
      <c r="Q69" s="4">
        <f t="shared" si="53"/>
        <v>0</v>
      </c>
      <c r="R69" s="4">
        <f t="shared" si="54"/>
        <v>7.6783837391452341</v>
      </c>
      <c r="S69" s="360">
        <f t="shared" si="55"/>
        <v>0.29478788422784974</v>
      </c>
      <c r="T69" s="360">
        <f t="shared" si="56"/>
        <v>0.3</v>
      </c>
      <c r="U69" s="360">
        <f t="shared" si="57"/>
        <v>0.60915357163194739</v>
      </c>
      <c r="V69" s="4">
        <f t="shared" si="37"/>
        <v>2.6678787164280808</v>
      </c>
      <c r="W69" s="360">
        <f t="shared" si="58"/>
        <v>1.4235153691139889E-2</v>
      </c>
      <c r="X69" s="360">
        <f t="shared" si="38"/>
        <v>1.4235153691139889E-2</v>
      </c>
      <c r="Y69" s="4">
        <f t="shared" si="59"/>
        <v>2.4219549124397388</v>
      </c>
      <c r="Z69" s="360">
        <f t="shared" si="12"/>
        <v>8.7987983968364752E-3</v>
      </c>
      <c r="AA69" s="541">
        <f t="shared" si="39"/>
        <v>8.7987983968364752E-3</v>
      </c>
      <c r="AB69" s="360">
        <f t="shared" si="60"/>
        <v>2.5702255025417777</v>
      </c>
      <c r="AC69" s="360">
        <f t="shared" si="61"/>
        <v>3.9636354803496809E-2</v>
      </c>
      <c r="AD69" s="360">
        <f t="shared" si="62"/>
        <v>0.13033766134793998</v>
      </c>
      <c r="AE69" s="360">
        <f t="shared" si="63"/>
        <v>-3.4229250000000003E-2</v>
      </c>
      <c r="AF69" s="360">
        <f t="shared" si="64"/>
        <v>0</v>
      </c>
      <c r="AG69" s="360">
        <f t="shared" si="65"/>
        <v>0.13656754820029357</v>
      </c>
      <c r="AH69" s="360">
        <f t="shared" si="66"/>
        <v>7.235434866796453</v>
      </c>
      <c r="AI69" s="360">
        <f t="shared" si="67"/>
        <v>0.13087879427913451</v>
      </c>
      <c r="AJ69" s="360">
        <f t="shared" si="68"/>
        <v>3.1046399999999998E-2</v>
      </c>
      <c r="AK69" s="360">
        <f t="shared" si="69"/>
        <v>0.16627763762471565</v>
      </c>
      <c r="AL69" s="360">
        <f t="shared" si="70"/>
        <v>3.1046399999999998E-2</v>
      </c>
      <c r="AM69" s="360">
        <f t="shared" si="71"/>
        <v>0.35639999999999999</v>
      </c>
      <c r="AN69" s="360">
        <f t="shared" si="72"/>
        <v>0.23583030738227978</v>
      </c>
      <c r="AO69" s="360">
        <f t="shared" si="73"/>
        <v>1.5749999999999998E-3</v>
      </c>
      <c r="AP69" s="360">
        <f t="shared" si="74"/>
        <v>0.32669999999999993</v>
      </c>
      <c r="AQ69" s="360">
        <f t="shared" si="75"/>
        <v>0.31218000000000001</v>
      </c>
      <c r="AR69" s="360">
        <f t="shared" si="76"/>
        <v>0.29039999999999999</v>
      </c>
      <c r="AS69" s="360">
        <f t="shared" si="48"/>
        <v>0.32827499999999993</v>
      </c>
      <c r="AT69" s="360">
        <f t="shared" si="41"/>
        <v>1.8865844169272128</v>
      </c>
      <c r="AU69">
        <f t="shared" si="77"/>
        <v>36</v>
      </c>
      <c r="AV69" s="542">
        <f t="shared" si="42"/>
        <v>0.95020442074782774</v>
      </c>
      <c r="AW69" s="551">
        <f t="shared" si="78"/>
        <v>14.128078831611155</v>
      </c>
      <c r="AX69" s="551">
        <f t="shared" si="79"/>
        <v>10.787806229739195</v>
      </c>
      <c r="AY69" s="9"/>
      <c r="AZ69" s="4">
        <f t="shared" si="43"/>
        <v>95.020442074782778</v>
      </c>
      <c r="BA69" s="360">
        <f t="shared" si="80"/>
        <v>0.60915357163194739</v>
      </c>
      <c r="BB69" s="360">
        <f t="shared" si="44"/>
        <v>0.65924518582500924</v>
      </c>
      <c r="BC69" s="360">
        <f t="shared" si="45"/>
        <v>0.37179154820029359</v>
      </c>
      <c r="BD69" s="360">
        <f t="shared" si="46"/>
        <v>0.28388963762471564</v>
      </c>
      <c r="BE69" s="360">
        <f t="shared" si="47"/>
        <v>0.23583030738227978</v>
      </c>
      <c r="BK69" s="18"/>
      <c r="BL69" s="19"/>
    </row>
    <row r="70" spans="1:64" x14ac:dyDescent="0.25">
      <c r="A70" s="33" t="s">
        <v>209</v>
      </c>
      <c r="B70" s="449">
        <f>Iripple2_Vinnom</f>
        <v>9.3710877359833606</v>
      </c>
      <c r="C70" s="21" t="s">
        <v>1</v>
      </c>
      <c r="G70">
        <v>61</v>
      </c>
      <c r="H70" s="548">
        <f t="shared" si="0"/>
        <v>45</v>
      </c>
      <c r="I70" s="4">
        <f t="shared" si="49"/>
        <v>2</v>
      </c>
      <c r="J70" s="360">
        <f t="shared" si="81"/>
        <v>7.32</v>
      </c>
      <c r="K70" s="4">
        <f t="shared" si="50"/>
        <v>0.90370370370370379</v>
      </c>
      <c r="L70" s="4"/>
      <c r="M70" s="360">
        <f t="shared" si="51"/>
        <v>0.11206327406743152</v>
      </c>
      <c r="N70" s="4">
        <f t="shared" si="52"/>
        <v>9.2427843551019659</v>
      </c>
      <c r="O70" s="4">
        <f t="shared" si="35"/>
        <v>11.941392177550984</v>
      </c>
      <c r="P70" s="4">
        <f t="shared" si="36"/>
        <v>2.6986078224490173</v>
      </c>
      <c r="Q70" s="4">
        <f t="shared" si="53"/>
        <v>0</v>
      </c>
      <c r="R70" s="4">
        <f t="shared" si="54"/>
        <v>7.7911160017618668</v>
      </c>
      <c r="S70" s="360">
        <f t="shared" si="55"/>
        <v>0.30350744276454911</v>
      </c>
      <c r="T70" s="360">
        <f t="shared" si="56"/>
        <v>0.3</v>
      </c>
      <c r="U70" s="360">
        <f t="shared" si="57"/>
        <v>0.61852561292972308</v>
      </c>
      <c r="V70" s="4">
        <f t="shared" si="37"/>
        <v>2.668162017739891</v>
      </c>
      <c r="W70" s="360">
        <f t="shared" si="58"/>
        <v>1.4238177105819613E-2</v>
      </c>
      <c r="X70" s="360">
        <f t="shared" si="38"/>
        <v>1.4238177105819613E-2</v>
      </c>
      <c r="Y70" s="4">
        <f t="shared" si="59"/>
        <v>2.4576630132374233</v>
      </c>
      <c r="Z70" s="360">
        <f t="shared" si="12"/>
        <v>9.0601612299528768E-3</v>
      </c>
      <c r="AA70" s="541">
        <f t="shared" si="39"/>
        <v>9.0601612299528768E-3</v>
      </c>
      <c r="AB70" s="360">
        <f t="shared" si="60"/>
        <v>2.608142547485814</v>
      </c>
      <c r="AC70" s="360">
        <f t="shared" si="61"/>
        <v>4.0814445288034747E-2</v>
      </c>
      <c r="AD70" s="360">
        <f t="shared" si="62"/>
        <v>0.132509955703739</v>
      </c>
      <c r="AE70" s="360">
        <f t="shared" si="63"/>
        <v>-3.4229250000000003E-2</v>
      </c>
      <c r="AF70" s="360">
        <f t="shared" si="64"/>
        <v>0</v>
      </c>
      <c r="AG70" s="360">
        <f t="shared" si="65"/>
        <v>0.13996345567397103</v>
      </c>
      <c r="AH70" s="360">
        <f t="shared" si="66"/>
        <v>7.3415993492497273</v>
      </c>
      <c r="AI70" s="360">
        <f t="shared" si="67"/>
        <v>0.13474770251226006</v>
      </c>
      <c r="AJ70" s="360">
        <f t="shared" si="68"/>
        <v>3.1563840000000003E-2</v>
      </c>
      <c r="AK70" s="360">
        <f t="shared" si="69"/>
        <v>0.17091769587996292</v>
      </c>
      <c r="AL70" s="360">
        <f t="shared" si="70"/>
        <v>3.1563840000000003E-2</v>
      </c>
      <c r="AM70" s="360">
        <f t="shared" si="71"/>
        <v>0.36234</v>
      </c>
      <c r="AN70" s="360">
        <f t="shared" si="72"/>
        <v>0.24280595421163925</v>
      </c>
      <c r="AO70" s="360">
        <f t="shared" si="73"/>
        <v>1.5749999999999998E-3</v>
      </c>
      <c r="AP70" s="360">
        <f t="shared" si="74"/>
        <v>0.32669999999999993</v>
      </c>
      <c r="AQ70" s="360">
        <f t="shared" si="75"/>
        <v>0.31218000000000001</v>
      </c>
      <c r="AR70" s="360">
        <f t="shared" si="76"/>
        <v>0.29039999999999999</v>
      </c>
      <c r="AS70" s="360">
        <f t="shared" si="48"/>
        <v>0.32827499999999993</v>
      </c>
      <c r="AT70" s="360">
        <f t="shared" si="41"/>
        <v>1.9176898970310685</v>
      </c>
      <c r="AU70">
        <f t="shared" si="77"/>
        <v>36.6</v>
      </c>
      <c r="AV70" s="542">
        <f t="shared" si="42"/>
        <v>0.95021274894321006</v>
      </c>
      <c r="AW70" s="551">
        <f t="shared" si="78"/>
        <v>14.4060985156109</v>
      </c>
      <c r="AX70" s="551">
        <f t="shared" si="79"/>
        <v>11.038616043438591</v>
      </c>
      <c r="AY70" s="9"/>
      <c r="AZ70" s="4">
        <f t="shared" si="43"/>
        <v>95.02127489432101</v>
      </c>
      <c r="BA70" s="360">
        <f t="shared" si="80"/>
        <v>0.61852561292972308</v>
      </c>
      <c r="BB70" s="360">
        <f t="shared" si="44"/>
        <v>0.67322115155393392</v>
      </c>
      <c r="BC70" s="360">
        <f t="shared" si="45"/>
        <v>0.37910785567397104</v>
      </c>
      <c r="BD70" s="360">
        <f t="shared" si="46"/>
        <v>0.29048989587996293</v>
      </c>
      <c r="BE70" s="360">
        <f t="shared" si="47"/>
        <v>0.24280595421163925</v>
      </c>
      <c r="BK70" s="18"/>
      <c r="BL70" s="19"/>
    </row>
    <row r="71" spans="1:64" ht="13" x14ac:dyDescent="0.3">
      <c r="A71" s="14" t="s">
        <v>59</v>
      </c>
      <c r="B71" s="15" t="s">
        <v>7</v>
      </c>
      <c r="C71" s="17" t="s">
        <v>76</v>
      </c>
      <c r="G71">
        <v>62</v>
      </c>
      <c r="H71" s="548">
        <f t="shared" si="0"/>
        <v>45</v>
      </c>
      <c r="I71" s="4">
        <f t="shared" si="49"/>
        <v>2</v>
      </c>
      <c r="J71" s="360">
        <f t="shared" si="81"/>
        <v>7.44</v>
      </c>
      <c r="K71" s="4">
        <f t="shared" si="50"/>
        <v>0.91851851851851862</v>
      </c>
      <c r="L71" s="4"/>
      <c r="M71" s="360">
        <f t="shared" si="51"/>
        <v>0.11207887762069121</v>
      </c>
      <c r="N71" s="4">
        <f t="shared" si="52"/>
        <v>9.2437656394280392</v>
      </c>
      <c r="O71" s="4">
        <f t="shared" si="35"/>
        <v>12.06188281971402</v>
      </c>
      <c r="P71" s="4">
        <f t="shared" si="36"/>
        <v>2.8181171802859808</v>
      </c>
      <c r="Q71" s="4">
        <f t="shared" si="53"/>
        <v>0</v>
      </c>
      <c r="R71" s="4">
        <f t="shared" si="54"/>
        <v>7.904062263569867</v>
      </c>
      <c r="S71" s="360">
        <f t="shared" si="55"/>
        <v>0.31237100133194606</v>
      </c>
      <c r="T71" s="360">
        <f t="shared" si="56"/>
        <v>0.3</v>
      </c>
      <c r="U71" s="360">
        <f t="shared" si="57"/>
        <v>0.62806617410867005</v>
      </c>
      <c r="V71" s="4">
        <f t="shared" si="37"/>
        <v>2.6684452901247959</v>
      </c>
      <c r="W71" s="360">
        <f t="shared" si="58"/>
        <v>1.4241200532778412E-2</v>
      </c>
      <c r="X71" s="360">
        <f t="shared" si="38"/>
        <v>1.4241200532778412E-2</v>
      </c>
      <c r="Y71" s="4">
        <f t="shared" si="59"/>
        <v>2.4934429326588452</v>
      </c>
      <c r="Z71" s="360">
        <f t="shared" si="12"/>
        <v>9.3258864876395141E-3</v>
      </c>
      <c r="AA71" s="541">
        <f t="shared" si="39"/>
        <v>9.3258864876395141E-3</v>
      </c>
      <c r="AB71" s="360">
        <f t="shared" si="60"/>
        <v>2.646136475336673</v>
      </c>
      <c r="AC71" s="360">
        <f t="shared" si="61"/>
        <v>4.201222947664314E-2</v>
      </c>
      <c r="AD71" s="360">
        <f t="shared" si="62"/>
        <v>0.13468225005953796</v>
      </c>
      <c r="AE71" s="360">
        <f t="shared" si="63"/>
        <v>-3.4229250000000003E-2</v>
      </c>
      <c r="AF71" s="360">
        <f t="shared" si="64"/>
        <v>0</v>
      </c>
      <c r="AG71" s="360">
        <f t="shared" si="65"/>
        <v>0.14338083934238199</v>
      </c>
      <c r="AH71" s="360">
        <f t="shared" si="66"/>
        <v>7.4479636156658291</v>
      </c>
      <c r="AI71" s="360">
        <f t="shared" si="67"/>
        <v>0.13868040505070503</v>
      </c>
      <c r="AJ71" s="360">
        <f t="shared" si="68"/>
        <v>3.2081280000000004E-2</v>
      </c>
      <c r="AK71" s="360">
        <f t="shared" si="69"/>
        <v>0.17563305776904609</v>
      </c>
      <c r="AL71" s="360">
        <f t="shared" si="70"/>
        <v>3.2081280000000004E-2</v>
      </c>
      <c r="AM71" s="360">
        <f t="shared" si="71"/>
        <v>0.36827999999999994</v>
      </c>
      <c r="AN71" s="360">
        <f t="shared" si="72"/>
        <v>0.24989680106555684</v>
      </c>
      <c r="AO71" s="360">
        <f t="shared" si="73"/>
        <v>1.5749999999999998E-3</v>
      </c>
      <c r="AP71" s="360">
        <f t="shared" si="74"/>
        <v>0.32669999999999993</v>
      </c>
      <c r="AQ71" s="360">
        <f t="shared" si="75"/>
        <v>0.31218000000000001</v>
      </c>
      <c r="AR71" s="360">
        <f t="shared" si="76"/>
        <v>0.29039999999999999</v>
      </c>
      <c r="AS71" s="360">
        <f t="shared" si="48"/>
        <v>0.32827499999999993</v>
      </c>
      <c r="AT71" s="360">
        <f t="shared" si="41"/>
        <v>1.9491802393060729</v>
      </c>
      <c r="AU71">
        <f t="shared" si="77"/>
        <v>37.200000000000003</v>
      </c>
      <c r="AV71" s="542">
        <f t="shared" si="42"/>
        <v>0.95021146733108142</v>
      </c>
      <c r="AW71" s="551">
        <f t="shared" si="78"/>
        <v>14.684934295010514</v>
      </c>
      <c r="AX71" s="551">
        <f t="shared" si="79"/>
        <v>11.292287395223751</v>
      </c>
      <c r="AY71" s="9"/>
      <c r="AZ71" s="4">
        <f t="shared" si="43"/>
        <v>95.021146733108139</v>
      </c>
      <c r="BA71" s="360">
        <f t="shared" si="80"/>
        <v>0.62806617410867005</v>
      </c>
      <c r="BB71" s="360">
        <f t="shared" si="44"/>
        <v>0.68729389711142796</v>
      </c>
      <c r="BC71" s="360">
        <f t="shared" si="45"/>
        <v>0.38644563934238196</v>
      </c>
      <c r="BD71" s="360">
        <f t="shared" si="46"/>
        <v>0.29716545776904607</v>
      </c>
      <c r="BE71" s="360">
        <f t="shared" si="47"/>
        <v>0.24989680106555684</v>
      </c>
      <c r="BK71" s="18"/>
      <c r="BL71" s="19"/>
    </row>
    <row r="72" spans="1:64" x14ac:dyDescent="0.25">
      <c r="A72" s="32" t="s">
        <v>88</v>
      </c>
      <c r="B72" s="450">
        <f>(Qgd_Q3+Qgs_Q3/2)*(RdsonDRT+Rgate3)/(VCC-Vsp_Q3)*1000000000</f>
        <v>2.5882352941176467</v>
      </c>
      <c r="C72" s="21" t="s">
        <v>75</v>
      </c>
      <c r="D72" s="114" t="s">
        <v>508</v>
      </c>
      <c r="G72">
        <v>63</v>
      </c>
      <c r="H72" s="548">
        <f t="shared" si="0"/>
        <v>45</v>
      </c>
      <c r="I72" s="4">
        <f t="shared" si="49"/>
        <v>2</v>
      </c>
      <c r="J72" s="360">
        <f t="shared" si="81"/>
        <v>7.56</v>
      </c>
      <c r="K72" s="4">
        <f t="shared" si="50"/>
        <v>0.93333333333333324</v>
      </c>
      <c r="L72" s="4"/>
      <c r="M72" s="360">
        <f t="shared" si="51"/>
        <v>0.11209448099093684</v>
      </c>
      <c r="N72" s="4">
        <f t="shared" si="52"/>
        <v>9.2447468235501375</v>
      </c>
      <c r="O72" s="4">
        <f t="shared" si="35"/>
        <v>12.182373411775067</v>
      </c>
      <c r="P72" s="4">
        <f t="shared" si="36"/>
        <v>2.9376265882249308</v>
      </c>
      <c r="Q72" s="4">
        <f t="shared" si="53"/>
        <v>0</v>
      </c>
      <c r="R72" s="4">
        <f t="shared" si="54"/>
        <v>8.0172134801289712</v>
      </c>
      <c r="S72" s="360">
        <f t="shared" si="55"/>
        <v>0.32137855992980846</v>
      </c>
      <c r="T72" s="360">
        <f t="shared" si="56"/>
        <v>0.3</v>
      </c>
      <c r="U72" s="360">
        <f t="shared" si="57"/>
        <v>0.63777596153590921</v>
      </c>
      <c r="V72" s="4">
        <f t="shared" si="37"/>
        <v>2.6687285335833049</v>
      </c>
      <c r="W72" s="360">
        <f t="shared" si="58"/>
        <v>1.4244223971923393E-2</v>
      </c>
      <c r="X72" s="360">
        <f t="shared" si="38"/>
        <v>1.4244223971923393E-2</v>
      </c>
      <c r="Y72" s="4">
        <f t="shared" si="59"/>
        <v>2.5292918289289466</v>
      </c>
      <c r="Z72" s="360">
        <f t="shared" si="12"/>
        <v>9.595975733830104E-3</v>
      </c>
      <c r="AA72" s="541">
        <f t="shared" si="39"/>
        <v>9.595975733830104E-3</v>
      </c>
      <c r="AB72" s="360">
        <f t="shared" si="60"/>
        <v>2.6842042722917556</v>
      </c>
      <c r="AC72" s="360">
        <f t="shared" si="61"/>
        <v>4.3229715452335879E-2</v>
      </c>
      <c r="AD72" s="360">
        <f t="shared" si="62"/>
        <v>0.13685454441533698</v>
      </c>
      <c r="AE72" s="360">
        <f t="shared" si="63"/>
        <v>-3.4229250000000003E-2</v>
      </c>
      <c r="AF72" s="360">
        <f t="shared" si="64"/>
        <v>0</v>
      </c>
      <c r="AG72" s="360">
        <f t="shared" si="65"/>
        <v>0.14681975022346425</v>
      </c>
      <c r="AH72" s="360">
        <f t="shared" si="66"/>
        <v>7.5545191382756034</v>
      </c>
      <c r="AI72" s="360">
        <f t="shared" si="67"/>
        <v>0.14267689852643092</v>
      </c>
      <c r="AJ72" s="360">
        <f t="shared" si="68"/>
        <v>3.2598719999999998E-2</v>
      </c>
      <c r="AK72" s="360">
        <f t="shared" si="69"/>
        <v>0.18042408839681412</v>
      </c>
      <c r="AL72" s="360">
        <f t="shared" si="70"/>
        <v>3.2598719999999998E-2</v>
      </c>
      <c r="AM72" s="360">
        <f t="shared" si="71"/>
        <v>0.37421999999999994</v>
      </c>
      <c r="AN72" s="360">
        <f t="shared" si="72"/>
        <v>0.25710284794384675</v>
      </c>
      <c r="AO72" s="360">
        <f t="shared" si="73"/>
        <v>1.5749999999999998E-3</v>
      </c>
      <c r="AP72" s="360">
        <f t="shared" si="74"/>
        <v>0.32669999999999993</v>
      </c>
      <c r="AQ72" s="360">
        <f t="shared" si="75"/>
        <v>0.31218000000000001</v>
      </c>
      <c r="AR72" s="360">
        <f t="shared" si="76"/>
        <v>0.29039999999999999</v>
      </c>
      <c r="AS72" s="360">
        <f t="shared" si="48"/>
        <v>0.32827499999999993</v>
      </c>
      <c r="AT72" s="360">
        <f t="shared" si="41"/>
        <v>1.9810565678057879</v>
      </c>
      <c r="AU72">
        <f t="shared" si="77"/>
        <v>37.799999999999997</v>
      </c>
      <c r="AV72" s="542">
        <f t="shared" si="42"/>
        <v>0.95020100674226371</v>
      </c>
      <c r="AW72" s="551">
        <f t="shared" si="78"/>
        <v>14.96458810849164</v>
      </c>
      <c r="AX72" s="551">
        <f t="shared" si="79"/>
        <v>11.548834159078934</v>
      </c>
      <c r="AY72" s="9"/>
      <c r="AZ72" s="4">
        <f t="shared" si="43"/>
        <v>95.02010067422637</v>
      </c>
      <c r="BA72" s="360">
        <f t="shared" si="80"/>
        <v>0.63777596153590921</v>
      </c>
      <c r="BB72" s="360">
        <f t="shared" si="44"/>
        <v>0.70146383862027828</v>
      </c>
      <c r="BC72" s="360">
        <f t="shared" si="45"/>
        <v>0.39380495022346418</v>
      </c>
      <c r="BD72" s="360">
        <f t="shared" si="46"/>
        <v>0.30391668839681407</v>
      </c>
      <c r="BE72" s="360">
        <f t="shared" si="47"/>
        <v>0.25710284794384675</v>
      </c>
      <c r="BK72" s="18"/>
      <c r="BL72" s="19"/>
    </row>
    <row r="73" spans="1:64" x14ac:dyDescent="0.25">
      <c r="A73" s="33" t="s">
        <v>89</v>
      </c>
      <c r="B73" s="450">
        <f>(Qgd_Q3+Qgs_Q3/2)*(RdsonDRT2+Rgate3)/(Vsp_Q3)*1000000000</f>
        <v>1.068825910931174</v>
      </c>
      <c r="C73" s="21" t="s">
        <v>75</v>
      </c>
      <c r="D73" s="114" t="s">
        <v>509</v>
      </c>
      <c r="G73">
        <v>64</v>
      </c>
      <c r="H73" s="548">
        <f t="shared" ref="H73:H109" si="82">Vin</f>
        <v>45</v>
      </c>
      <c r="I73" s="4">
        <f t="shared" ref="I73:I109" si="83">MODE</f>
        <v>2</v>
      </c>
      <c r="J73" s="360">
        <f t="shared" si="81"/>
        <v>7.68</v>
      </c>
      <c r="K73" s="4">
        <f t="shared" ref="K73:K104" si="84">Vout2*J73/(Vin*Efficiency)</f>
        <v>0.94814814814814807</v>
      </c>
      <c r="L73" s="4"/>
      <c r="M73" s="360">
        <f t="shared" ref="M73:M109" si="85">(Vout2+(Rdson4+Rs+Rdcr)*J73)/(Vin+(Rs+Rdson2-Rdson1)*J73)</f>
        <v>0.11211008417817167</v>
      </c>
      <c r="N73" s="4">
        <f t="shared" ref="N73:N104" si="86">(Vin-(Rdson3+Rdcr2)*J73-Vout2)*M73/(Fsw*Lo_2)</f>
        <v>9.2457279074700303</v>
      </c>
      <c r="O73" s="4">
        <f t="shared" si="35"/>
        <v>12.302863953735015</v>
      </c>
      <c r="P73" s="4">
        <f t="shared" si="36"/>
        <v>3.0571360462649846</v>
      </c>
      <c r="Q73" s="4">
        <f t="shared" ref="Q73:Q104" si="87">IF(MIN(Vin, -P73/(Coss_Q3+Coss_Q4)*0.00000002)&lt;0, 0, MIN(Vin, -P73/(Coss_Q3+Coss_Q4)*0.00000002))</f>
        <v>0</v>
      </c>
      <c r="R73" s="4">
        <f t="shared" ref="R73:R109" si="88">SQRT(J73^2+(N73^2)/12)</f>
        <v>8.1305610945113038</v>
      </c>
      <c r="S73" s="360">
        <f t="shared" ref="S73:S104" si="89">R73^2*Rdcr2</f>
        <v>0.33053011855790426</v>
      </c>
      <c r="T73" s="360">
        <f t="shared" ref="T73:T109" si="90">Core_Loss_Ch1</f>
        <v>0.3</v>
      </c>
      <c r="U73" s="360">
        <f t="shared" ref="U73:U104" si="91">(T73+S73*(1+Ltc*(Ta-25)))/(1-S73*Ltc*ThetaCa)</f>
        <v>0.64765569566780679</v>
      </c>
      <c r="V73" s="4">
        <f t="shared" si="37"/>
        <v>2.669011748115929</v>
      </c>
      <c r="W73" s="360">
        <f t="shared" ref="W73:W104" si="92">Cout2_ESR*V73^2</f>
        <v>1.4247247423161694E-2</v>
      </c>
      <c r="X73" s="360">
        <f t="shared" si="38"/>
        <v>1.4247247423161694E-2</v>
      </c>
      <c r="Y73" s="4">
        <f t="shared" ref="Y73:Y109" si="93">SQRT(M73*(1-M73))*SQRT(J73^2+(N73^2)/12)</f>
        <v>2.5652070133871003</v>
      </c>
      <c r="Z73" s="360">
        <f t="shared" si="12"/>
        <v>9.8704305322955509E-3</v>
      </c>
      <c r="AA73" s="541">
        <f t="shared" si="39"/>
        <v>9.8704305322955509E-3</v>
      </c>
      <c r="AB73" s="360">
        <f t="shared" ref="AB73:AB109" si="94">SQRT(M73)*SQRT(J73^2+(N73^2)/12)</f>
        <v>2.7223430869362413</v>
      </c>
      <c r="AC73" s="360">
        <f t="shared" ref="AC73:AC104" si="95">Rdson3*AB73^2</f>
        <v>4.4466911297937256E-2</v>
      </c>
      <c r="AD73" s="360">
        <f t="shared" ref="AD73:AD109" si="96">(Vin*J73/2)*Fsw*(Tr_Ch2+Tf_Ch2)</f>
        <v>0.13902683877113595</v>
      </c>
      <c r="AE73" s="360">
        <f t="shared" ref="AE73:AE109" si="97">(0.5*Coss_Q3*(Vin-Q73)^2-0.5*Coss_Q4*(Vin-Q73)^2+(Qoss_Q4*(Vin-Q73)/Vin)*Vin)*Fsw</f>
        <v>-3.4229250000000003E-2</v>
      </c>
      <c r="AF73" s="360">
        <f t="shared" ref="AF73:AF109" si="98">IF(J73&gt;N73/2,0,ABS(J73-N73/2)*Vsd_Q3*Deadtime*Fsw)</f>
        <v>0</v>
      </c>
      <c r="AG73" s="360">
        <f t="shared" ref="AG73:AG104" si="99">(AF73+AE73+AD73+AC73*(1+RdsonTopTc*Ta-RdsonTopTc*25))/(1-AC73*RdsonTopTc*ThetaJA_Q2)</f>
        <v>0.15028023977907071</v>
      </c>
      <c r="AH73" s="360">
        <f t="shared" ref="AH73:AH109" si="100">SQRT((1-M73))*SQRT(J73^2+(N73^2)/12)</f>
        <v>7.6612578489821965</v>
      </c>
      <c r="AI73" s="360">
        <f t="shared" ref="AI73:AI104" si="101">Rdson4*AH73^2</f>
        <v>0.14673717957147828</v>
      </c>
      <c r="AJ73" s="360">
        <f t="shared" ref="AJ73:AJ109" si="102">IF(J73&lt;N73/2,Deadtime*Fsw*IF(VfdSky_Q4&gt;0,0,Vsd_Q4)*(J73+N73/2),2*Deadtime*Fsw*IF(VfdSky_Q4&gt;0,0,Vsd_Q4)*J73)</f>
        <v>3.3116159999999999E-2</v>
      </c>
      <c r="AK73" s="360">
        <f t="shared" ref="AK73:AK104" si="103">(AJ73+AI73*(1+RdsonBotTc*Ta-RdsonBotTc*25))/(1-AI73*RdsonBotTc*ThetaJA_Q3)</f>
        <v>0.18529116001551924</v>
      </c>
      <c r="AL73" s="360">
        <f t="shared" ref="AL73:AL109" si="104">2*Deadtime*Fsw*IF(VfdSky_Q4&gt;0,VfdSky_Q4,Vsd_Q4)*J73</f>
        <v>3.3116159999999999E-2</v>
      </c>
      <c r="AM73" s="360">
        <f t="shared" ref="AM73:AM109" si="105">IF(QrrSky_Q4&gt;0,QrrSky_Q4,Qrr_Q4*J73/Iout2)*Fsw*Vin</f>
        <v>0.38015999999999994</v>
      </c>
      <c r="AN73" s="360">
        <f t="shared" ref="AN73:AN109" si="106">CHOOSE(SENSING_TYPE, Rs_Ch2*R73^2, 0)</f>
        <v>0.2644240948463234</v>
      </c>
      <c r="AO73" s="360">
        <f t="shared" ref="AO73:AO109" si="107">Iq*Vin</f>
        <v>1.5749999999999998E-3</v>
      </c>
      <c r="AP73" s="360">
        <f t="shared" ref="AP73:AP109" si="108">IF(Ext_VCC=1,  (Qg_Q3+Qg_Q4)*Fsw*VCC, (Qg_Q3+Qg_Q4)*Fsw*Vin)</f>
        <v>0.32669999999999993</v>
      </c>
      <c r="AQ73" s="360">
        <f t="shared" ref="AQ73:AQ109" si="109">(Vin-VCC)*Fsw*(Qg_Q3+Qg_Q4)+(RdsonDRT+RdsonDRT2)*Fsw*Qg_Q3*VCC/(RdsonDRT+2*Rgate3+RdsonDRT2)+(RdsonDRB+RdsonDRB2)*Fsw*Qg_Q4*VCC/(RdsonDRB+2*Rgate4+RdsonDRB2)</f>
        <v>0.31218000000000001</v>
      </c>
      <c r="AR73" s="360">
        <f t="shared" ref="AR73:AR109" si="110">(Qg_Q3+Qg_Q4)*Fsw*(Vin-VCC)</f>
        <v>0.29039999999999999</v>
      </c>
      <c r="AS73" s="360">
        <f t="shared" si="48"/>
        <v>0.32827499999999993</v>
      </c>
      <c r="AT73" s="360">
        <f t="shared" si="41"/>
        <v>2.0133200282641774</v>
      </c>
      <c r="AU73">
        <f t="shared" ref="AU73:AU109" si="111">Vout2*J73</f>
        <v>38.4</v>
      </c>
      <c r="AV73" s="542">
        <f t="shared" si="42"/>
        <v>0.95018177108794566</v>
      </c>
      <c r="AW73" s="551">
        <f t="shared" ref="AW73:AW109" si="112">ThetaJA_Q1*BC73</f>
        <v>15.245061911604683</v>
      </c>
      <c r="AX73" s="551">
        <f t="shared" ref="AX73:AX109" si="113">ThetaJA_Q2*BD73</f>
        <v>11.808270480589728</v>
      </c>
      <c r="AY73" s="9"/>
      <c r="AZ73" s="4">
        <f t="shared" si="43"/>
        <v>95.018177108794561</v>
      </c>
      <c r="BA73" s="360">
        <f t="shared" ref="BA73:BA109" si="114">U73</f>
        <v>0.64765569566780679</v>
      </c>
      <c r="BB73" s="360">
        <f t="shared" si="44"/>
        <v>0.71573139979458988</v>
      </c>
      <c r="BC73" s="360">
        <f t="shared" si="45"/>
        <v>0.40118583977907063</v>
      </c>
      <c r="BD73" s="360">
        <f t="shared" si="46"/>
        <v>0.31074396001551918</v>
      </c>
      <c r="BE73" s="360">
        <f t="shared" si="47"/>
        <v>0.2644240948463234</v>
      </c>
      <c r="BK73" s="18"/>
      <c r="BL73" s="19"/>
    </row>
    <row r="74" spans="1:64" ht="13" x14ac:dyDescent="0.3">
      <c r="A74" s="14" t="s">
        <v>114</v>
      </c>
      <c r="B74" s="15" t="s">
        <v>7</v>
      </c>
      <c r="C74" s="17" t="s">
        <v>76</v>
      </c>
      <c r="G74">
        <v>65</v>
      </c>
      <c r="H74" s="548">
        <f t="shared" si="82"/>
        <v>45</v>
      </c>
      <c r="I74" s="4">
        <f t="shared" si="83"/>
        <v>2</v>
      </c>
      <c r="J74" s="360">
        <f t="shared" ref="J74:J109" si="115">Iout2*G74/100</f>
        <v>7.8</v>
      </c>
      <c r="K74" s="4">
        <f t="shared" si="84"/>
        <v>0.96296296296296291</v>
      </c>
      <c r="L74" s="4"/>
      <c r="M74" s="360">
        <f t="shared" si="85"/>
        <v>0.1121256871823989</v>
      </c>
      <c r="N74" s="4">
        <f t="shared" si="86"/>
        <v>9.2467088911894759</v>
      </c>
      <c r="O74" s="4">
        <f t="shared" ref="O74:O109" si="116">J74+N74/2</f>
        <v>12.423354445594738</v>
      </c>
      <c r="P74" s="4">
        <f t="shared" ref="P74:P109" si="117">J74-N74/2</f>
        <v>3.1766455544052619</v>
      </c>
      <c r="Q74" s="4">
        <f t="shared" si="87"/>
        <v>0</v>
      </c>
      <c r="R74" s="4">
        <f t="shared" si="88"/>
        <v>8.2440970059309837</v>
      </c>
      <c r="S74" s="360">
        <f t="shared" si="89"/>
        <v>0.33982567721600104</v>
      </c>
      <c r="T74" s="360">
        <f t="shared" si="90"/>
        <v>0.3</v>
      </c>
      <c r="U74" s="360">
        <f t="shared" si="91"/>
        <v>0.6577061111874718</v>
      </c>
      <c r="V74" s="4">
        <f t="shared" ref="V74:V109" si="118">N74/SQRT(12)</f>
        <v>2.6692949337231751</v>
      </c>
      <c r="W74" s="360">
        <f t="shared" si="92"/>
        <v>1.4250270886400419E-2</v>
      </c>
      <c r="X74" s="360">
        <f t="shared" ref="X74:X109" si="119">W74</f>
        <v>1.4250270886400419E-2</v>
      </c>
      <c r="Y74" s="4">
        <f t="shared" si="93"/>
        <v>2.6011859406360482</v>
      </c>
      <c r="Z74" s="360">
        <f t="shared" ref="Z74:Z109" si="120">RCinEsr*Y74^2</f>
        <v>1.0149252446643966E-2</v>
      </c>
      <c r="AA74" s="541">
        <f t="shared" ref="AA74:AA109" si="121">Z74</f>
        <v>1.0149252446643966E-2</v>
      </c>
      <c r="AB74" s="360">
        <f t="shared" si="94"/>
        <v>2.7605502197956189</v>
      </c>
      <c r="AC74" s="360">
        <f t="shared" si="95"/>
        <v>4.572382509608184E-2</v>
      </c>
      <c r="AD74" s="360">
        <f t="shared" si="96"/>
        <v>0.14119913312693497</v>
      </c>
      <c r="AE74" s="360">
        <f t="shared" si="97"/>
        <v>-3.4229250000000003E-2</v>
      </c>
      <c r="AF74" s="360">
        <f t="shared" si="98"/>
        <v>0</v>
      </c>
      <c r="AG74" s="360">
        <f t="shared" si="99"/>
        <v>0.15376235991720147</v>
      </c>
      <c r="AH74" s="360">
        <f t="shared" si="100"/>
        <v>7.768172109781462</v>
      </c>
      <c r="AI74" s="360">
        <f t="shared" si="101"/>
        <v>0.15086124481796645</v>
      </c>
      <c r="AJ74" s="360">
        <f t="shared" si="102"/>
        <v>3.36336E-2</v>
      </c>
      <c r="AK74" s="360">
        <f t="shared" si="103"/>
        <v>0.19023465210271204</v>
      </c>
      <c r="AL74" s="360">
        <f t="shared" si="104"/>
        <v>3.36336E-2</v>
      </c>
      <c r="AM74" s="360">
        <f t="shared" si="105"/>
        <v>0.38609999999999994</v>
      </c>
      <c r="AN74" s="360">
        <f t="shared" si="106"/>
        <v>0.27186054177280083</v>
      </c>
      <c r="AO74" s="360">
        <f t="shared" si="107"/>
        <v>1.5749999999999998E-3</v>
      </c>
      <c r="AP74" s="360">
        <f t="shared" si="108"/>
        <v>0.32669999999999993</v>
      </c>
      <c r="AQ74" s="360">
        <f t="shared" si="109"/>
        <v>0.31218000000000001</v>
      </c>
      <c r="AR74" s="360">
        <f t="shared" si="110"/>
        <v>0.29039999999999999</v>
      </c>
      <c r="AS74" s="360">
        <f t="shared" si="48"/>
        <v>0.32827499999999993</v>
      </c>
      <c r="AT74" s="360">
        <f t="shared" ref="AT74:AT109" si="122">SUM(U74,X74,AA74,AG74,AK74,AL74,AM74,AS74,AN74)</f>
        <v>2.0459717883132305</v>
      </c>
      <c r="AU74">
        <f t="shared" si="111"/>
        <v>39</v>
      </c>
      <c r="AV74" s="542">
        <f t="shared" ref="AV74:AV109" si="123">AU74/(AU74+AT74)</f>
        <v>0.95015413939119431</v>
      </c>
      <c r="AW74" s="551">
        <f t="shared" si="112"/>
        <v>15.526357676853655</v>
      </c>
      <c r="AX74" s="551">
        <f t="shared" si="113"/>
        <v>12.070610779903058</v>
      </c>
      <c r="AY74" s="9"/>
      <c r="AZ74" s="4">
        <f t="shared" ref="AZ74:AZ109" si="124">AV74*100</f>
        <v>95.015413939119426</v>
      </c>
      <c r="BA74" s="360">
        <f t="shared" si="114"/>
        <v>0.6577061111874718</v>
      </c>
      <c r="BB74" s="360">
        <f t="shared" ref="BB74:BB109" si="125">AG74+AK74+AM74</f>
        <v>0.7300970120199135</v>
      </c>
      <c r="BC74" s="360">
        <f t="shared" ref="BC74:BC109" si="126">AG74+AM74*0.66</f>
        <v>0.40858835991720144</v>
      </c>
      <c r="BD74" s="360">
        <f t="shared" ref="BD74:BD109" si="127">AK74+AM74*0.33</f>
        <v>0.31764765210271206</v>
      </c>
      <c r="BE74" s="360">
        <f t="shared" ref="BE74:BE109" si="128">AN74</f>
        <v>0.27186054177280083</v>
      </c>
      <c r="BK74" s="18"/>
      <c r="BL74" s="19"/>
    </row>
    <row r="75" spans="1:64" ht="13" x14ac:dyDescent="0.3">
      <c r="A75" s="34" t="s">
        <v>115</v>
      </c>
      <c r="B75" s="603">
        <f>AS9</f>
        <v>0.32827499999999993</v>
      </c>
      <c r="C75" s="78" t="s">
        <v>116</v>
      </c>
      <c r="G75">
        <v>66</v>
      </c>
      <c r="H75" s="548">
        <f t="shared" si="82"/>
        <v>45</v>
      </c>
      <c r="I75" s="4">
        <f t="shared" si="83"/>
        <v>2</v>
      </c>
      <c r="J75" s="360">
        <f t="shared" si="115"/>
        <v>7.92</v>
      </c>
      <c r="K75" s="4">
        <f t="shared" si="84"/>
        <v>0.97777777777777786</v>
      </c>
      <c r="L75" s="4"/>
      <c r="M75" s="360">
        <f t="shared" si="85"/>
        <v>0.11214129000362172</v>
      </c>
      <c r="N75" s="4">
        <f t="shared" si="86"/>
        <v>9.2476897747102331</v>
      </c>
      <c r="O75" s="4">
        <f t="shared" si="116"/>
        <v>12.543844887355117</v>
      </c>
      <c r="P75" s="4">
        <f t="shared" si="117"/>
        <v>3.2961551126448834</v>
      </c>
      <c r="Q75" s="4">
        <f t="shared" si="87"/>
        <v>0</v>
      </c>
      <c r="R75" s="4">
        <f t="shared" si="88"/>
        <v>8.3578135406799632</v>
      </c>
      <c r="S75" s="360">
        <f t="shared" si="89"/>
        <v>0.34926523590386671</v>
      </c>
      <c r="T75" s="360">
        <f t="shared" si="90"/>
        <v>0.3</v>
      </c>
      <c r="U75" s="360">
        <f t="shared" si="91"/>
        <v>0.66792795714540076</v>
      </c>
      <c r="V75" s="4">
        <f t="shared" si="118"/>
        <v>2.6695780904055515</v>
      </c>
      <c r="W75" s="360">
        <f t="shared" si="92"/>
        <v>1.4253294361546702E-2</v>
      </c>
      <c r="X75" s="360">
        <f t="shared" si="119"/>
        <v>1.4253294361546702E-2</v>
      </c>
      <c r="Y75" s="4">
        <f t="shared" si="93"/>
        <v>2.6372261994149122</v>
      </c>
      <c r="Z75" s="360">
        <f t="shared" si="120"/>
        <v>1.0432443040320634E-2</v>
      </c>
      <c r="AA75" s="541">
        <f t="shared" si="121"/>
        <v>1.0432443040320634E-2</v>
      </c>
      <c r="AB75" s="360">
        <f t="shared" si="94"/>
        <v>2.7988231136561263</v>
      </c>
      <c r="AC75" s="360">
        <f t="shared" si="95"/>
        <v>4.7000464929214648E-2</v>
      </c>
      <c r="AD75" s="360">
        <f t="shared" si="96"/>
        <v>0.14337142748273396</v>
      </c>
      <c r="AE75" s="360">
        <f t="shared" si="97"/>
        <v>-3.4229250000000003E-2</v>
      </c>
      <c r="AF75" s="360">
        <f t="shared" si="98"/>
        <v>0</v>
      </c>
      <c r="AG75" s="360">
        <f t="shared" si="99"/>
        <v>0.15726616299425991</v>
      </c>
      <c r="AH75" s="360">
        <f t="shared" si="100"/>
        <v>7.8752546853570111</v>
      </c>
      <c r="AI75" s="360">
        <f t="shared" si="101"/>
        <v>0.15504909089809391</v>
      </c>
      <c r="AJ75" s="360">
        <f t="shared" si="102"/>
        <v>3.4151040000000001E-2</v>
      </c>
      <c r="AK75" s="360">
        <f t="shared" si="103"/>
        <v>0.19525495144094798</v>
      </c>
      <c r="AL75" s="360">
        <f t="shared" si="104"/>
        <v>3.4151040000000001E-2</v>
      </c>
      <c r="AM75" s="360">
        <f t="shared" si="105"/>
        <v>0.39203999999999994</v>
      </c>
      <c r="AN75" s="360">
        <f t="shared" si="106"/>
        <v>0.27941218872309337</v>
      </c>
      <c r="AO75" s="360">
        <f t="shared" si="107"/>
        <v>1.5749999999999998E-3</v>
      </c>
      <c r="AP75" s="360">
        <f t="shared" si="108"/>
        <v>0.32669999999999993</v>
      </c>
      <c r="AQ75" s="360">
        <f t="shared" si="109"/>
        <v>0.31218000000000001</v>
      </c>
      <c r="AR75" s="360">
        <f t="shared" si="110"/>
        <v>0.29039999999999999</v>
      </c>
      <c r="AS75" s="360">
        <f t="shared" ref="AS75:AS109" si="129">SUM(AO75:AP75)</f>
        <v>0.32827499999999993</v>
      </c>
      <c r="AT75" s="360">
        <f t="shared" si="122"/>
        <v>2.0790130377055691</v>
      </c>
      <c r="AU75">
        <f t="shared" si="111"/>
        <v>39.6</v>
      </c>
      <c r="AV75" s="542">
        <f t="shared" si="123"/>
        <v>0.95011846763682339</v>
      </c>
      <c r="AW75" s="551">
        <f t="shared" si="112"/>
        <v>15.808477393781878</v>
      </c>
      <c r="AX75" s="551">
        <f t="shared" si="113"/>
        <v>12.335869754756024</v>
      </c>
      <c r="AY75" s="9"/>
      <c r="AZ75" s="4">
        <f t="shared" si="124"/>
        <v>95.011846763682342</v>
      </c>
      <c r="BA75" s="360">
        <f t="shared" si="114"/>
        <v>0.66792795714540076</v>
      </c>
      <c r="BB75" s="360">
        <f t="shared" si="125"/>
        <v>0.74456111443520778</v>
      </c>
      <c r="BC75" s="360">
        <f t="shared" si="126"/>
        <v>0.41601256299425993</v>
      </c>
      <c r="BD75" s="360">
        <f t="shared" si="127"/>
        <v>0.32462815144094798</v>
      </c>
      <c r="BE75" s="360">
        <f t="shared" si="128"/>
        <v>0.27941218872309337</v>
      </c>
      <c r="BK75" s="18"/>
      <c r="BL75" s="19"/>
    </row>
    <row r="76" spans="1:64" ht="13" x14ac:dyDescent="0.3">
      <c r="A76" s="34" t="s">
        <v>119</v>
      </c>
      <c r="B76" s="604">
        <f>B75*B62</f>
        <v>9.8482499999999984</v>
      </c>
      <c r="C76" s="440" t="s">
        <v>465</v>
      </c>
      <c r="G76">
        <v>67</v>
      </c>
      <c r="H76" s="548">
        <f t="shared" si="82"/>
        <v>45</v>
      </c>
      <c r="I76" s="4">
        <f t="shared" si="83"/>
        <v>2</v>
      </c>
      <c r="J76" s="360">
        <f t="shared" si="115"/>
        <v>8.0399999999999991</v>
      </c>
      <c r="K76" s="4">
        <f t="shared" si="84"/>
        <v>0.99259259259259247</v>
      </c>
      <c r="L76" s="4"/>
      <c r="M76" s="360">
        <f t="shared" si="85"/>
        <v>0.11215689264184336</v>
      </c>
      <c r="N76" s="4">
        <f t="shared" si="86"/>
        <v>9.2486705580340693</v>
      </c>
      <c r="O76" s="4">
        <f t="shared" si="116"/>
        <v>12.664335279017035</v>
      </c>
      <c r="P76" s="4">
        <f t="shared" si="117"/>
        <v>3.4156647209829645</v>
      </c>
      <c r="Q76" s="4">
        <f t="shared" si="87"/>
        <v>0</v>
      </c>
      <c r="R76" s="4">
        <f t="shared" si="88"/>
        <v>8.4717034251827918</v>
      </c>
      <c r="S76" s="360">
        <f t="shared" si="89"/>
        <v>0.35884879462126923</v>
      </c>
      <c r="T76" s="360">
        <f t="shared" si="90"/>
        <v>0.3</v>
      </c>
      <c r="U76" s="360">
        <f t="shared" si="91"/>
        <v>0.67832199710331864</v>
      </c>
      <c r="V76" s="4">
        <f t="shared" si="118"/>
        <v>2.6698612181635681</v>
      </c>
      <c r="W76" s="360">
        <f t="shared" si="92"/>
        <v>1.4256317848507704E-2</v>
      </c>
      <c r="X76" s="360">
        <f t="shared" si="119"/>
        <v>1.4256317848507704E-2</v>
      </c>
      <c r="Y76" s="4">
        <f t="shared" si="93"/>
        <v>2.6733255041375092</v>
      </c>
      <c r="Z76" s="360">
        <f t="shared" si="120"/>
        <v>1.0720003876608103E-2</v>
      </c>
      <c r="AA76" s="541">
        <f t="shared" si="121"/>
        <v>1.0720003876608103E-2</v>
      </c>
      <c r="AB76" s="360">
        <f t="shared" si="94"/>
        <v>2.837159344590733</v>
      </c>
      <c r="AC76" s="360">
        <f t="shared" si="95"/>
        <v>4.8296838879591103E-2</v>
      </c>
      <c r="AD76" s="360">
        <f t="shared" si="96"/>
        <v>0.14554372183853295</v>
      </c>
      <c r="AE76" s="360">
        <f t="shared" si="97"/>
        <v>-3.4229250000000003E-2</v>
      </c>
      <c r="AF76" s="360">
        <f t="shared" si="98"/>
        <v>0</v>
      </c>
      <c r="AG76" s="360">
        <f t="shared" si="99"/>
        <v>0.16079170181733279</v>
      </c>
      <c r="AH76" s="360">
        <f t="shared" si="100"/>
        <v>7.9824987176732662</v>
      </c>
      <c r="AI76" s="360">
        <f t="shared" si="101"/>
        <v>0.15930071444413835</v>
      </c>
      <c r="AJ76" s="360">
        <f t="shared" si="102"/>
        <v>3.4668479999999995E-2</v>
      </c>
      <c r="AK76" s="360">
        <f t="shared" si="103"/>
        <v>0.2003524521993362</v>
      </c>
      <c r="AL76" s="360">
        <f t="shared" si="104"/>
        <v>3.4668479999999995E-2</v>
      </c>
      <c r="AM76" s="360">
        <f t="shared" si="105"/>
        <v>0.39798</v>
      </c>
      <c r="AN76" s="360">
        <f t="shared" si="106"/>
        <v>0.28707903569701543</v>
      </c>
      <c r="AO76" s="360">
        <f t="shared" si="107"/>
        <v>1.5749999999999998E-3</v>
      </c>
      <c r="AP76" s="360">
        <f t="shared" si="108"/>
        <v>0.32669999999999993</v>
      </c>
      <c r="AQ76" s="360">
        <f t="shared" si="109"/>
        <v>0.31218000000000001</v>
      </c>
      <c r="AR76" s="360">
        <f t="shared" si="110"/>
        <v>0.29039999999999999</v>
      </c>
      <c r="AS76" s="360">
        <f t="shared" si="129"/>
        <v>0.32827499999999993</v>
      </c>
      <c r="AT76" s="360">
        <f t="shared" si="122"/>
        <v>2.1124449885421184</v>
      </c>
      <c r="AU76">
        <f t="shared" si="111"/>
        <v>40.199999999999996</v>
      </c>
      <c r="AV76" s="542">
        <f t="shared" si="123"/>
        <v>0.95007509045827654</v>
      </c>
      <c r="AW76" s="551">
        <f t="shared" si="112"/>
        <v>16.091423069058646</v>
      </c>
      <c r="AX76" s="551">
        <f t="shared" si="113"/>
        <v>12.604062383574776</v>
      </c>
      <c r="AY76" s="9"/>
      <c r="AZ76" s="4">
        <f t="shared" si="124"/>
        <v>95.007509045827661</v>
      </c>
      <c r="BA76" s="360">
        <f t="shared" si="114"/>
        <v>0.67832199710331864</v>
      </c>
      <c r="BB76" s="360">
        <f t="shared" si="125"/>
        <v>0.75912415401666899</v>
      </c>
      <c r="BC76" s="360">
        <f t="shared" si="126"/>
        <v>0.4234585018173328</v>
      </c>
      <c r="BD76" s="360">
        <f t="shared" si="127"/>
        <v>0.33168585219933622</v>
      </c>
      <c r="BE76" s="360">
        <f t="shared" si="128"/>
        <v>0.28707903569701543</v>
      </c>
      <c r="BK76" s="18"/>
      <c r="BL76" s="19"/>
    </row>
    <row r="77" spans="1:64" ht="13" x14ac:dyDescent="0.3">
      <c r="A77" s="34" t="s">
        <v>210</v>
      </c>
      <c r="B77" s="604">
        <f>(Qg_Q3+Qg_Q4)*Fsw+Iq</f>
        <v>7.2949999999999994E-3</v>
      </c>
      <c r="C77" s="21" t="s">
        <v>1</v>
      </c>
      <c r="G77">
        <v>68</v>
      </c>
      <c r="H77" s="548">
        <f t="shared" si="82"/>
        <v>45</v>
      </c>
      <c r="I77" s="4">
        <f t="shared" si="83"/>
        <v>2</v>
      </c>
      <c r="J77" s="360">
        <f t="shared" si="115"/>
        <v>8.16</v>
      </c>
      <c r="K77" s="4">
        <f t="shared" si="84"/>
        <v>1.0074074074074073</v>
      </c>
      <c r="L77" s="4"/>
      <c r="M77" s="360">
        <f t="shared" si="85"/>
        <v>0.11217249509706705</v>
      </c>
      <c r="N77" s="4">
        <f t="shared" si="86"/>
        <v>9.249651241162745</v>
      </c>
      <c r="O77" s="4">
        <f t="shared" si="116"/>
        <v>12.784825620581373</v>
      </c>
      <c r="P77" s="4">
        <f t="shared" si="117"/>
        <v>3.5351743794186277</v>
      </c>
      <c r="Q77" s="4">
        <f t="shared" si="87"/>
        <v>0</v>
      </c>
      <c r="R77" s="4">
        <f t="shared" si="88"/>
        <v>8.5857597609993306</v>
      </c>
      <c r="S77" s="360">
        <f t="shared" si="89"/>
        <v>0.36857635336797645</v>
      </c>
      <c r="T77" s="360">
        <f t="shared" si="90"/>
        <v>0.3</v>
      </c>
      <c r="U77" s="360">
        <f t="shared" si="91"/>
        <v>0.68888900928126995</v>
      </c>
      <c r="V77" s="4">
        <f t="shared" si="118"/>
        <v>2.6701443169977335</v>
      </c>
      <c r="W77" s="360">
        <f t="shared" si="92"/>
        <v>1.4259341347190585E-2</v>
      </c>
      <c r="X77" s="360">
        <f t="shared" si="119"/>
        <v>1.4259341347190585E-2</v>
      </c>
      <c r="Y77" s="4">
        <f t="shared" si="93"/>
        <v>2.7094816870422664</v>
      </c>
      <c r="Z77" s="360">
        <f t="shared" si="120"/>
        <v>1.1011936518626111E-2</v>
      </c>
      <c r="AA77" s="541">
        <f t="shared" si="121"/>
        <v>1.1011936518626111E-2</v>
      </c>
      <c r="AB77" s="360">
        <f t="shared" si="94"/>
        <v>2.8755566136337563</v>
      </c>
      <c r="AC77" s="360">
        <f t="shared" si="95"/>
        <v>4.9612955029277019E-2</v>
      </c>
      <c r="AD77" s="360">
        <f t="shared" si="96"/>
        <v>0.14771601619433197</v>
      </c>
      <c r="AE77" s="360">
        <f t="shared" si="97"/>
        <v>-3.4229250000000003E-2</v>
      </c>
      <c r="AF77" s="360">
        <f t="shared" si="98"/>
        <v>0</v>
      </c>
      <c r="AG77" s="360">
        <f t="shared" si="99"/>
        <v>0.1643390296464948</v>
      </c>
      <c r="AH77" s="360">
        <f t="shared" si="100"/>
        <v>8.0898977024052936</v>
      </c>
      <c r="AI77" s="360">
        <f t="shared" si="101"/>
        <v>0.16361611208845614</v>
      </c>
      <c r="AJ77" s="360">
        <f t="shared" si="102"/>
        <v>3.5185920000000002E-2</v>
      </c>
      <c r="AK77" s="360">
        <f t="shared" si="103"/>
        <v>0.20552755601696374</v>
      </c>
      <c r="AL77" s="360">
        <f t="shared" si="104"/>
        <v>3.5185920000000002E-2</v>
      </c>
      <c r="AM77" s="360">
        <f t="shared" si="105"/>
        <v>0.40392</v>
      </c>
      <c r="AN77" s="360">
        <f t="shared" si="106"/>
        <v>0.29486108269438116</v>
      </c>
      <c r="AO77" s="360">
        <f t="shared" si="107"/>
        <v>1.5749999999999998E-3</v>
      </c>
      <c r="AP77" s="360">
        <f t="shared" si="108"/>
        <v>0.32669999999999993</v>
      </c>
      <c r="AQ77" s="360">
        <f t="shared" si="109"/>
        <v>0.31218000000000001</v>
      </c>
      <c r="AR77" s="360">
        <f t="shared" si="110"/>
        <v>0.29039999999999999</v>
      </c>
      <c r="AS77" s="360">
        <f t="shared" si="129"/>
        <v>0.32827499999999993</v>
      </c>
      <c r="AT77" s="360">
        <f t="shared" si="122"/>
        <v>2.1462688755049264</v>
      </c>
      <c r="AU77">
        <f t="shared" si="111"/>
        <v>40.799999999999997</v>
      </c>
      <c r="AV77" s="542">
        <f t="shared" si="123"/>
        <v>0.95002432267802694</v>
      </c>
      <c r="AW77" s="551">
        <f t="shared" si="112"/>
        <v>16.375196726566806</v>
      </c>
      <c r="AX77" s="551">
        <f t="shared" si="113"/>
        <v>12.875203928644622</v>
      </c>
      <c r="AY77" s="9"/>
      <c r="AZ77" s="4">
        <f t="shared" si="124"/>
        <v>95.002432267802689</v>
      </c>
      <c r="BA77" s="360">
        <f t="shared" si="114"/>
        <v>0.68888900928126995</v>
      </c>
      <c r="BB77" s="360">
        <f t="shared" si="125"/>
        <v>0.77378658566345848</v>
      </c>
      <c r="BC77" s="360">
        <f t="shared" si="126"/>
        <v>0.43092622964649485</v>
      </c>
      <c r="BD77" s="360">
        <f t="shared" si="127"/>
        <v>0.33882115601696372</v>
      </c>
      <c r="BE77" s="360">
        <f t="shared" si="128"/>
        <v>0.29486108269438116</v>
      </c>
      <c r="BK77" s="18"/>
      <c r="BL77" s="19"/>
    </row>
    <row r="78" spans="1:64" ht="13" x14ac:dyDescent="0.3">
      <c r="A78" s="34" t="s">
        <v>211</v>
      </c>
      <c r="B78" s="605">
        <f>Qrr_Q4*Fsw</f>
        <v>1.3199999999999998E-2</v>
      </c>
      <c r="C78" s="21" t="s">
        <v>1</v>
      </c>
      <c r="G78">
        <v>69</v>
      </c>
      <c r="H78" s="548">
        <f t="shared" si="82"/>
        <v>45</v>
      </c>
      <c r="I78" s="4">
        <f t="shared" si="83"/>
        <v>2</v>
      </c>
      <c r="J78" s="360">
        <f t="shared" si="115"/>
        <v>8.2799999999999994</v>
      </c>
      <c r="K78" s="4">
        <f t="shared" si="84"/>
        <v>1.0222222222222221</v>
      </c>
      <c r="L78" s="4"/>
      <c r="M78" s="360">
        <f t="shared" si="85"/>
        <v>0.11218809736929601</v>
      </c>
      <c r="N78" s="4">
        <f t="shared" si="86"/>
        <v>9.2506318240980274</v>
      </c>
      <c r="O78" s="4">
        <f t="shared" si="116"/>
        <v>12.905315912049012</v>
      </c>
      <c r="P78" s="4">
        <f t="shared" si="117"/>
        <v>3.6546840879509856</v>
      </c>
      <c r="Q78" s="4">
        <f t="shared" si="87"/>
        <v>0</v>
      </c>
      <c r="R78" s="4">
        <f t="shared" si="88"/>
        <v>8.6999760016192731</v>
      </c>
      <c r="S78" s="360">
        <f t="shared" si="89"/>
        <v>0.37844791214375639</v>
      </c>
      <c r="T78" s="360">
        <f t="shared" si="90"/>
        <v>0.3</v>
      </c>
      <c r="U78" s="360">
        <f t="shared" si="91"/>
        <v>0.69962978670801468</v>
      </c>
      <c r="V78" s="4">
        <f t="shared" si="118"/>
        <v>2.6704273869085577</v>
      </c>
      <c r="W78" s="360">
        <f t="shared" si="92"/>
        <v>1.4262364857502537E-2</v>
      </c>
      <c r="X78" s="360">
        <f t="shared" si="119"/>
        <v>1.4262364857502537E-2</v>
      </c>
      <c r="Y78" s="4">
        <f t="shared" si="93"/>
        <v>2.7456926909047494</v>
      </c>
      <c r="Z78" s="360">
        <f t="shared" si="120"/>
        <v>1.1308242529331646E-2</v>
      </c>
      <c r="AA78" s="541">
        <f t="shared" si="121"/>
        <v>1.1308242529331646E-2</v>
      </c>
      <c r="AB78" s="360">
        <f t="shared" si="94"/>
        <v>2.9140127390521315</v>
      </c>
      <c r="AC78" s="360">
        <f t="shared" si="95"/>
        <v>5.094882146014864E-2</v>
      </c>
      <c r="AD78" s="360">
        <f t="shared" si="96"/>
        <v>0.14988831055013094</v>
      </c>
      <c r="AE78" s="360">
        <f t="shared" si="97"/>
        <v>-3.4229250000000003E-2</v>
      </c>
      <c r="AF78" s="360">
        <f t="shared" si="98"/>
        <v>0</v>
      </c>
      <c r="AG78" s="360">
        <f t="shared" si="99"/>
        <v>0.16790820019713748</v>
      </c>
      <c r="AH78" s="360">
        <f t="shared" si="100"/>
        <v>8.1974454670582091</v>
      </c>
      <c r="AI78" s="360">
        <f t="shared" si="101"/>
        <v>0.16799528046348297</v>
      </c>
      <c r="AJ78" s="360">
        <f t="shared" si="102"/>
        <v>3.5703359999999996E-2</v>
      </c>
      <c r="AK78" s="360">
        <f t="shared" si="103"/>
        <v>0.21078067208823176</v>
      </c>
      <c r="AL78" s="360">
        <f t="shared" si="104"/>
        <v>3.5703359999999996E-2</v>
      </c>
      <c r="AM78" s="360">
        <f t="shared" si="105"/>
        <v>0.40985999999999989</v>
      </c>
      <c r="AN78" s="360">
        <f t="shared" si="106"/>
        <v>0.3027583297150051</v>
      </c>
      <c r="AO78" s="360">
        <f t="shared" si="107"/>
        <v>1.5749999999999998E-3</v>
      </c>
      <c r="AP78" s="360">
        <f t="shared" si="108"/>
        <v>0.32669999999999993</v>
      </c>
      <c r="AQ78" s="360">
        <f t="shared" si="109"/>
        <v>0.31218000000000001</v>
      </c>
      <c r="AR78" s="360">
        <f t="shared" si="110"/>
        <v>0.29039999999999999</v>
      </c>
      <c r="AS78" s="360">
        <f t="shared" si="129"/>
        <v>0.32827499999999993</v>
      </c>
      <c r="AT78" s="360">
        <f t="shared" si="122"/>
        <v>2.180485956095223</v>
      </c>
      <c r="AU78">
        <f t="shared" si="111"/>
        <v>41.4</v>
      </c>
      <c r="AV78" s="542">
        <f t="shared" si="123"/>
        <v>0.9499664607161119</v>
      </c>
      <c r="AW78" s="551">
        <f t="shared" si="112"/>
        <v>16.659800407491222</v>
      </c>
      <c r="AX78" s="551">
        <f t="shared" si="113"/>
        <v>13.149309939352806</v>
      </c>
      <c r="AY78" s="9"/>
      <c r="AZ78" s="4">
        <f t="shared" si="124"/>
        <v>94.996646071611195</v>
      </c>
      <c r="BA78" s="360">
        <f t="shared" si="114"/>
        <v>0.69962978670801468</v>
      </c>
      <c r="BB78" s="360">
        <f t="shared" si="125"/>
        <v>0.78854887228536907</v>
      </c>
      <c r="BC78" s="360">
        <f t="shared" si="126"/>
        <v>0.43841580019713744</v>
      </c>
      <c r="BD78" s="360">
        <f t="shared" si="127"/>
        <v>0.34603447208823174</v>
      </c>
      <c r="BE78" s="360">
        <f t="shared" si="128"/>
        <v>0.3027583297150051</v>
      </c>
      <c r="BK78" s="18"/>
      <c r="BL78" s="19"/>
    </row>
    <row r="79" spans="1:64" ht="13" x14ac:dyDescent="0.3">
      <c r="A79" s="34" t="s">
        <v>212</v>
      </c>
      <c r="B79" s="605">
        <f>Deadtime*Fsw*(Iripple2_Vinnom/2)*(Vsd_Q4)/Vin</f>
        <v>2.2448961287533468E-4</v>
      </c>
      <c r="C79" s="21"/>
      <c r="G79">
        <v>70</v>
      </c>
      <c r="H79" s="548">
        <f t="shared" si="82"/>
        <v>45</v>
      </c>
      <c r="I79" s="4">
        <f t="shared" si="83"/>
        <v>2</v>
      </c>
      <c r="J79" s="360">
        <f t="shared" si="115"/>
        <v>8.4</v>
      </c>
      <c r="K79" s="4">
        <f t="shared" si="84"/>
        <v>1.037037037037037</v>
      </c>
      <c r="L79" s="4"/>
      <c r="M79" s="360">
        <f t="shared" si="85"/>
        <v>0.11220369945853348</v>
      </c>
      <c r="N79" s="4">
        <f t="shared" si="86"/>
        <v>9.2516123068416736</v>
      </c>
      <c r="O79" s="4">
        <f t="shared" si="116"/>
        <v>13.025806153420838</v>
      </c>
      <c r="P79" s="4">
        <f t="shared" si="117"/>
        <v>3.7741938465791636</v>
      </c>
      <c r="Q79" s="4">
        <f t="shared" si="87"/>
        <v>0</v>
      </c>
      <c r="R79" s="4">
        <f t="shared" si="88"/>
        <v>8.8143459309057839</v>
      </c>
      <c r="S79" s="360">
        <f t="shared" si="89"/>
        <v>0.38846347094837674</v>
      </c>
      <c r="T79" s="360">
        <f t="shared" si="90"/>
        <v>0.3</v>
      </c>
      <c r="U79" s="360">
        <f t="shared" si="91"/>
        <v>0.71054513737478475</v>
      </c>
      <c r="V79" s="4">
        <f t="shared" si="118"/>
        <v>2.6707104278965477</v>
      </c>
      <c r="W79" s="360">
        <f t="shared" si="92"/>
        <v>1.4265388379350721E-2</v>
      </c>
      <c r="X79" s="360">
        <f t="shared" si="119"/>
        <v>1.4265388379350721E-2</v>
      </c>
      <c r="Y79" s="4">
        <f t="shared" si="93"/>
        <v>2.781956562267994</v>
      </c>
      <c r="Z79" s="360">
        <f t="shared" si="120"/>
        <v>1.1608923471518933E-2</v>
      </c>
      <c r="AA79" s="541">
        <f t="shared" si="121"/>
        <v>1.1608923471518933E-2</v>
      </c>
      <c r="AB79" s="360">
        <f t="shared" si="94"/>
        <v>2.9525256491658265</v>
      </c>
      <c r="AC79" s="360">
        <f t="shared" si="95"/>
        <v>5.2304446253892509E-2</v>
      </c>
      <c r="AD79" s="360">
        <f t="shared" si="96"/>
        <v>0.15206060490592996</v>
      </c>
      <c r="AE79" s="360">
        <f t="shared" si="97"/>
        <v>-3.4229250000000003E-2</v>
      </c>
      <c r="AF79" s="360">
        <f t="shared" si="98"/>
        <v>0</v>
      </c>
      <c r="AG79" s="360">
        <f t="shared" si="99"/>
        <v>0.1714992676423234</v>
      </c>
      <c r="AH79" s="360">
        <f t="shared" si="100"/>
        <v>8.3051361506415571</v>
      </c>
      <c r="AI79" s="360">
        <f t="shared" si="101"/>
        <v>0.17243821620173314</v>
      </c>
      <c r="AJ79" s="360">
        <f t="shared" si="102"/>
        <v>3.6220799999999997E-2</v>
      </c>
      <c r="AK79" s="360">
        <f t="shared" si="103"/>
        <v>0.2161122172501361</v>
      </c>
      <c r="AL79" s="360">
        <f t="shared" si="104"/>
        <v>3.6220799999999997E-2</v>
      </c>
      <c r="AM79" s="360">
        <f t="shared" si="105"/>
        <v>0.4158</v>
      </c>
      <c r="AN79" s="360">
        <f t="shared" si="106"/>
        <v>0.31077077675870141</v>
      </c>
      <c r="AO79" s="360">
        <f t="shared" si="107"/>
        <v>1.5749999999999998E-3</v>
      </c>
      <c r="AP79" s="360">
        <f t="shared" si="108"/>
        <v>0.32669999999999993</v>
      </c>
      <c r="AQ79" s="360">
        <f t="shared" si="109"/>
        <v>0.31218000000000001</v>
      </c>
      <c r="AR79" s="360">
        <f t="shared" si="110"/>
        <v>0.29039999999999999</v>
      </c>
      <c r="AS79" s="360">
        <f t="shared" si="129"/>
        <v>0.32827499999999993</v>
      </c>
      <c r="AT79" s="360">
        <f t="shared" si="122"/>
        <v>2.2150975108768152</v>
      </c>
      <c r="AU79">
        <f t="shared" si="111"/>
        <v>42</v>
      </c>
      <c r="AV79" s="542">
        <f t="shared" si="123"/>
        <v>0.94990178387977298</v>
      </c>
      <c r="AW79" s="551">
        <f t="shared" si="112"/>
        <v>16.94523617040829</v>
      </c>
      <c r="AX79" s="551">
        <f t="shared" si="113"/>
        <v>13.426396255505173</v>
      </c>
      <c r="AY79" s="9"/>
      <c r="AZ79" s="4">
        <f t="shared" si="124"/>
        <v>94.990178387977295</v>
      </c>
      <c r="BA79" s="360">
        <f t="shared" si="114"/>
        <v>0.71054513737478475</v>
      </c>
      <c r="BB79" s="360">
        <f t="shared" si="125"/>
        <v>0.8034114848924595</v>
      </c>
      <c r="BC79" s="360">
        <f t="shared" si="126"/>
        <v>0.44592726764232338</v>
      </c>
      <c r="BD79" s="360">
        <f t="shared" si="127"/>
        <v>0.35332621725013613</v>
      </c>
      <c r="BE79" s="360">
        <f t="shared" si="128"/>
        <v>0.31077077675870141</v>
      </c>
      <c r="BK79" s="18"/>
      <c r="BL79" s="19"/>
    </row>
    <row r="80" spans="1:64" ht="13" x14ac:dyDescent="0.3">
      <c r="A80" s="34" t="s">
        <v>45</v>
      </c>
      <c r="B80" s="605">
        <f>SUM(B77:B79)</f>
        <v>2.0719489612875334E-2</v>
      </c>
      <c r="C80" s="21" t="s">
        <v>1</v>
      </c>
      <c r="G80">
        <v>71</v>
      </c>
      <c r="H80" s="548">
        <f t="shared" si="82"/>
        <v>45</v>
      </c>
      <c r="I80" s="4">
        <f t="shared" si="83"/>
        <v>2</v>
      </c>
      <c r="J80" s="360">
        <f t="shared" si="115"/>
        <v>8.52</v>
      </c>
      <c r="K80" s="4">
        <f t="shared" si="84"/>
        <v>1.0518518518518518</v>
      </c>
      <c r="L80" s="4"/>
      <c r="M80" s="360">
        <f t="shared" si="85"/>
        <v>0.11221930136478264</v>
      </c>
      <c r="N80" s="4">
        <f t="shared" si="86"/>
        <v>9.2525926893954509</v>
      </c>
      <c r="O80" s="4">
        <f t="shared" si="116"/>
        <v>13.146296344697724</v>
      </c>
      <c r="P80" s="4">
        <f t="shared" si="117"/>
        <v>3.8937036553022741</v>
      </c>
      <c r="Q80" s="4">
        <f t="shared" si="87"/>
        <v>0</v>
      </c>
      <c r="R80" s="4">
        <f t="shared" si="88"/>
        <v>8.9288636430578983</v>
      </c>
      <c r="S80" s="360">
        <f t="shared" si="89"/>
        <v>0.3986230297816058</v>
      </c>
      <c r="T80" s="360">
        <f t="shared" si="90"/>
        <v>0.3</v>
      </c>
      <c r="U80" s="360">
        <f t="shared" si="91"/>
        <v>0.72163588439245785</v>
      </c>
      <c r="V80" s="4">
        <f t="shared" si="118"/>
        <v>2.6709934399622135</v>
      </c>
      <c r="W80" s="360">
        <f t="shared" si="92"/>
        <v>1.4268411912642357E-2</v>
      </c>
      <c r="X80" s="360">
        <f t="shared" si="119"/>
        <v>1.4268411912642357E-2</v>
      </c>
      <c r="Y80" s="4">
        <f t="shared" si="93"/>
        <v>2.8182714451497204</v>
      </c>
      <c r="Z80" s="360">
        <f t="shared" si="120"/>
        <v>1.1913980907819441E-2</v>
      </c>
      <c r="AA80" s="541">
        <f t="shared" si="121"/>
        <v>1.1913980907819441E-2</v>
      </c>
      <c r="AB80" s="360">
        <f t="shared" si="94"/>
        <v>2.9910933756740112</v>
      </c>
      <c r="AC80" s="360">
        <f t="shared" si="95"/>
        <v>5.3679837492005708E-2</v>
      </c>
      <c r="AD80" s="360">
        <f t="shared" si="96"/>
        <v>0.15423289926172895</v>
      </c>
      <c r="AE80" s="360">
        <f t="shared" si="97"/>
        <v>-3.4229250000000003E-2</v>
      </c>
      <c r="AF80" s="360">
        <f t="shared" si="98"/>
        <v>0</v>
      </c>
      <c r="AG80" s="360">
        <f t="shared" si="99"/>
        <v>0.1751122866151647</v>
      </c>
      <c r="AH80" s="360">
        <f t="shared" si="100"/>
        <v>8.4129641847757917</v>
      </c>
      <c r="AI80" s="360">
        <f t="shared" si="101"/>
        <v>0.1769449159358005</v>
      </c>
      <c r="AJ80" s="360">
        <f t="shared" si="102"/>
        <v>3.6738239999999998E-2</v>
      </c>
      <c r="AK80" s="360">
        <f t="shared" si="103"/>
        <v>0.22152261607153167</v>
      </c>
      <c r="AL80" s="360">
        <f t="shared" si="104"/>
        <v>3.6738239999999998E-2</v>
      </c>
      <c r="AM80" s="360">
        <f t="shared" si="105"/>
        <v>0.42174</v>
      </c>
      <c r="AN80" s="360">
        <f t="shared" si="106"/>
        <v>0.3188984238252846</v>
      </c>
      <c r="AO80" s="360">
        <f t="shared" si="107"/>
        <v>1.5749999999999998E-3</v>
      </c>
      <c r="AP80" s="360">
        <f t="shared" si="108"/>
        <v>0.32669999999999993</v>
      </c>
      <c r="AQ80" s="360">
        <f t="shared" si="109"/>
        <v>0.31218000000000001</v>
      </c>
      <c r="AR80" s="360">
        <f t="shared" si="110"/>
        <v>0.29039999999999999</v>
      </c>
      <c r="AS80" s="360">
        <f t="shared" si="129"/>
        <v>0.32827499999999993</v>
      </c>
      <c r="AT80" s="360">
        <f t="shared" si="122"/>
        <v>2.2501048437249005</v>
      </c>
      <c r="AU80">
        <f t="shared" si="111"/>
        <v>42.599999999999994</v>
      </c>
      <c r="AV80" s="542">
        <f t="shared" si="123"/>
        <v>0.94983055554574214</v>
      </c>
      <c r="AW80" s="551">
        <f t="shared" si="112"/>
        <v>17.231506091376257</v>
      </c>
      <c r="AX80" s="551">
        <f t="shared" si="113"/>
        <v>13.706479010718205</v>
      </c>
      <c r="AY80" s="9"/>
      <c r="AZ80" s="4">
        <f t="shared" si="124"/>
        <v>94.983055554574207</v>
      </c>
      <c r="BA80" s="360">
        <f t="shared" si="114"/>
        <v>0.72163588439245785</v>
      </c>
      <c r="BB80" s="360">
        <f t="shared" si="125"/>
        <v>0.81837490268669644</v>
      </c>
      <c r="BC80" s="360">
        <f t="shared" si="126"/>
        <v>0.4534606866151647</v>
      </c>
      <c r="BD80" s="360">
        <f t="shared" si="127"/>
        <v>0.3606968160715317</v>
      </c>
      <c r="BE80" s="360">
        <f t="shared" si="128"/>
        <v>0.3188984238252846</v>
      </c>
      <c r="BK80" s="18"/>
      <c r="BL80" s="19"/>
    </row>
    <row r="81" spans="1:64" ht="13" x14ac:dyDescent="0.3">
      <c r="A81" s="2"/>
      <c r="G81">
        <v>72</v>
      </c>
      <c r="H81" s="548">
        <f t="shared" si="82"/>
        <v>45</v>
      </c>
      <c r="I81" s="4">
        <f t="shared" si="83"/>
        <v>2</v>
      </c>
      <c r="J81" s="360">
        <f t="shared" si="115"/>
        <v>8.64</v>
      </c>
      <c r="K81" s="4">
        <f t="shared" si="84"/>
        <v>1.0666666666666667</v>
      </c>
      <c r="L81" s="4"/>
      <c r="M81" s="360">
        <f t="shared" si="85"/>
        <v>0.11223490308804673</v>
      </c>
      <c r="N81" s="4">
        <f t="shared" si="86"/>
        <v>9.2535729717611179</v>
      </c>
      <c r="O81" s="4">
        <f t="shared" si="116"/>
        <v>13.266786485880559</v>
      </c>
      <c r="P81" s="4">
        <f t="shared" si="117"/>
        <v>4.0132135141194416</v>
      </c>
      <c r="Q81" s="4">
        <f t="shared" si="87"/>
        <v>0</v>
      </c>
      <c r="R81" s="4">
        <f t="shared" si="88"/>
        <v>9.043523523972409</v>
      </c>
      <c r="S81" s="360">
        <f t="shared" si="89"/>
        <v>0.40892658864321169</v>
      </c>
      <c r="T81" s="360">
        <f t="shared" si="90"/>
        <v>0.3</v>
      </c>
      <c r="U81" s="360">
        <f t="shared" si="91"/>
        <v>0.73290286615220801</v>
      </c>
      <c r="V81" s="4">
        <f t="shared" si="118"/>
        <v>2.6712764231060633</v>
      </c>
      <c r="W81" s="360">
        <f t="shared" si="92"/>
        <v>1.4271435457284648E-2</v>
      </c>
      <c r="X81" s="360">
        <f t="shared" si="119"/>
        <v>1.4271435457284648E-2</v>
      </c>
      <c r="Y81" s="4">
        <f t="shared" si="93"/>
        <v>2.8546355751889942</v>
      </c>
      <c r="Z81" s="360">
        <f t="shared" si="120"/>
        <v>1.2223416400701901E-2</v>
      </c>
      <c r="AA81" s="541">
        <f t="shared" si="121"/>
        <v>1.2223416400701901E-2</v>
      </c>
      <c r="AB81" s="360">
        <f t="shared" si="94"/>
        <v>3.0297140474472641</v>
      </c>
      <c r="AC81" s="360">
        <f t="shared" si="95"/>
        <v>5.5075003255795701E-2</v>
      </c>
      <c r="AD81" s="360">
        <f t="shared" si="96"/>
        <v>0.15640519361752797</v>
      </c>
      <c r="AE81" s="360">
        <f t="shared" si="97"/>
        <v>-3.4229250000000003E-2</v>
      </c>
      <c r="AF81" s="360">
        <f t="shared" si="98"/>
        <v>0</v>
      </c>
      <c r="AG81" s="360">
        <f t="shared" si="99"/>
        <v>0.17874731221122736</v>
      </c>
      <c r="AH81" s="360">
        <f t="shared" si="100"/>
        <v>8.5209242761183521</v>
      </c>
      <c r="AI81" s="360">
        <f t="shared" si="101"/>
        <v>0.18151537629835765</v>
      </c>
      <c r="AJ81" s="360">
        <f t="shared" si="102"/>
        <v>3.7255679999999999E-2</v>
      </c>
      <c r="AK81" s="360">
        <f t="shared" si="103"/>
        <v>0.22701230094441391</v>
      </c>
      <c r="AL81" s="360">
        <f t="shared" si="104"/>
        <v>3.7255679999999999E-2</v>
      </c>
      <c r="AM81" s="360">
        <f t="shared" si="105"/>
        <v>0.42767999999999995</v>
      </c>
      <c r="AN81" s="360">
        <f t="shared" si="106"/>
        <v>0.32714127091456935</v>
      </c>
      <c r="AO81" s="360">
        <f t="shared" si="107"/>
        <v>1.5749999999999998E-3</v>
      </c>
      <c r="AP81" s="360">
        <f t="shared" si="108"/>
        <v>0.32669999999999993</v>
      </c>
      <c r="AQ81" s="360">
        <f t="shared" si="109"/>
        <v>0.31218000000000001</v>
      </c>
      <c r="AR81" s="360">
        <f t="shared" si="110"/>
        <v>0.29039999999999999</v>
      </c>
      <c r="AS81" s="360">
        <f t="shared" si="129"/>
        <v>0.32827499999999993</v>
      </c>
      <c r="AT81" s="360">
        <f t="shared" si="122"/>
        <v>2.2855092820804046</v>
      </c>
      <c r="AU81">
        <f t="shared" si="111"/>
        <v>43.2</v>
      </c>
      <c r="AV81" s="542">
        <f t="shared" si="123"/>
        <v>0.94975302424544228</v>
      </c>
      <c r="AW81" s="551">
        <f t="shared" si="112"/>
        <v>17.51861226402664</v>
      </c>
      <c r="AX81" s="551">
        <f t="shared" si="113"/>
        <v>13.989574635887729</v>
      </c>
      <c r="AY81" s="9"/>
      <c r="AZ81" s="4">
        <f t="shared" si="124"/>
        <v>94.975302424544225</v>
      </c>
      <c r="BA81" s="360">
        <f t="shared" si="114"/>
        <v>0.73290286615220801</v>
      </c>
      <c r="BB81" s="360">
        <f t="shared" si="125"/>
        <v>0.83343961315564119</v>
      </c>
      <c r="BC81" s="360">
        <f t="shared" si="126"/>
        <v>0.46101611221122735</v>
      </c>
      <c r="BD81" s="360">
        <f t="shared" si="127"/>
        <v>0.36814670094441393</v>
      </c>
      <c r="BE81" s="360">
        <f t="shared" si="128"/>
        <v>0.32714127091456935</v>
      </c>
      <c r="BK81" s="18"/>
      <c r="BL81" s="19"/>
    </row>
    <row r="82" spans="1:64" ht="13" x14ac:dyDescent="0.3">
      <c r="A82" s="2"/>
      <c r="G82">
        <v>73</v>
      </c>
      <c r="H82" s="548">
        <f t="shared" si="82"/>
        <v>45</v>
      </c>
      <c r="I82" s="4">
        <f t="shared" si="83"/>
        <v>2</v>
      </c>
      <c r="J82" s="360">
        <f t="shared" si="115"/>
        <v>8.76</v>
      </c>
      <c r="K82" s="4">
        <f t="shared" si="84"/>
        <v>1.0814814814814815</v>
      </c>
      <c r="L82" s="4"/>
      <c r="M82" s="360">
        <f t="shared" si="85"/>
        <v>0.11225050462832895</v>
      </c>
      <c r="N82" s="4">
        <f t="shared" si="86"/>
        <v>9.2545531539404386</v>
      </c>
      <c r="O82" s="4">
        <f t="shared" si="116"/>
        <v>13.387276576970219</v>
      </c>
      <c r="P82" s="4">
        <f t="shared" si="117"/>
        <v>4.1327234230297805</v>
      </c>
      <c r="Q82" s="4">
        <f t="shared" si="87"/>
        <v>0</v>
      </c>
      <c r="R82" s="4">
        <f t="shared" si="88"/>
        <v>9.1583202338961929</v>
      </c>
      <c r="S82" s="360">
        <f t="shared" si="89"/>
        <v>0.41937414753296209</v>
      </c>
      <c r="T82" s="360">
        <f t="shared" si="90"/>
        <v>0.3</v>
      </c>
      <c r="U82" s="360">
        <f t="shared" si="91"/>
        <v>0.74434693648969297</v>
      </c>
      <c r="V82" s="4">
        <f t="shared" si="118"/>
        <v>2.6715593773286064</v>
      </c>
      <c r="W82" s="360">
        <f t="shared" si="92"/>
        <v>1.4274459013184823E-2</v>
      </c>
      <c r="X82" s="360">
        <f t="shared" si="119"/>
        <v>1.4274459013184823E-2</v>
      </c>
      <c r="Y82" s="4">
        <f t="shared" si="93"/>
        <v>2.8910472741980899</v>
      </c>
      <c r="Z82" s="360">
        <f t="shared" si="120"/>
        <v>1.2537231512472309E-2</v>
      </c>
      <c r="AA82" s="541">
        <f t="shared" si="121"/>
        <v>1.2537231512472309E-2</v>
      </c>
      <c r="AB82" s="360">
        <f t="shared" si="94"/>
        <v>3.0683858847495133</v>
      </c>
      <c r="AC82" s="360">
        <f t="shared" si="95"/>
        <v>5.6489951626380326E-2</v>
      </c>
      <c r="AD82" s="360">
        <f t="shared" si="96"/>
        <v>0.15857748797332696</v>
      </c>
      <c r="AE82" s="360">
        <f t="shared" si="97"/>
        <v>-3.4229250000000003E-2</v>
      </c>
      <c r="AF82" s="360">
        <f t="shared" si="98"/>
        <v>0</v>
      </c>
      <c r="AG82" s="360">
        <f t="shared" si="99"/>
        <v>0.18240439999096039</v>
      </c>
      <c r="AH82" s="360">
        <f t="shared" si="100"/>
        <v>8.6290113900065268</v>
      </c>
      <c r="AI82" s="360">
        <f t="shared" si="101"/>
        <v>0.18614959392215594</v>
      </c>
      <c r="AJ82" s="360">
        <f t="shared" si="102"/>
        <v>3.777312E-2</v>
      </c>
      <c r="AK82" s="360">
        <f t="shared" si="103"/>
        <v>0.23258171217725923</v>
      </c>
      <c r="AL82" s="360">
        <f t="shared" si="104"/>
        <v>3.777312E-2</v>
      </c>
      <c r="AM82" s="360">
        <f t="shared" si="105"/>
        <v>0.43361999999999984</v>
      </c>
      <c r="AN82" s="360">
        <f t="shared" si="106"/>
        <v>0.33549931802636968</v>
      </c>
      <c r="AO82" s="360">
        <f t="shared" si="107"/>
        <v>1.5749999999999998E-3</v>
      </c>
      <c r="AP82" s="360">
        <f t="shared" si="108"/>
        <v>0.32669999999999993</v>
      </c>
      <c r="AQ82" s="360">
        <f t="shared" si="109"/>
        <v>0.31218000000000001</v>
      </c>
      <c r="AR82" s="360">
        <f t="shared" si="110"/>
        <v>0.29039999999999999</v>
      </c>
      <c r="AS82" s="360">
        <f t="shared" si="129"/>
        <v>0.32827499999999993</v>
      </c>
      <c r="AT82" s="360">
        <f t="shared" si="122"/>
        <v>2.321312177209939</v>
      </c>
      <c r="AU82">
        <f t="shared" si="111"/>
        <v>43.8</v>
      </c>
      <c r="AV82" s="542">
        <f t="shared" si="123"/>
        <v>0.94966942466227189</v>
      </c>
      <c r="AW82" s="551">
        <f t="shared" si="112"/>
        <v>17.806556799656491</v>
      </c>
      <c r="AX82" s="551">
        <f t="shared" si="113"/>
        <v>14.275699862735848</v>
      </c>
      <c r="AY82" s="9"/>
      <c r="AZ82" s="4">
        <f t="shared" si="124"/>
        <v>94.966942466227195</v>
      </c>
      <c r="BA82" s="360">
        <f t="shared" si="114"/>
        <v>0.74434693648969297</v>
      </c>
      <c r="BB82" s="360">
        <f t="shared" si="125"/>
        <v>0.84860611216821946</v>
      </c>
      <c r="BC82" s="360">
        <f t="shared" si="126"/>
        <v>0.46859359999096029</v>
      </c>
      <c r="BD82" s="360">
        <f t="shared" si="127"/>
        <v>0.37567631217725916</v>
      </c>
      <c r="BE82" s="360">
        <f t="shared" si="128"/>
        <v>0.33549931802636968</v>
      </c>
      <c r="BK82" s="18"/>
      <c r="BL82" s="19"/>
    </row>
    <row r="83" spans="1:64" ht="13" x14ac:dyDescent="0.3">
      <c r="A83" s="2"/>
      <c r="G83">
        <v>74</v>
      </c>
      <c r="H83" s="548">
        <f t="shared" si="82"/>
        <v>45</v>
      </c>
      <c r="I83" s="4">
        <f t="shared" si="83"/>
        <v>2</v>
      </c>
      <c r="J83" s="360">
        <f t="shared" si="115"/>
        <v>8.8800000000000008</v>
      </c>
      <c r="K83" s="4">
        <f t="shared" si="84"/>
        <v>1.0962962962962965</v>
      </c>
      <c r="L83" s="4"/>
      <c r="M83" s="360">
        <f t="shared" si="85"/>
        <v>0.11226610598563254</v>
      </c>
      <c r="N83" s="4">
        <f t="shared" si="86"/>
        <v>9.2555332359351752</v>
      </c>
      <c r="O83" s="4">
        <f t="shared" si="116"/>
        <v>13.507766617967588</v>
      </c>
      <c r="P83" s="4">
        <f t="shared" si="117"/>
        <v>4.2522333820324132</v>
      </c>
      <c r="Q83" s="4">
        <f t="shared" si="87"/>
        <v>0</v>
      </c>
      <c r="R83" s="4">
        <f t="shared" si="88"/>
        <v>9.2732486912691527</v>
      </c>
      <c r="S83" s="360">
        <f t="shared" si="89"/>
        <v>0.42996570645062526</v>
      </c>
      <c r="T83" s="360">
        <f t="shared" si="90"/>
        <v>0.3</v>
      </c>
      <c r="U83" s="360">
        <f t="shared" si="91"/>
        <v>0.75596896485284126</v>
      </c>
      <c r="V83" s="4">
        <f t="shared" si="118"/>
        <v>2.6718423026303508</v>
      </c>
      <c r="W83" s="360">
        <f t="shared" si="92"/>
        <v>1.4277482580250111E-2</v>
      </c>
      <c r="X83" s="360">
        <f t="shared" si="119"/>
        <v>1.4277482580250111E-2</v>
      </c>
      <c r="Y83" s="4">
        <f t="shared" si="93"/>
        <v>2.927504945088216</v>
      </c>
      <c r="Z83" s="360">
        <f t="shared" si="120"/>
        <v>1.2855427805273937E-2</v>
      </c>
      <c r="AA83" s="541">
        <f t="shared" si="121"/>
        <v>1.2855427805273937E-2</v>
      </c>
      <c r="AB83" s="360">
        <f t="shared" si="94"/>
        <v>3.107107193856474</v>
      </c>
      <c r="AC83" s="360">
        <f t="shared" si="95"/>
        <v>5.7924690684687918E-2</v>
      </c>
      <c r="AD83" s="360">
        <f t="shared" si="96"/>
        <v>0.16074978232912596</v>
      </c>
      <c r="AE83" s="360">
        <f t="shared" si="97"/>
        <v>-3.4229250000000003E-2</v>
      </c>
      <c r="AF83" s="360">
        <f t="shared" si="98"/>
        <v>0</v>
      </c>
      <c r="AG83" s="360">
        <f t="shared" si="99"/>
        <v>0.18608360598215101</v>
      </c>
      <c r="AH83" s="360">
        <f t="shared" si="100"/>
        <v>8.73722073522298</v>
      </c>
      <c r="AI83" s="360">
        <f t="shared" si="101"/>
        <v>0.19084756544002598</v>
      </c>
      <c r="AJ83" s="360">
        <f t="shared" si="102"/>
        <v>3.8290560000000001E-2</v>
      </c>
      <c r="AK83" s="360">
        <f t="shared" si="103"/>
        <v>0.23823129809046237</v>
      </c>
      <c r="AL83" s="360">
        <f t="shared" si="104"/>
        <v>3.8290560000000001E-2</v>
      </c>
      <c r="AM83" s="360">
        <f t="shared" si="105"/>
        <v>0.43956000000000001</v>
      </c>
      <c r="AN83" s="360">
        <f t="shared" si="106"/>
        <v>0.34397256516050023</v>
      </c>
      <c r="AO83" s="360">
        <f t="shared" si="107"/>
        <v>1.5749999999999998E-3</v>
      </c>
      <c r="AP83" s="360">
        <f t="shared" si="108"/>
        <v>0.32669999999999993</v>
      </c>
      <c r="AQ83" s="360">
        <f t="shared" si="109"/>
        <v>0.31218000000000001</v>
      </c>
      <c r="AR83" s="360">
        <f t="shared" si="110"/>
        <v>0.29039999999999999</v>
      </c>
      <c r="AS83" s="360">
        <f t="shared" si="129"/>
        <v>0.32827499999999993</v>
      </c>
      <c r="AT83" s="360">
        <f t="shared" si="122"/>
        <v>2.3575149044714787</v>
      </c>
      <c r="AU83">
        <f t="shared" si="111"/>
        <v>44.400000000000006</v>
      </c>
      <c r="AV83" s="542">
        <f t="shared" si="123"/>
        <v>0.94957997854915877</v>
      </c>
      <c r="AW83" s="551">
        <f t="shared" si="112"/>
        <v>18.095341827321739</v>
      </c>
      <c r="AX83" s="551">
        <f t="shared" si="113"/>
        <v>14.56487172743757</v>
      </c>
      <c r="AY83" s="9"/>
      <c r="AZ83" s="4">
        <f t="shared" si="124"/>
        <v>94.957997854915874</v>
      </c>
      <c r="BA83" s="360">
        <f t="shared" si="114"/>
        <v>0.75596896485284126</v>
      </c>
      <c r="BB83" s="360">
        <f t="shared" si="125"/>
        <v>0.86387490407261347</v>
      </c>
      <c r="BC83" s="360">
        <f t="shared" si="126"/>
        <v>0.47619320598215104</v>
      </c>
      <c r="BD83" s="360">
        <f t="shared" si="127"/>
        <v>0.38328609809046238</v>
      </c>
      <c r="BE83" s="360">
        <f t="shared" si="128"/>
        <v>0.34397256516050023</v>
      </c>
      <c r="BK83" s="18"/>
      <c r="BL83" s="19"/>
    </row>
    <row r="84" spans="1:64" x14ac:dyDescent="0.25">
      <c r="G84">
        <v>75</v>
      </c>
      <c r="H84" s="548">
        <f t="shared" si="82"/>
        <v>45</v>
      </c>
      <c r="I84" s="4">
        <f t="shared" si="83"/>
        <v>2</v>
      </c>
      <c r="J84" s="360">
        <f t="shared" si="115"/>
        <v>9</v>
      </c>
      <c r="K84" s="4">
        <f t="shared" si="84"/>
        <v>1.1111111111111112</v>
      </c>
      <c r="L84" s="4"/>
      <c r="M84" s="360">
        <f t="shared" si="85"/>
        <v>0.11228170715996073</v>
      </c>
      <c r="N84" s="4">
        <f t="shared" si="86"/>
        <v>9.2565132177470932</v>
      </c>
      <c r="O84" s="4">
        <f t="shared" si="116"/>
        <v>13.628256608873546</v>
      </c>
      <c r="P84" s="4">
        <f t="shared" si="117"/>
        <v>4.3717433911264534</v>
      </c>
      <c r="Q84" s="4">
        <f t="shared" si="87"/>
        <v>0</v>
      </c>
      <c r="R84" s="4">
        <f t="shared" si="88"/>
        <v>9.3883040576663195</v>
      </c>
      <c r="S84" s="360">
        <f t="shared" si="89"/>
        <v>0.44070126539596943</v>
      </c>
      <c r="T84" s="360">
        <f t="shared" si="90"/>
        <v>0.3</v>
      </c>
      <c r="U84" s="360">
        <f t="shared" si="91"/>
        <v>0.76776983647330066</v>
      </c>
      <c r="V84" s="4">
        <f t="shared" si="118"/>
        <v>2.6721251990118069</v>
      </c>
      <c r="W84" s="360">
        <f t="shared" si="92"/>
        <v>1.4280506158387777E-2</v>
      </c>
      <c r="X84" s="360">
        <f t="shared" si="119"/>
        <v>1.4280506158387777E-2</v>
      </c>
      <c r="Y84" s="4">
        <f t="shared" si="93"/>
        <v>2.9640070671404</v>
      </c>
      <c r="Z84" s="360">
        <f t="shared" si="120"/>
        <v>1.3178006841087353E-2</v>
      </c>
      <c r="AA84" s="541">
        <f t="shared" si="121"/>
        <v>1.3178006841087353E-2</v>
      </c>
      <c r="AB84" s="360">
        <f t="shared" si="94"/>
        <v>3.1458763620401351</v>
      </c>
      <c r="AC84" s="360">
        <f t="shared" si="95"/>
        <v>5.9379228511457251E-2</v>
      </c>
      <c r="AD84" s="360">
        <f t="shared" si="96"/>
        <v>0.16292207668492495</v>
      </c>
      <c r="AE84" s="360">
        <f t="shared" si="97"/>
        <v>-3.4229250000000003E-2</v>
      </c>
      <c r="AF84" s="360">
        <f t="shared" si="98"/>
        <v>0</v>
      </c>
      <c r="AG84" s="360">
        <f t="shared" si="99"/>
        <v>0.18978498668240545</v>
      </c>
      <c r="AH84" s="360">
        <f t="shared" si="100"/>
        <v>8.8455477497976904</v>
      </c>
      <c r="AI84" s="360">
        <f t="shared" si="101"/>
        <v>0.19560928748487746</v>
      </c>
      <c r="AJ84" s="360">
        <f t="shared" si="102"/>
        <v>3.8807999999999995E-2</v>
      </c>
      <c r="AK84" s="360">
        <f t="shared" si="103"/>
        <v>0.24396151511391007</v>
      </c>
      <c r="AL84" s="360">
        <f t="shared" si="104"/>
        <v>3.8807999999999995E-2</v>
      </c>
      <c r="AM84" s="360">
        <f t="shared" si="105"/>
        <v>0.44549999999999995</v>
      </c>
      <c r="AN84" s="360">
        <f t="shared" si="106"/>
        <v>0.35256101231677556</v>
      </c>
      <c r="AO84" s="360">
        <f t="shared" si="107"/>
        <v>1.5749999999999998E-3</v>
      </c>
      <c r="AP84" s="360">
        <f t="shared" si="108"/>
        <v>0.32669999999999993</v>
      </c>
      <c r="AQ84" s="360">
        <f t="shared" si="109"/>
        <v>0.31218000000000001</v>
      </c>
      <c r="AR84" s="360">
        <f t="shared" si="110"/>
        <v>0.29039999999999999</v>
      </c>
      <c r="AS84" s="360">
        <f t="shared" si="129"/>
        <v>0.32827499999999993</v>
      </c>
      <c r="AT84" s="360">
        <f t="shared" si="122"/>
        <v>2.394118863585867</v>
      </c>
      <c r="AU84">
        <f t="shared" si="111"/>
        <v>45</v>
      </c>
      <c r="AV84" s="542">
        <f t="shared" si="123"/>
        <v>0.94948489557371363</v>
      </c>
      <c r="AW84" s="551">
        <f t="shared" si="112"/>
        <v>18.384969493931404</v>
      </c>
      <c r="AX84" s="551">
        <f t="shared" si="113"/>
        <v>14.857107574328582</v>
      </c>
      <c r="AY84" s="9"/>
      <c r="AZ84" s="4">
        <f t="shared" si="124"/>
        <v>94.94848955737136</v>
      </c>
      <c r="BA84" s="360">
        <f t="shared" si="114"/>
        <v>0.76776983647330066</v>
      </c>
      <c r="BB84" s="360">
        <f t="shared" si="125"/>
        <v>0.87924650179631547</v>
      </c>
      <c r="BC84" s="360">
        <f t="shared" si="126"/>
        <v>0.48381498668240541</v>
      </c>
      <c r="BD84" s="360">
        <f t="shared" si="127"/>
        <v>0.39097651511391007</v>
      </c>
      <c r="BE84" s="360">
        <f t="shared" si="128"/>
        <v>0.35256101231677556</v>
      </c>
      <c r="BK84" s="18"/>
      <c r="BL84" s="19"/>
    </row>
    <row r="85" spans="1:64" x14ac:dyDescent="0.25">
      <c r="G85">
        <v>76</v>
      </c>
      <c r="H85" s="548">
        <f t="shared" si="82"/>
        <v>45</v>
      </c>
      <c r="I85" s="4">
        <f t="shared" si="83"/>
        <v>2</v>
      </c>
      <c r="J85" s="360">
        <f t="shared" si="115"/>
        <v>9.1199999999999992</v>
      </c>
      <c r="K85" s="4">
        <f t="shared" si="84"/>
        <v>1.1259259259259258</v>
      </c>
      <c r="L85" s="4"/>
      <c r="M85" s="360">
        <f t="shared" si="85"/>
        <v>0.11229730815131672</v>
      </c>
      <c r="N85" s="4">
        <f t="shared" si="86"/>
        <v>9.2574930993779496</v>
      </c>
      <c r="O85" s="4">
        <f t="shared" si="116"/>
        <v>13.748746549688974</v>
      </c>
      <c r="P85" s="4">
        <f t="shared" si="117"/>
        <v>4.4912534503110244</v>
      </c>
      <c r="Q85" s="4">
        <f t="shared" si="87"/>
        <v>0</v>
      </c>
      <c r="R85" s="4">
        <f t="shared" si="88"/>
        <v>9.5034817237553799</v>
      </c>
      <c r="S85" s="360">
        <f t="shared" si="89"/>
        <v>0.45158082436876262</v>
      </c>
      <c r="T85" s="360">
        <f t="shared" si="90"/>
        <v>0.3</v>
      </c>
      <c r="U85" s="360">
        <f t="shared" si="91"/>
        <v>0.77975045254161524</v>
      </c>
      <c r="V85" s="4">
        <f t="shared" si="118"/>
        <v>2.6724080664734813</v>
      </c>
      <c r="W85" s="360">
        <f t="shared" si="92"/>
        <v>1.4283529747505063E-2</v>
      </c>
      <c r="X85" s="360">
        <f t="shared" si="119"/>
        <v>1.4283529747505063E-2</v>
      </c>
      <c r="Y85" s="4">
        <f t="shared" si="93"/>
        <v>3.0005521915952289</v>
      </c>
      <c r="Z85" s="360">
        <f t="shared" si="120"/>
        <v>1.3504970181730398E-2</v>
      </c>
      <c r="AA85" s="541">
        <f t="shared" si="121"/>
        <v>1.3504970181730398E-2</v>
      </c>
      <c r="AB85" s="360">
        <f t="shared" si="94"/>
        <v>3.184691852891409</v>
      </c>
      <c r="AC85" s="360">
        <f t="shared" si="95"/>
        <v>6.085357318723749E-2</v>
      </c>
      <c r="AD85" s="360">
        <f t="shared" si="96"/>
        <v>0.16509437104072397</v>
      </c>
      <c r="AE85" s="360">
        <f t="shared" si="97"/>
        <v>-3.4229250000000003E-2</v>
      </c>
      <c r="AF85" s="360">
        <f t="shared" si="98"/>
        <v>0</v>
      </c>
      <c r="AG85" s="360">
        <f t="shared" si="99"/>
        <v>0.19350859906165591</v>
      </c>
      <c r="AH85" s="360">
        <f t="shared" si="100"/>
        <v>8.9539880877673497</v>
      </c>
      <c r="AI85" s="360">
        <f t="shared" si="101"/>
        <v>0.20043475668969901</v>
      </c>
      <c r="AJ85" s="360">
        <f t="shared" si="102"/>
        <v>3.9325439999999996E-2</v>
      </c>
      <c r="AK85" s="360">
        <f t="shared" si="103"/>
        <v>0.24977282788673413</v>
      </c>
      <c r="AL85" s="360">
        <f t="shared" si="104"/>
        <v>3.9325439999999996E-2</v>
      </c>
      <c r="AM85" s="360">
        <f t="shared" si="105"/>
        <v>0.4514399999999999</v>
      </c>
      <c r="AN85" s="360">
        <f t="shared" si="106"/>
        <v>0.36126465949501013</v>
      </c>
      <c r="AO85" s="360">
        <f t="shared" si="107"/>
        <v>1.5749999999999998E-3</v>
      </c>
      <c r="AP85" s="360">
        <f t="shared" si="108"/>
        <v>0.32669999999999993</v>
      </c>
      <c r="AQ85" s="360">
        <f t="shared" si="109"/>
        <v>0.31218000000000001</v>
      </c>
      <c r="AR85" s="360">
        <f t="shared" si="110"/>
        <v>0.29039999999999999</v>
      </c>
      <c r="AS85" s="360">
        <f t="shared" si="129"/>
        <v>0.32827499999999993</v>
      </c>
      <c r="AT85" s="360">
        <f t="shared" si="122"/>
        <v>2.4311254789142507</v>
      </c>
      <c r="AU85">
        <f t="shared" si="111"/>
        <v>45.599999999999994</v>
      </c>
      <c r="AV85" s="542">
        <f t="shared" si="123"/>
        <v>0.94938437409755216</v>
      </c>
      <c r="AW85" s="551">
        <f t="shared" si="112"/>
        <v>18.675441964342923</v>
      </c>
      <c r="AX85" s="551">
        <f t="shared" si="113"/>
        <v>15.152425059695897</v>
      </c>
      <c r="AY85" s="9"/>
      <c r="AZ85" s="4">
        <f t="shared" si="124"/>
        <v>94.93843740975521</v>
      </c>
      <c r="BA85" s="360">
        <f t="shared" si="114"/>
        <v>0.77975045254161524</v>
      </c>
      <c r="BB85" s="360">
        <f t="shared" si="125"/>
        <v>0.89472142694838985</v>
      </c>
      <c r="BC85" s="360">
        <f t="shared" si="126"/>
        <v>0.49145899906165585</v>
      </c>
      <c r="BD85" s="360">
        <f t="shared" si="127"/>
        <v>0.39874802788673414</v>
      </c>
      <c r="BE85" s="360">
        <f t="shared" si="128"/>
        <v>0.36126465949501013</v>
      </c>
      <c r="BK85" s="18"/>
      <c r="BL85" s="19"/>
    </row>
    <row r="86" spans="1:64" x14ac:dyDescent="0.25">
      <c r="G86">
        <v>77</v>
      </c>
      <c r="H86" s="548">
        <f t="shared" si="82"/>
        <v>45</v>
      </c>
      <c r="I86" s="4">
        <f t="shared" si="83"/>
        <v>2</v>
      </c>
      <c r="J86" s="360">
        <f t="shared" si="115"/>
        <v>9.24</v>
      </c>
      <c r="K86" s="4">
        <f t="shared" si="84"/>
        <v>1.1407407407407408</v>
      </c>
      <c r="L86" s="4"/>
      <c r="M86" s="360">
        <f t="shared" si="85"/>
        <v>0.11231290895970372</v>
      </c>
      <c r="N86" s="4">
        <f t="shared" si="86"/>
        <v>9.2584728808295118</v>
      </c>
      <c r="O86" s="4">
        <f t="shared" si="116"/>
        <v>13.869236440414756</v>
      </c>
      <c r="P86" s="4">
        <f t="shared" si="117"/>
        <v>4.6107635595852443</v>
      </c>
      <c r="Q86" s="4">
        <f t="shared" si="87"/>
        <v>0</v>
      </c>
      <c r="R86" s="4">
        <f t="shared" si="88"/>
        <v>9.6187772961928282</v>
      </c>
      <c r="S86" s="360">
        <f t="shared" si="89"/>
        <v>0.46260438336877308</v>
      </c>
      <c r="T86" s="360">
        <f t="shared" si="90"/>
        <v>0.3</v>
      </c>
      <c r="U86" s="360">
        <f t="shared" si="91"/>
        <v>0.79191173038619733</v>
      </c>
      <c r="V86" s="4">
        <f t="shared" si="118"/>
        <v>2.6726909050158842</v>
      </c>
      <c r="W86" s="360">
        <f t="shared" si="92"/>
        <v>1.4286553347509253E-2</v>
      </c>
      <c r="X86" s="360">
        <f t="shared" si="119"/>
        <v>1.4286553347509253E-2</v>
      </c>
      <c r="Y86" s="4">
        <f t="shared" si="93"/>
        <v>3.0371389375373448</v>
      </c>
      <c r="Z86" s="360">
        <f t="shared" si="120"/>
        <v>1.3836319388858207E-2</v>
      </c>
      <c r="AA86" s="541">
        <f t="shared" si="121"/>
        <v>1.3836319388858207E-2</v>
      </c>
      <c r="AB86" s="360">
        <f t="shared" si="94"/>
        <v>3.2235522019553797</v>
      </c>
      <c r="AC86" s="360">
        <f t="shared" si="95"/>
        <v>6.2347732792388262E-2</v>
      </c>
      <c r="AD86" s="360">
        <f t="shared" si="96"/>
        <v>0.16726666539652296</v>
      </c>
      <c r="AE86" s="360">
        <f t="shared" si="97"/>
        <v>-3.4229250000000003E-2</v>
      </c>
      <c r="AF86" s="360">
        <f t="shared" si="98"/>
        <v>0</v>
      </c>
      <c r="AG86" s="360">
        <f t="shared" si="99"/>
        <v>0.19725450056469335</v>
      </c>
      <c r="AH86" s="360">
        <f t="shared" si="100"/>
        <v>9.0625376068198058</v>
      </c>
      <c r="AI86" s="360">
        <f t="shared" si="101"/>
        <v>0.20532396968755812</v>
      </c>
      <c r="AJ86" s="360">
        <f t="shared" si="102"/>
        <v>3.9842879999999997E-2</v>
      </c>
      <c r="AK86" s="360">
        <f t="shared" si="103"/>
        <v>0.2556657093592849</v>
      </c>
      <c r="AL86" s="360">
        <f t="shared" si="104"/>
        <v>3.9842879999999997E-2</v>
      </c>
      <c r="AM86" s="360">
        <f t="shared" si="105"/>
        <v>0.45737999999999995</v>
      </c>
      <c r="AN86" s="360">
        <f t="shared" si="106"/>
        <v>0.37008350669501844</v>
      </c>
      <c r="AO86" s="360">
        <f t="shared" si="107"/>
        <v>1.5749999999999998E-3</v>
      </c>
      <c r="AP86" s="360">
        <f t="shared" si="108"/>
        <v>0.32669999999999993</v>
      </c>
      <c r="AQ86" s="360">
        <f t="shared" si="109"/>
        <v>0.31218000000000001</v>
      </c>
      <c r="AR86" s="360">
        <f t="shared" si="110"/>
        <v>0.29039999999999999</v>
      </c>
      <c r="AS86" s="360">
        <f t="shared" si="129"/>
        <v>0.32827499999999993</v>
      </c>
      <c r="AT86" s="360">
        <f t="shared" si="122"/>
        <v>2.4685361997415614</v>
      </c>
      <c r="AU86">
        <f t="shared" si="111"/>
        <v>46.2</v>
      </c>
      <c r="AV86" s="542">
        <f t="shared" si="123"/>
        <v>0.94927860189568081</v>
      </c>
      <c r="AW86" s="551">
        <f t="shared" si="112"/>
        <v>18.966761421458347</v>
      </c>
      <c r="AX86" s="551">
        <f t="shared" si="113"/>
        <v>15.450842155652825</v>
      </c>
      <c r="AY86" s="9"/>
      <c r="AZ86" s="4">
        <f t="shared" si="124"/>
        <v>94.927860189568079</v>
      </c>
      <c r="BA86" s="360">
        <f t="shared" si="114"/>
        <v>0.79191173038619733</v>
      </c>
      <c r="BB86" s="360">
        <f t="shared" si="125"/>
        <v>0.9103002099239782</v>
      </c>
      <c r="BC86" s="360">
        <f t="shared" si="126"/>
        <v>0.49912530056469334</v>
      </c>
      <c r="BD86" s="360">
        <f t="shared" si="127"/>
        <v>0.4066011093592849</v>
      </c>
      <c r="BE86" s="360">
        <f t="shared" si="128"/>
        <v>0.37008350669501844</v>
      </c>
      <c r="BK86" s="18"/>
      <c r="BL86" s="19"/>
    </row>
    <row r="87" spans="1:64" x14ac:dyDescent="0.25">
      <c r="G87">
        <v>78</v>
      </c>
      <c r="H87" s="548">
        <f t="shared" si="82"/>
        <v>45</v>
      </c>
      <c r="I87" s="4">
        <f t="shared" si="83"/>
        <v>2</v>
      </c>
      <c r="J87" s="360">
        <f t="shared" si="115"/>
        <v>9.36</v>
      </c>
      <c r="K87" s="4">
        <f t="shared" si="84"/>
        <v>1.1555555555555554</v>
      </c>
      <c r="L87" s="4"/>
      <c r="M87" s="360">
        <f t="shared" si="85"/>
        <v>0.11232850958512494</v>
      </c>
      <c r="N87" s="4">
        <f t="shared" si="86"/>
        <v>9.2594525621035384</v>
      </c>
      <c r="O87" s="4">
        <f t="shared" si="116"/>
        <v>13.98972628105177</v>
      </c>
      <c r="P87" s="4">
        <f t="shared" si="117"/>
        <v>4.7302737189482302</v>
      </c>
      <c r="Q87" s="4">
        <f t="shared" si="87"/>
        <v>0</v>
      </c>
      <c r="R87" s="4">
        <f t="shared" si="88"/>
        <v>9.7341865853883132</v>
      </c>
      <c r="S87" s="360">
        <f t="shared" si="89"/>
        <v>0.47377194239576897</v>
      </c>
      <c r="T87" s="360">
        <f t="shared" si="90"/>
        <v>0.3</v>
      </c>
      <c r="U87" s="360">
        <f t="shared" si="91"/>
        <v>0.80425460365616253</v>
      </c>
      <c r="V87" s="4">
        <f t="shared" si="118"/>
        <v>2.6729737146395243</v>
      </c>
      <c r="W87" s="360">
        <f t="shared" si="92"/>
        <v>1.4289576958307635E-2</v>
      </c>
      <c r="X87" s="360">
        <f t="shared" si="119"/>
        <v>1.4289576958307635E-2</v>
      </c>
      <c r="Y87" s="4">
        <f t="shared" si="93"/>
        <v>3.0737659880525765</v>
      </c>
      <c r="Z87" s="360">
        <f t="shared" si="120"/>
        <v>1.4172056023963249E-2</v>
      </c>
      <c r="AA87" s="541">
        <f t="shared" si="121"/>
        <v>1.4172056023963249E-2</v>
      </c>
      <c r="AB87" s="360">
        <f t="shared" si="94"/>
        <v>3.2624560126556923</v>
      </c>
      <c r="AC87" s="360">
        <f t="shared" si="95"/>
        <v>6.3861715407079675E-2</v>
      </c>
      <c r="AD87" s="360">
        <f t="shared" si="96"/>
        <v>0.16943895975232195</v>
      </c>
      <c r="AE87" s="360">
        <f t="shared" si="97"/>
        <v>-3.4229250000000003E-2</v>
      </c>
      <c r="AF87" s="360">
        <f t="shared" si="98"/>
        <v>0</v>
      </c>
      <c r="AG87" s="360">
        <f t="shared" si="99"/>
        <v>0.20102274911372758</v>
      </c>
      <c r="AH87" s="360">
        <f t="shared" si="100"/>
        <v>9.1711923567571354</v>
      </c>
      <c r="AI87" s="360">
        <f t="shared" si="101"/>
        <v>0.21027692311160123</v>
      </c>
      <c r="AJ87" s="360">
        <f t="shared" si="102"/>
        <v>4.0360319999999998E-2</v>
      </c>
      <c r="AK87" s="360">
        <f t="shared" si="103"/>
        <v>0.26164064089737055</v>
      </c>
      <c r="AL87" s="360">
        <f t="shared" si="104"/>
        <v>4.0360319999999998E-2</v>
      </c>
      <c r="AM87" s="360">
        <f t="shared" si="105"/>
        <v>0.46331999999999995</v>
      </c>
      <c r="AN87" s="360">
        <f t="shared" si="106"/>
        <v>0.37901755391661518</v>
      </c>
      <c r="AO87" s="360">
        <f t="shared" si="107"/>
        <v>1.5749999999999998E-3</v>
      </c>
      <c r="AP87" s="360">
        <f t="shared" si="108"/>
        <v>0.32669999999999993</v>
      </c>
      <c r="AQ87" s="360">
        <f t="shared" si="109"/>
        <v>0.31218000000000001</v>
      </c>
      <c r="AR87" s="360">
        <f t="shared" si="110"/>
        <v>0.29039999999999999</v>
      </c>
      <c r="AS87" s="360">
        <f t="shared" si="129"/>
        <v>0.32827499999999993</v>
      </c>
      <c r="AT87" s="360">
        <f t="shared" si="122"/>
        <v>2.5063525005661464</v>
      </c>
      <c r="AU87">
        <f t="shared" si="111"/>
        <v>46.8</v>
      </c>
      <c r="AV87" s="542">
        <f t="shared" si="123"/>
        <v>0.94916775682124599</v>
      </c>
      <c r="AW87" s="551">
        <f t="shared" si="112"/>
        <v>19.258930066321646</v>
      </c>
      <c r="AX87" s="551">
        <f t="shared" si="113"/>
        <v>15.752377154100079</v>
      </c>
      <c r="AY87" s="9"/>
      <c r="AZ87" s="4">
        <f t="shared" si="124"/>
        <v>94.916775682124594</v>
      </c>
      <c r="BA87" s="360">
        <f t="shared" si="114"/>
        <v>0.80425460365616253</v>
      </c>
      <c r="BB87" s="360">
        <f t="shared" si="125"/>
        <v>0.92598339001109808</v>
      </c>
      <c r="BC87" s="360">
        <f t="shared" si="126"/>
        <v>0.50681394911372757</v>
      </c>
      <c r="BD87" s="360">
        <f t="shared" si="127"/>
        <v>0.41453624089737051</v>
      </c>
      <c r="BE87" s="360">
        <f t="shared" si="128"/>
        <v>0.37901755391661518</v>
      </c>
      <c r="BK87" s="18"/>
      <c r="BL87" s="19"/>
    </row>
    <row r="88" spans="1:64" x14ac:dyDescent="0.25">
      <c r="G88">
        <v>79</v>
      </c>
      <c r="H88" s="548">
        <f t="shared" si="82"/>
        <v>45</v>
      </c>
      <c r="I88" s="4">
        <f t="shared" si="83"/>
        <v>2</v>
      </c>
      <c r="J88" s="360">
        <f t="shared" si="115"/>
        <v>9.48</v>
      </c>
      <c r="K88" s="4">
        <f t="shared" si="84"/>
        <v>1.1703703703703705</v>
      </c>
      <c r="L88" s="4"/>
      <c r="M88" s="360">
        <f t="shared" si="85"/>
        <v>0.11234411002758365</v>
      </c>
      <c r="N88" s="4">
        <f t="shared" si="86"/>
        <v>9.2604321432017951</v>
      </c>
      <c r="O88" s="4">
        <f t="shared" si="116"/>
        <v>14.110216071600899</v>
      </c>
      <c r="P88" s="4">
        <f t="shared" si="117"/>
        <v>4.8497839283991029</v>
      </c>
      <c r="Q88" s="4">
        <f t="shared" si="87"/>
        <v>0</v>
      </c>
      <c r="R88" s="4">
        <f t="shared" si="88"/>
        <v>9.8497055940725335</v>
      </c>
      <c r="S88" s="360">
        <f t="shared" si="89"/>
        <v>0.48508350144951884</v>
      </c>
      <c r="T88" s="360">
        <f t="shared" si="90"/>
        <v>0.3</v>
      </c>
      <c r="U88" s="360">
        <f t="shared" si="91"/>
        <v>0.81678002250809845</v>
      </c>
      <c r="V88" s="4">
        <f t="shared" si="118"/>
        <v>2.6732564953449098</v>
      </c>
      <c r="W88" s="360">
        <f t="shared" si="92"/>
        <v>1.42926005798075E-2</v>
      </c>
      <c r="X88" s="360">
        <f t="shared" si="119"/>
        <v>1.42926005798075E-2</v>
      </c>
      <c r="Y88" s="4">
        <f t="shared" si="93"/>
        <v>3.1104320866374082</v>
      </c>
      <c r="Z88" s="360">
        <f t="shared" si="120"/>
        <v>1.4512181648375313E-2</v>
      </c>
      <c r="AA88" s="541">
        <f t="shared" si="121"/>
        <v>1.4512181648375313E-2</v>
      </c>
      <c r="AB88" s="360">
        <f t="shared" si="94"/>
        <v>3.3014019524865579</v>
      </c>
      <c r="AC88" s="360">
        <f t="shared" si="95"/>
        <v>6.5395529111292344E-2</v>
      </c>
      <c r="AD88" s="360">
        <f t="shared" si="96"/>
        <v>0.17161125410812095</v>
      </c>
      <c r="AE88" s="360">
        <f t="shared" si="97"/>
        <v>-3.4229250000000003E-2</v>
      </c>
      <c r="AF88" s="360">
        <f t="shared" si="98"/>
        <v>0</v>
      </c>
      <c r="AG88" s="360">
        <f t="shared" si="99"/>
        <v>0.20481340311097332</v>
      </c>
      <c r="AH88" s="360">
        <f t="shared" si="100"/>
        <v>9.2799485687164065</v>
      </c>
      <c r="AI88" s="360">
        <f t="shared" si="101"/>
        <v>0.2152936135950542</v>
      </c>
      <c r="AJ88" s="360">
        <f t="shared" si="102"/>
        <v>4.0877759999999999E-2</v>
      </c>
      <c r="AK88" s="360">
        <f t="shared" si="103"/>
        <v>0.26769811238880642</v>
      </c>
      <c r="AL88" s="360">
        <f t="shared" si="104"/>
        <v>4.0877759999999999E-2</v>
      </c>
      <c r="AM88" s="360">
        <f t="shared" si="105"/>
        <v>0.4692599999999999</v>
      </c>
      <c r="AN88" s="360">
        <f t="shared" si="106"/>
        <v>0.38806680115961506</v>
      </c>
      <c r="AO88" s="360">
        <f t="shared" si="107"/>
        <v>1.5749999999999998E-3</v>
      </c>
      <c r="AP88" s="360">
        <f t="shared" si="108"/>
        <v>0.32669999999999993</v>
      </c>
      <c r="AQ88" s="360">
        <f t="shared" si="109"/>
        <v>0.31218000000000001</v>
      </c>
      <c r="AR88" s="360">
        <f t="shared" si="110"/>
        <v>0.29039999999999999</v>
      </c>
      <c r="AS88" s="360">
        <f t="shared" si="129"/>
        <v>0.32827499999999993</v>
      </c>
      <c r="AT88" s="360">
        <f t="shared" si="122"/>
        <v>2.544575881395676</v>
      </c>
      <c r="AU88">
        <f t="shared" si="111"/>
        <v>47.400000000000006</v>
      </c>
      <c r="AV88" s="542">
        <f t="shared" si="123"/>
        <v>0.94905200742041884</v>
      </c>
      <c r="AW88" s="551">
        <f t="shared" si="112"/>
        <v>19.551950118216983</v>
      </c>
      <c r="AX88" s="551">
        <f t="shared" si="113"/>
        <v>16.057048670774645</v>
      </c>
      <c r="AY88" s="9"/>
      <c r="AZ88" s="4">
        <f t="shared" si="124"/>
        <v>94.905200742041885</v>
      </c>
      <c r="BA88" s="360">
        <f t="shared" si="114"/>
        <v>0.81678002250809845</v>
      </c>
      <c r="BB88" s="360">
        <f t="shared" si="125"/>
        <v>0.94177151549977967</v>
      </c>
      <c r="BC88" s="360">
        <f t="shared" si="126"/>
        <v>0.51452500311097327</v>
      </c>
      <c r="BD88" s="360">
        <f t="shared" si="127"/>
        <v>0.42255391238880641</v>
      </c>
      <c r="BE88" s="360">
        <f t="shared" si="128"/>
        <v>0.38806680115961506</v>
      </c>
      <c r="BK88" s="18"/>
      <c r="BL88" s="19"/>
    </row>
    <row r="89" spans="1:64" x14ac:dyDescent="0.25">
      <c r="G89">
        <v>80</v>
      </c>
      <c r="H89" s="548">
        <f t="shared" si="82"/>
        <v>45</v>
      </c>
      <c r="I89" s="4">
        <f t="shared" si="83"/>
        <v>2</v>
      </c>
      <c r="J89" s="360">
        <f t="shared" si="115"/>
        <v>9.6</v>
      </c>
      <c r="K89" s="4">
        <f t="shared" si="84"/>
        <v>1.1851851851851851</v>
      </c>
      <c r="L89" s="4"/>
      <c r="M89" s="360">
        <f t="shared" si="85"/>
        <v>0.11235971028708303</v>
      </c>
      <c r="N89" s="4">
        <f t="shared" si="86"/>
        <v>9.2614116241260422</v>
      </c>
      <c r="O89" s="4">
        <f t="shared" si="116"/>
        <v>14.230705812063022</v>
      </c>
      <c r="P89" s="4">
        <f t="shared" si="117"/>
        <v>4.9692941879369785</v>
      </c>
      <c r="Q89" s="4">
        <f t="shared" si="87"/>
        <v>0</v>
      </c>
      <c r="R89" s="4">
        <f t="shared" si="88"/>
        <v>9.9653305066093054</v>
      </c>
      <c r="S89" s="360">
        <f t="shared" si="89"/>
        <v>0.49653906052979041</v>
      </c>
      <c r="T89" s="360">
        <f t="shared" si="90"/>
        <v>0.3</v>
      </c>
      <c r="U89" s="360">
        <f t="shared" si="91"/>
        <v>0.82948895379684018</v>
      </c>
      <c r="V89" s="4">
        <f t="shared" si="118"/>
        <v>2.6735392471325499</v>
      </c>
      <c r="W89" s="360">
        <f t="shared" si="92"/>
        <v>1.4295624211916163E-2</v>
      </c>
      <c r="X89" s="360">
        <f t="shared" si="119"/>
        <v>1.4295624211916163E-2</v>
      </c>
      <c r="Y89" s="4">
        <f t="shared" si="93"/>
        <v>3.1471360338421421</v>
      </c>
      <c r="Z89" s="360">
        <f t="shared" si="120"/>
        <v>1.4856697823261473E-2</v>
      </c>
      <c r="AA89" s="541">
        <f t="shared" si="121"/>
        <v>1.4856697823261473E-2</v>
      </c>
      <c r="AB89" s="360">
        <f t="shared" si="94"/>
        <v>3.340388749452603</v>
      </c>
      <c r="AC89" s="360">
        <f t="shared" si="95"/>
        <v>6.6949181984817141E-2</v>
      </c>
      <c r="AD89" s="360">
        <f t="shared" si="96"/>
        <v>0.17378354846391997</v>
      </c>
      <c r="AE89" s="360">
        <f t="shared" si="97"/>
        <v>-3.4229250000000003E-2</v>
      </c>
      <c r="AF89" s="360">
        <f t="shared" si="98"/>
        <v>0</v>
      </c>
      <c r="AG89" s="360">
        <f t="shared" si="99"/>
        <v>0.20862652144126337</v>
      </c>
      <c r="AH89" s="360">
        <f t="shared" si="100"/>
        <v>9.388802645092106</v>
      </c>
      <c r="AI89" s="360">
        <f t="shared" si="101"/>
        <v>0.22037403777122133</v>
      </c>
      <c r="AJ89" s="360">
        <f t="shared" si="102"/>
        <v>4.13952E-2</v>
      </c>
      <c r="AK89" s="360">
        <f t="shared" si="103"/>
        <v>0.27383862235231921</v>
      </c>
      <c r="AL89" s="360">
        <f t="shared" si="104"/>
        <v>4.13952E-2</v>
      </c>
      <c r="AM89" s="360">
        <f t="shared" si="105"/>
        <v>0.47520000000000001</v>
      </c>
      <c r="AN89" s="360">
        <f t="shared" si="106"/>
        <v>0.39723124842383234</v>
      </c>
      <c r="AO89" s="360">
        <f t="shared" si="107"/>
        <v>1.5749999999999998E-3</v>
      </c>
      <c r="AP89" s="360">
        <f t="shared" si="108"/>
        <v>0.32669999999999993</v>
      </c>
      <c r="AQ89" s="360">
        <f t="shared" si="109"/>
        <v>0.31218000000000001</v>
      </c>
      <c r="AR89" s="360">
        <f t="shared" si="110"/>
        <v>0.29039999999999999</v>
      </c>
      <c r="AS89" s="360">
        <f t="shared" si="129"/>
        <v>0.32827499999999993</v>
      </c>
      <c r="AT89" s="360">
        <f t="shared" si="122"/>
        <v>2.583207868049433</v>
      </c>
      <c r="AU89">
        <f t="shared" si="111"/>
        <v>48</v>
      </c>
      <c r="AV89" s="542">
        <f t="shared" si="123"/>
        <v>0.94893151350171479</v>
      </c>
      <c r="AW89" s="551">
        <f t="shared" si="112"/>
        <v>19.845823814768011</v>
      </c>
      <c r="AX89" s="551">
        <f t="shared" si="113"/>
        <v>16.364875649388129</v>
      </c>
      <c r="AY89" s="9"/>
      <c r="AZ89" s="4">
        <f t="shared" si="124"/>
        <v>94.893151350171479</v>
      </c>
      <c r="BA89" s="360">
        <f t="shared" si="114"/>
        <v>0.82948895379684018</v>
      </c>
      <c r="BB89" s="360">
        <f t="shared" si="125"/>
        <v>0.95766514379358259</v>
      </c>
      <c r="BC89" s="360">
        <f t="shared" si="126"/>
        <v>0.52225852144126339</v>
      </c>
      <c r="BD89" s="360">
        <f t="shared" si="127"/>
        <v>0.43065462235231922</v>
      </c>
      <c r="BE89" s="360">
        <f t="shared" si="128"/>
        <v>0.39723124842383234</v>
      </c>
      <c r="BK89" s="18"/>
      <c r="BL89" s="19"/>
    </row>
    <row r="90" spans="1:64" x14ac:dyDescent="0.25">
      <c r="G90">
        <v>81</v>
      </c>
      <c r="H90" s="548">
        <f t="shared" si="82"/>
        <v>45</v>
      </c>
      <c r="I90" s="4">
        <f t="shared" si="83"/>
        <v>2</v>
      </c>
      <c r="J90" s="360">
        <f t="shared" si="115"/>
        <v>9.7200000000000006</v>
      </c>
      <c r="K90" s="4">
        <f t="shared" si="84"/>
        <v>1.2</v>
      </c>
      <c r="L90" s="4"/>
      <c r="M90" s="360">
        <f t="shared" si="85"/>
        <v>0.11237531036362633</v>
      </c>
      <c r="N90" s="4">
        <f t="shared" si="86"/>
        <v>9.2623910048780456</v>
      </c>
      <c r="O90" s="4">
        <f t="shared" si="116"/>
        <v>14.351195502439023</v>
      </c>
      <c r="P90" s="4">
        <f t="shared" si="117"/>
        <v>5.0888044975609779</v>
      </c>
      <c r="Q90" s="4">
        <f t="shared" si="87"/>
        <v>0</v>
      </c>
      <c r="R90" s="4">
        <f t="shared" si="88"/>
        <v>10.081057678997302</v>
      </c>
      <c r="S90" s="360">
        <f t="shared" si="89"/>
        <v>0.50813861963635243</v>
      </c>
      <c r="T90" s="360">
        <f t="shared" si="90"/>
        <v>0.3</v>
      </c>
      <c r="U90" s="360">
        <f t="shared" si="91"/>
        <v>0.8423823812703275</v>
      </c>
      <c r="V90" s="4">
        <f t="shared" si="118"/>
        <v>2.6738219700029542</v>
      </c>
      <c r="W90" s="360">
        <f t="shared" si="92"/>
        <v>1.4298647854540958E-2</v>
      </c>
      <c r="X90" s="360">
        <f t="shared" si="119"/>
        <v>1.4298647854540958E-2</v>
      </c>
      <c r="Y90" s="4">
        <f t="shared" si="93"/>
        <v>3.1838766841306514</v>
      </c>
      <c r="Z90" s="360">
        <f t="shared" si="120"/>
        <v>1.5205606109626188E-2</v>
      </c>
      <c r="AA90" s="541">
        <f t="shared" si="121"/>
        <v>1.5205606109626188E-2</v>
      </c>
      <c r="AB90" s="360">
        <f t="shared" si="94"/>
        <v>3.3794151887384234</v>
      </c>
      <c r="AC90" s="360">
        <f t="shared" si="95"/>
        <v>6.8522682107255733E-2</v>
      </c>
      <c r="AD90" s="360">
        <f t="shared" si="96"/>
        <v>0.17595584281971899</v>
      </c>
      <c r="AE90" s="360">
        <f t="shared" si="97"/>
        <v>-3.4229250000000003E-2</v>
      </c>
      <c r="AF90" s="360">
        <f t="shared" si="98"/>
        <v>0</v>
      </c>
      <c r="AG90" s="360">
        <f t="shared" si="99"/>
        <v>0.21246216347468933</v>
      </c>
      <c r="AH90" s="360">
        <f t="shared" si="100"/>
        <v>9.4977511501088774</v>
      </c>
      <c r="AI90" s="360">
        <f t="shared" si="101"/>
        <v>0.22551819227348627</v>
      </c>
      <c r="AJ90" s="360">
        <f t="shared" si="102"/>
        <v>4.1912640000000001E-2</v>
      </c>
      <c r="AK90" s="360">
        <f t="shared" si="103"/>
        <v>0.28006267804885615</v>
      </c>
      <c r="AL90" s="360">
        <f t="shared" si="104"/>
        <v>4.1912640000000001E-2</v>
      </c>
      <c r="AM90" s="360">
        <f t="shared" si="105"/>
        <v>0.48114000000000001</v>
      </c>
      <c r="AN90" s="360">
        <f t="shared" si="106"/>
        <v>0.40651089570908194</v>
      </c>
      <c r="AO90" s="360">
        <f t="shared" si="107"/>
        <v>1.5749999999999998E-3</v>
      </c>
      <c r="AP90" s="360">
        <f t="shared" si="108"/>
        <v>0.32669999999999993</v>
      </c>
      <c r="AQ90" s="360">
        <f t="shared" si="109"/>
        <v>0.31218000000000001</v>
      </c>
      <c r="AR90" s="360">
        <f t="shared" si="110"/>
        <v>0.29039999999999999</v>
      </c>
      <c r="AS90" s="360">
        <f t="shared" si="129"/>
        <v>0.32827499999999993</v>
      </c>
      <c r="AT90" s="360">
        <f t="shared" si="122"/>
        <v>2.6222500124671222</v>
      </c>
      <c r="AU90">
        <f t="shared" si="111"/>
        <v>48.6</v>
      </c>
      <c r="AV90" s="542">
        <f t="shared" si="123"/>
        <v>0.94880642666362991</v>
      </c>
      <c r="AW90" s="551">
        <f t="shared" si="112"/>
        <v>20.140553412038194</v>
      </c>
      <c r="AX90" s="551">
        <f t="shared" si="113"/>
        <v>16.675877365856532</v>
      </c>
      <c r="AY90" s="9"/>
      <c r="AZ90" s="4">
        <f t="shared" si="124"/>
        <v>94.880642666362988</v>
      </c>
      <c r="BA90" s="360">
        <f t="shared" si="114"/>
        <v>0.8423823812703275</v>
      </c>
      <c r="BB90" s="360">
        <f t="shared" si="125"/>
        <v>0.97366484152354549</v>
      </c>
      <c r="BC90" s="360">
        <f t="shared" si="126"/>
        <v>0.53001456347468934</v>
      </c>
      <c r="BD90" s="360">
        <f t="shared" si="127"/>
        <v>0.43883887804885613</v>
      </c>
      <c r="BE90" s="360">
        <f t="shared" si="128"/>
        <v>0.40651089570908194</v>
      </c>
      <c r="BK90" s="18"/>
      <c r="BL90" s="19"/>
    </row>
    <row r="91" spans="1:64" x14ac:dyDescent="0.25">
      <c r="G91">
        <v>82</v>
      </c>
      <c r="H91" s="548">
        <f t="shared" si="82"/>
        <v>45</v>
      </c>
      <c r="I91" s="4">
        <f t="shared" si="83"/>
        <v>2</v>
      </c>
      <c r="J91" s="360">
        <f t="shared" si="115"/>
        <v>9.84</v>
      </c>
      <c r="K91" s="4">
        <f t="shared" si="84"/>
        <v>1.2148148148148148</v>
      </c>
      <c r="L91" s="4"/>
      <c r="M91" s="360">
        <f t="shared" si="85"/>
        <v>0.11239091025721672</v>
      </c>
      <c r="N91" s="4">
        <f t="shared" si="86"/>
        <v>9.2633702854595601</v>
      </c>
      <c r="O91" s="4">
        <f t="shared" si="116"/>
        <v>14.471685142729779</v>
      </c>
      <c r="P91" s="4">
        <f t="shared" si="117"/>
        <v>5.2083148572702198</v>
      </c>
      <c r="Q91" s="4">
        <f t="shared" si="87"/>
        <v>0</v>
      </c>
      <c r="R91" s="4">
        <f t="shared" si="88"/>
        <v>10.196883629511253</v>
      </c>
      <c r="S91" s="360">
        <f t="shared" si="89"/>
        <v>0.51988217876897291</v>
      </c>
      <c r="T91" s="360">
        <f t="shared" si="90"/>
        <v>0.3</v>
      </c>
      <c r="U91" s="360">
        <f t="shared" si="91"/>
        <v>0.85546130576861601</v>
      </c>
      <c r="V91" s="4">
        <f t="shared" si="118"/>
        <v>2.674104663956629</v>
      </c>
      <c r="W91" s="360">
        <f t="shared" si="92"/>
        <v>1.4301671507589193E-2</v>
      </c>
      <c r="X91" s="360">
        <f t="shared" si="119"/>
        <v>1.4301671507589193E-2</v>
      </c>
      <c r="Y91" s="4">
        <f t="shared" si="93"/>
        <v>3.2206529429409412</v>
      </c>
      <c r="Z91" s="360">
        <f t="shared" si="120"/>
        <v>1.5558908068311218E-2</v>
      </c>
      <c r="AA91" s="541">
        <f t="shared" si="121"/>
        <v>1.5558908068311218E-2</v>
      </c>
      <c r="AB91" s="360">
        <f t="shared" si="94"/>
        <v>3.4184801095911008</v>
      </c>
      <c r="AC91" s="360">
        <f t="shared" si="95"/>
        <v>7.01160375580199E-2</v>
      </c>
      <c r="AD91" s="360">
        <f t="shared" si="96"/>
        <v>0.17812813717551795</v>
      </c>
      <c r="AE91" s="360">
        <f t="shared" si="97"/>
        <v>-3.4229250000000003E-2</v>
      </c>
      <c r="AF91" s="360">
        <f t="shared" si="98"/>
        <v>0</v>
      </c>
      <c r="AG91" s="360">
        <f t="shared" si="99"/>
        <v>0.2163203890692689</v>
      </c>
      <c r="AH91" s="360">
        <f t="shared" si="100"/>
        <v>9.6067908009972101</v>
      </c>
      <c r="AI91" s="360">
        <f t="shared" si="101"/>
        <v>0.23072607373531157</v>
      </c>
      <c r="AJ91" s="360">
        <f t="shared" si="102"/>
        <v>4.2430079999999995E-2</v>
      </c>
      <c r="AK91" s="360">
        <f t="shared" si="103"/>
        <v>0.2863707955953459</v>
      </c>
      <c r="AL91" s="360">
        <f t="shared" si="104"/>
        <v>4.2430079999999995E-2</v>
      </c>
      <c r="AM91" s="360">
        <f t="shared" si="105"/>
        <v>0.48707999999999996</v>
      </c>
      <c r="AN91" s="360">
        <f t="shared" si="106"/>
        <v>0.41590574301517835</v>
      </c>
      <c r="AO91" s="360">
        <f t="shared" si="107"/>
        <v>1.5749999999999998E-3</v>
      </c>
      <c r="AP91" s="360">
        <f t="shared" si="108"/>
        <v>0.32669999999999993</v>
      </c>
      <c r="AQ91" s="360">
        <f t="shared" si="109"/>
        <v>0.31218000000000001</v>
      </c>
      <c r="AR91" s="360">
        <f t="shared" si="110"/>
        <v>0.29039999999999999</v>
      </c>
      <c r="AS91" s="360">
        <f t="shared" si="129"/>
        <v>0.32827499999999993</v>
      </c>
      <c r="AT91" s="360">
        <f t="shared" si="122"/>
        <v>2.6617038930243093</v>
      </c>
      <c r="AU91">
        <f t="shared" si="111"/>
        <v>49.2</v>
      </c>
      <c r="AV91" s="542">
        <f t="shared" si="123"/>
        <v>0.94867689078410078</v>
      </c>
      <c r="AW91" s="551">
        <f t="shared" si="112"/>
        <v>20.436141184632216</v>
      </c>
      <c r="AX91" s="551">
        <f t="shared" si="113"/>
        <v>16.990073432623145</v>
      </c>
      <c r="AY91" s="9"/>
      <c r="AZ91" s="4">
        <f t="shared" si="124"/>
        <v>94.867689078410081</v>
      </c>
      <c r="BA91" s="360">
        <f t="shared" si="114"/>
        <v>0.85546130576861601</v>
      </c>
      <c r="BB91" s="360">
        <f t="shared" si="125"/>
        <v>0.98977118466461478</v>
      </c>
      <c r="BC91" s="360">
        <f t="shared" si="126"/>
        <v>0.53779318906926887</v>
      </c>
      <c r="BD91" s="360">
        <f t="shared" si="127"/>
        <v>0.4471071955953459</v>
      </c>
      <c r="BE91" s="360">
        <f t="shared" si="128"/>
        <v>0.41590574301517835</v>
      </c>
      <c r="BK91" s="18"/>
      <c r="BL91" s="19"/>
    </row>
    <row r="92" spans="1:64" x14ac:dyDescent="0.25">
      <c r="G92">
        <v>83</v>
      </c>
      <c r="H92" s="548">
        <f t="shared" si="82"/>
        <v>45</v>
      </c>
      <c r="I92" s="4">
        <f t="shared" si="83"/>
        <v>2</v>
      </c>
      <c r="J92" s="360">
        <f t="shared" si="115"/>
        <v>9.9600000000000009</v>
      </c>
      <c r="K92" s="4">
        <f t="shared" si="84"/>
        <v>1.2296296296296296</v>
      </c>
      <c r="L92" s="4"/>
      <c r="M92" s="360">
        <f t="shared" si="85"/>
        <v>0.11240650996785742</v>
      </c>
      <c r="N92" s="4">
        <f t="shared" si="86"/>
        <v>9.2643494658723515</v>
      </c>
      <c r="O92" s="4">
        <f t="shared" si="116"/>
        <v>14.592174732936176</v>
      </c>
      <c r="P92" s="4">
        <f t="shared" si="117"/>
        <v>5.3278252670638251</v>
      </c>
      <c r="Q92" s="4">
        <f t="shared" si="87"/>
        <v>0</v>
      </c>
      <c r="R92" s="4">
        <f t="shared" si="88"/>
        <v>10.312805029936527</v>
      </c>
      <c r="S92" s="360">
        <f t="shared" si="89"/>
        <v>0.53176973792742066</v>
      </c>
      <c r="T92" s="360">
        <f t="shared" si="90"/>
        <v>0.3</v>
      </c>
      <c r="U92" s="360">
        <f t="shared" si="91"/>
        <v>0.86872674542712658</v>
      </c>
      <c r="V92" s="4">
        <f t="shared" si="118"/>
        <v>2.6743873289940843</v>
      </c>
      <c r="W92" s="360">
        <f t="shared" si="92"/>
        <v>1.4304695170968225E-2</v>
      </c>
      <c r="X92" s="360">
        <f t="shared" si="119"/>
        <v>1.4304695170968225E-2</v>
      </c>
      <c r="Y92" s="4">
        <f t="shared" si="93"/>
        <v>3.2574637639320665</v>
      </c>
      <c r="Z92" s="360">
        <f t="shared" si="120"/>
        <v>1.5916605259995699E-2</v>
      </c>
      <c r="AA92" s="541">
        <f t="shared" si="121"/>
        <v>1.5916605259995699E-2</v>
      </c>
      <c r="AB92" s="360">
        <f t="shared" si="94"/>
        <v>3.457582402400369</v>
      </c>
      <c r="AC92" s="360">
        <f t="shared" si="95"/>
        <v>7.1729256416332238E-2</v>
      </c>
      <c r="AD92" s="360">
        <f t="shared" si="96"/>
        <v>0.18030043153131697</v>
      </c>
      <c r="AE92" s="360">
        <f t="shared" si="97"/>
        <v>-3.4229250000000003E-2</v>
      </c>
      <c r="AF92" s="360">
        <f t="shared" si="98"/>
        <v>0</v>
      </c>
      <c r="AG92" s="360">
        <f t="shared" si="99"/>
        <v>0.22020125857364226</v>
      </c>
      <c r="AH92" s="360">
        <f t="shared" si="100"/>
        <v>9.7159184597286234</v>
      </c>
      <c r="AI92" s="360">
        <f t="shared" si="101"/>
        <v>0.23599767879023859</v>
      </c>
      <c r="AJ92" s="360">
        <f t="shared" si="102"/>
        <v>4.2947520000000003E-2</v>
      </c>
      <c r="AK92" s="360">
        <f t="shared" si="103"/>
        <v>0.29276350008096114</v>
      </c>
      <c r="AL92" s="360">
        <f t="shared" si="104"/>
        <v>4.2947520000000003E-2</v>
      </c>
      <c r="AM92" s="360">
        <f t="shared" si="105"/>
        <v>0.49302000000000001</v>
      </c>
      <c r="AN92" s="360">
        <f t="shared" si="106"/>
        <v>0.42541579034193655</v>
      </c>
      <c r="AO92" s="360">
        <f t="shared" si="107"/>
        <v>1.5749999999999998E-3</v>
      </c>
      <c r="AP92" s="360">
        <f t="shared" si="108"/>
        <v>0.32669999999999993</v>
      </c>
      <c r="AQ92" s="360">
        <f t="shared" si="109"/>
        <v>0.31218000000000001</v>
      </c>
      <c r="AR92" s="360">
        <f t="shared" si="110"/>
        <v>0.29039999999999999</v>
      </c>
      <c r="AS92" s="360">
        <f t="shared" si="129"/>
        <v>0.32827499999999993</v>
      </c>
      <c r="AT92" s="360">
        <f t="shared" si="122"/>
        <v>2.7015711148546306</v>
      </c>
      <c r="AU92">
        <f t="shared" si="111"/>
        <v>49.800000000000004</v>
      </c>
      <c r="AV92" s="542">
        <f t="shared" si="123"/>
        <v>0.9485430424749659</v>
      </c>
      <c r="AW92" s="551">
        <f t="shared" si="112"/>
        <v>20.732589425798409</v>
      </c>
      <c r="AX92" s="551">
        <f t="shared" si="113"/>
        <v>17.307483803076526</v>
      </c>
      <c r="AY92" s="9"/>
      <c r="AZ92" s="4">
        <f t="shared" si="124"/>
        <v>94.854304247496586</v>
      </c>
      <c r="BA92" s="360">
        <f t="shared" si="114"/>
        <v>0.86872674542712658</v>
      </c>
      <c r="BB92" s="360">
        <f t="shared" si="125"/>
        <v>1.0059847586546034</v>
      </c>
      <c r="BC92" s="360">
        <f t="shared" si="126"/>
        <v>0.5455944585736423</v>
      </c>
      <c r="BD92" s="360">
        <f t="shared" si="127"/>
        <v>0.45546010008096116</v>
      </c>
      <c r="BE92" s="360">
        <f t="shared" si="128"/>
        <v>0.42541579034193655</v>
      </c>
      <c r="BK92" s="18"/>
      <c r="BL92" s="19"/>
    </row>
    <row r="93" spans="1:64" x14ac:dyDescent="0.25">
      <c r="G93">
        <v>84</v>
      </c>
      <c r="H93" s="548">
        <f t="shared" si="82"/>
        <v>45</v>
      </c>
      <c r="I93" s="4">
        <f t="shared" si="83"/>
        <v>2</v>
      </c>
      <c r="J93" s="360">
        <f t="shared" si="115"/>
        <v>10.08</v>
      </c>
      <c r="K93" s="4">
        <f t="shared" si="84"/>
        <v>1.2444444444444445</v>
      </c>
      <c r="L93" s="4"/>
      <c r="M93" s="360">
        <f t="shared" si="85"/>
        <v>0.11242210949555169</v>
      </c>
      <c r="N93" s="4">
        <f t="shared" si="86"/>
        <v>9.265328546118182</v>
      </c>
      <c r="O93" s="4">
        <f t="shared" si="116"/>
        <v>14.71266427305909</v>
      </c>
      <c r="P93" s="4">
        <f t="shared" si="117"/>
        <v>5.4473357269409091</v>
      </c>
      <c r="Q93" s="4">
        <f t="shared" si="87"/>
        <v>0</v>
      </c>
      <c r="R93" s="4">
        <f t="shared" si="88"/>
        <v>10.428818697354592</v>
      </c>
      <c r="S93" s="360">
        <f t="shared" si="89"/>
        <v>0.54380129711146363</v>
      </c>
      <c r="T93" s="360">
        <f t="shared" si="90"/>
        <v>0.3</v>
      </c>
      <c r="U93" s="360">
        <f t="shared" si="91"/>
        <v>0.88217973588420606</v>
      </c>
      <c r="V93" s="4">
        <f t="shared" si="118"/>
        <v>2.6746699651158283</v>
      </c>
      <c r="W93" s="360">
        <f t="shared" si="92"/>
        <v>1.4307718844585413E-2</v>
      </c>
      <c r="X93" s="360">
        <f t="shared" si="119"/>
        <v>1.4307718844585413E-2</v>
      </c>
      <c r="Y93" s="4">
        <f t="shared" si="93"/>
        <v>3.2943081464040485</v>
      </c>
      <c r="Z93" s="360">
        <f t="shared" si="120"/>
        <v>1.6278699245196118E-2</v>
      </c>
      <c r="AA93" s="541">
        <f t="shared" si="121"/>
        <v>1.6278699245196118E-2</v>
      </c>
      <c r="AB93" s="360">
        <f t="shared" si="94"/>
        <v>3.4967210059622427</v>
      </c>
      <c r="AC93" s="360">
        <f t="shared" si="95"/>
        <v>7.3362346761225591E-2</v>
      </c>
      <c r="AD93" s="360">
        <f t="shared" si="96"/>
        <v>0.18247272588711597</v>
      </c>
      <c r="AE93" s="360">
        <f t="shared" si="97"/>
        <v>-3.4229250000000003E-2</v>
      </c>
      <c r="AF93" s="360">
        <f t="shared" si="98"/>
        <v>0</v>
      </c>
      <c r="AG93" s="360">
        <f t="shared" si="99"/>
        <v>0.22410483282979429</v>
      </c>
      <c r="AH93" s="360">
        <f t="shared" si="100"/>
        <v>9.8251311252702944</v>
      </c>
      <c r="AI93" s="360">
        <f t="shared" si="101"/>
        <v>0.24133300407188782</v>
      </c>
      <c r="AJ93" s="360">
        <f t="shared" si="102"/>
        <v>4.3464959999999997E-2</v>
      </c>
      <c r="AK93" s="360">
        <f t="shared" si="103"/>
        <v>0.29924132568593609</v>
      </c>
      <c r="AL93" s="360">
        <f t="shared" si="104"/>
        <v>4.3464959999999997E-2</v>
      </c>
      <c r="AM93" s="360">
        <f t="shared" si="105"/>
        <v>0.49895999999999996</v>
      </c>
      <c r="AN93" s="360">
        <f t="shared" si="106"/>
        <v>0.43504103768917091</v>
      </c>
      <c r="AO93" s="360">
        <f t="shared" si="107"/>
        <v>1.5749999999999998E-3</v>
      </c>
      <c r="AP93" s="360">
        <f t="shared" si="108"/>
        <v>0.32669999999999993</v>
      </c>
      <c r="AQ93" s="360">
        <f t="shared" si="109"/>
        <v>0.31218000000000001</v>
      </c>
      <c r="AR93" s="360">
        <f t="shared" si="110"/>
        <v>0.29039999999999999</v>
      </c>
      <c r="AS93" s="360">
        <f t="shared" si="129"/>
        <v>0.32827499999999993</v>
      </c>
      <c r="AT93" s="360">
        <f t="shared" si="122"/>
        <v>2.7418533101788887</v>
      </c>
      <c r="AU93">
        <f t="shared" si="111"/>
        <v>50.4</v>
      </c>
      <c r="AV93" s="542">
        <f t="shared" si="123"/>
        <v>0.94840501150429934</v>
      </c>
      <c r="AW93" s="551">
        <f t="shared" si="112"/>
        <v>21.029900447532185</v>
      </c>
      <c r="AX93" s="551">
        <f t="shared" si="113"/>
        <v>17.628128776065569</v>
      </c>
      <c r="AY93" s="9"/>
      <c r="AZ93" s="4">
        <f t="shared" si="124"/>
        <v>94.84050115042993</v>
      </c>
      <c r="BA93" s="360">
        <f t="shared" si="114"/>
        <v>0.88217973588420606</v>
      </c>
      <c r="BB93" s="360">
        <f t="shared" si="125"/>
        <v>1.0223061585157303</v>
      </c>
      <c r="BC93" s="360">
        <f t="shared" si="126"/>
        <v>0.5534184328297943</v>
      </c>
      <c r="BD93" s="360">
        <f t="shared" si="127"/>
        <v>0.46389812568593608</v>
      </c>
      <c r="BE93" s="360">
        <f t="shared" si="128"/>
        <v>0.43504103768917091</v>
      </c>
      <c r="BK93" s="18"/>
      <c r="BL93" s="19"/>
    </row>
    <row r="94" spans="1:64" x14ac:dyDescent="0.25">
      <c r="G94">
        <v>85</v>
      </c>
      <c r="H94" s="548">
        <f t="shared" si="82"/>
        <v>45</v>
      </c>
      <c r="I94" s="4">
        <f t="shared" si="83"/>
        <v>2</v>
      </c>
      <c r="J94" s="360">
        <f t="shared" si="115"/>
        <v>10.199999999999999</v>
      </c>
      <c r="K94" s="4">
        <f t="shared" si="84"/>
        <v>1.2592592592592593</v>
      </c>
      <c r="L94" s="4"/>
      <c r="M94" s="360">
        <f t="shared" si="85"/>
        <v>0.11243770884030274</v>
      </c>
      <c r="N94" s="4">
        <f t="shared" si="86"/>
        <v>9.2663075261988155</v>
      </c>
      <c r="O94" s="4">
        <f t="shared" si="116"/>
        <v>14.833153763099407</v>
      </c>
      <c r="P94" s="4">
        <f t="shared" si="117"/>
        <v>5.5668462369005915</v>
      </c>
      <c r="Q94" s="4">
        <f t="shared" si="87"/>
        <v>0</v>
      </c>
      <c r="R94" s="4">
        <f t="shared" si="88"/>
        <v>10.544921586440273</v>
      </c>
      <c r="S94" s="360">
        <f t="shared" si="89"/>
        <v>0.55597685632087024</v>
      </c>
      <c r="T94" s="360">
        <f t="shared" si="90"/>
        <v>0.3</v>
      </c>
      <c r="U94" s="360">
        <f t="shared" si="91"/>
        <v>0.89582133049308843</v>
      </c>
      <c r="V94" s="4">
        <f t="shared" si="118"/>
        <v>2.6749525723223706</v>
      </c>
      <c r="W94" s="360">
        <f t="shared" si="92"/>
        <v>1.4310742528348134E-2</v>
      </c>
      <c r="X94" s="360">
        <f t="shared" si="119"/>
        <v>1.4310742528348134E-2</v>
      </c>
      <c r="Y94" s="4">
        <f t="shared" si="93"/>
        <v>3.3311851328785198</v>
      </c>
      <c r="Z94" s="360">
        <f t="shared" si="120"/>
        <v>1.6645191584266323E-2</v>
      </c>
      <c r="AA94" s="541">
        <f t="shared" si="121"/>
        <v>1.6645191584266323E-2</v>
      </c>
      <c r="AB94" s="360">
        <f t="shared" si="94"/>
        <v>3.5358949049131208</v>
      </c>
      <c r="AC94" s="360">
        <f t="shared" si="95"/>
        <v>7.5015316671543403E-2</v>
      </c>
      <c r="AD94" s="360">
        <f t="shared" si="96"/>
        <v>0.18464502024291493</v>
      </c>
      <c r="AE94" s="360">
        <f t="shared" si="97"/>
        <v>-3.4229250000000003E-2</v>
      </c>
      <c r="AF94" s="360">
        <f t="shared" si="98"/>
        <v>0</v>
      </c>
      <c r="AG94" s="360">
        <f t="shared" si="99"/>
        <v>0.22803117317580684</v>
      </c>
      <c r="AH94" s="360">
        <f t="shared" si="100"/>
        <v>9.9344259263222394</v>
      </c>
      <c r="AI94" s="360">
        <f t="shared" si="101"/>
        <v>0.24673204621395872</v>
      </c>
      <c r="AJ94" s="360">
        <f t="shared" si="102"/>
        <v>4.3982399999999998E-2</v>
      </c>
      <c r="AK94" s="360">
        <f t="shared" si="103"/>
        <v>0.30580481580298957</v>
      </c>
      <c r="AL94" s="360">
        <f t="shared" si="104"/>
        <v>4.3982399999999998E-2</v>
      </c>
      <c r="AM94" s="360">
        <f t="shared" si="105"/>
        <v>0.5048999999999999</v>
      </c>
      <c r="AN94" s="360">
        <f t="shared" si="106"/>
        <v>0.44478148505669618</v>
      </c>
      <c r="AO94" s="360">
        <f t="shared" si="107"/>
        <v>1.5749999999999998E-3</v>
      </c>
      <c r="AP94" s="360">
        <f t="shared" si="108"/>
        <v>0.32669999999999993</v>
      </c>
      <c r="AQ94" s="360">
        <f t="shared" si="109"/>
        <v>0.31218000000000001</v>
      </c>
      <c r="AR94" s="360">
        <f t="shared" si="110"/>
        <v>0.29039999999999999</v>
      </c>
      <c r="AS94" s="360">
        <f t="shared" si="129"/>
        <v>0.32827499999999993</v>
      </c>
      <c r="AT94" s="360">
        <f t="shared" si="122"/>
        <v>2.7825521386411953</v>
      </c>
      <c r="AU94">
        <f t="shared" si="111"/>
        <v>51</v>
      </c>
      <c r="AV94" s="542">
        <f t="shared" si="123"/>
        <v>0.94826292118923061</v>
      </c>
      <c r="AW94" s="551">
        <f t="shared" si="112"/>
        <v>21.328076580680658</v>
      </c>
      <c r="AX94" s="551">
        <f t="shared" si="113"/>
        <v>17.952029000513605</v>
      </c>
      <c r="AY94" s="9"/>
      <c r="AZ94" s="4">
        <f t="shared" si="124"/>
        <v>94.826292118923064</v>
      </c>
      <c r="BA94" s="360">
        <f t="shared" si="114"/>
        <v>0.89582133049308843</v>
      </c>
      <c r="BB94" s="360">
        <f t="shared" si="125"/>
        <v>1.0387359889787964</v>
      </c>
      <c r="BC94" s="360">
        <f t="shared" si="126"/>
        <v>0.56126517317580682</v>
      </c>
      <c r="BD94" s="360">
        <f t="shared" si="127"/>
        <v>0.47242181580298959</v>
      </c>
      <c r="BE94" s="360">
        <f t="shared" si="128"/>
        <v>0.44478148505669618</v>
      </c>
      <c r="BK94" s="18"/>
      <c r="BL94" s="19"/>
    </row>
    <row r="95" spans="1:64" x14ac:dyDescent="0.25">
      <c r="G95">
        <v>86</v>
      </c>
      <c r="H95" s="548">
        <f t="shared" si="82"/>
        <v>45</v>
      </c>
      <c r="I95" s="4">
        <f t="shared" si="83"/>
        <v>2</v>
      </c>
      <c r="J95" s="360">
        <f t="shared" si="115"/>
        <v>10.32</v>
      </c>
      <c r="K95" s="4">
        <f t="shared" si="84"/>
        <v>1.2740740740740741</v>
      </c>
      <c r="L95" s="4"/>
      <c r="M95" s="360">
        <f t="shared" si="85"/>
        <v>0.11245330800211378</v>
      </c>
      <c r="N95" s="4">
        <f t="shared" si="86"/>
        <v>9.2672864061160158</v>
      </c>
      <c r="O95" s="4">
        <f t="shared" si="116"/>
        <v>14.953643203058007</v>
      </c>
      <c r="P95" s="4">
        <f t="shared" si="117"/>
        <v>5.6863567969419924</v>
      </c>
      <c r="Q95" s="4">
        <f t="shared" si="87"/>
        <v>0</v>
      </c>
      <c r="R95" s="4">
        <f t="shared" si="88"/>
        <v>10.661110782234744</v>
      </c>
      <c r="S95" s="360">
        <f t="shared" si="89"/>
        <v>0.56829641555540955</v>
      </c>
      <c r="T95" s="360">
        <f t="shared" si="90"/>
        <v>0.3</v>
      </c>
      <c r="U95" s="360">
        <f t="shared" si="91"/>
        <v>0.90965260053833707</v>
      </c>
      <c r="V95" s="4">
        <f t="shared" si="118"/>
        <v>2.6752351506142209</v>
      </c>
      <c r="W95" s="360">
        <f t="shared" si="92"/>
        <v>1.4313766222163788E-2</v>
      </c>
      <c r="X95" s="360">
        <f t="shared" si="119"/>
        <v>1.4313766222163788E-2</v>
      </c>
      <c r="Y95" s="4">
        <f t="shared" si="93"/>
        <v>3.3680938068287798</v>
      </c>
      <c r="Z95" s="360">
        <f t="shared" si="120"/>
        <v>1.7016083837397573E-2</v>
      </c>
      <c r="AA95" s="541">
        <f t="shared" si="121"/>
        <v>1.7016083837397573E-2</v>
      </c>
      <c r="AB95" s="360">
        <f t="shared" si="94"/>
        <v>3.5751031273223357</v>
      </c>
      <c r="AC95" s="360">
        <f t="shared" si="95"/>
        <v>7.6688174225939668E-2</v>
      </c>
      <c r="AD95" s="360">
        <f t="shared" si="96"/>
        <v>0.18681731459871398</v>
      </c>
      <c r="AE95" s="360">
        <f t="shared" si="97"/>
        <v>-3.4229250000000003E-2</v>
      </c>
      <c r="AF95" s="360">
        <f t="shared" si="98"/>
        <v>0</v>
      </c>
      <c r="AG95" s="360">
        <f t="shared" si="99"/>
        <v>0.23198034144863858</v>
      </c>
      <c r="AH95" s="360">
        <f t="shared" si="100"/>
        <v>10.043800114503075</v>
      </c>
      <c r="AI95" s="360">
        <f t="shared" si="101"/>
        <v>0.25219480185022997</v>
      </c>
      <c r="AJ95" s="360">
        <f t="shared" si="102"/>
        <v>4.4499839999999999E-2</v>
      </c>
      <c r="AK95" s="360">
        <f t="shared" si="103"/>
        <v>0.31245452316140998</v>
      </c>
      <c r="AL95" s="360">
        <f t="shared" si="104"/>
        <v>4.4499839999999999E-2</v>
      </c>
      <c r="AM95" s="360">
        <f t="shared" si="105"/>
        <v>0.51083999999999985</v>
      </c>
      <c r="AN95" s="360">
        <f t="shared" si="106"/>
        <v>0.45463713244432763</v>
      </c>
      <c r="AO95" s="360">
        <f t="shared" si="107"/>
        <v>1.5749999999999998E-3</v>
      </c>
      <c r="AP95" s="360">
        <f t="shared" si="108"/>
        <v>0.32669999999999993</v>
      </c>
      <c r="AQ95" s="360">
        <f t="shared" si="109"/>
        <v>0.31218000000000001</v>
      </c>
      <c r="AR95" s="360">
        <f t="shared" si="110"/>
        <v>0.29039999999999999</v>
      </c>
      <c r="AS95" s="360">
        <f t="shared" si="129"/>
        <v>0.32827499999999993</v>
      </c>
      <c r="AT95" s="360">
        <f t="shared" si="122"/>
        <v>2.8236692876522747</v>
      </c>
      <c r="AU95">
        <f t="shared" si="111"/>
        <v>51.6</v>
      </c>
      <c r="AV95" s="542">
        <f t="shared" si="123"/>
        <v>0.94811688876161626</v>
      </c>
      <c r="AW95" s="551">
        <f t="shared" si="112"/>
        <v>21.627120175048262</v>
      </c>
      <c r="AX95" s="551">
        <f t="shared" si="113"/>
        <v>18.27920548013358</v>
      </c>
      <c r="AY95" s="9"/>
      <c r="AZ95" s="4">
        <f t="shared" si="124"/>
        <v>94.811688876161625</v>
      </c>
      <c r="BA95" s="360">
        <f t="shared" si="114"/>
        <v>0.90965260053833707</v>
      </c>
      <c r="BB95" s="360">
        <f t="shared" si="125"/>
        <v>1.0552748646100483</v>
      </c>
      <c r="BC95" s="360">
        <f t="shared" si="126"/>
        <v>0.56913474144863851</v>
      </c>
      <c r="BD95" s="360">
        <f t="shared" si="127"/>
        <v>0.48103172316140996</v>
      </c>
      <c r="BE95" s="360">
        <f t="shared" si="128"/>
        <v>0.45463713244432763</v>
      </c>
      <c r="BK95" s="18"/>
      <c r="BL95" s="19"/>
    </row>
    <row r="96" spans="1:64" x14ac:dyDescent="0.25">
      <c r="G96">
        <v>87</v>
      </c>
      <c r="H96" s="548">
        <f t="shared" si="82"/>
        <v>45</v>
      </c>
      <c r="I96" s="4">
        <f t="shared" si="83"/>
        <v>2</v>
      </c>
      <c r="J96" s="360">
        <f t="shared" si="115"/>
        <v>10.44</v>
      </c>
      <c r="K96" s="4">
        <f t="shared" si="84"/>
        <v>1.2888888888888888</v>
      </c>
      <c r="L96" s="4"/>
      <c r="M96" s="360">
        <f t="shared" si="85"/>
        <v>0.11246890698098802</v>
      </c>
      <c r="N96" s="4">
        <f t="shared" si="86"/>
        <v>9.2682651858715381</v>
      </c>
      <c r="O96" s="4">
        <f t="shared" si="116"/>
        <v>15.074132592935769</v>
      </c>
      <c r="P96" s="4">
        <f t="shared" si="117"/>
        <v>5.8058674070642304</v>
      </c>
      <c r="Q96" s="4">
        <f t="shared" si="87"/>
        <v>0</v>
      </c>
      <c r="R96" s="4">
        <f t="shared" si="88"/>
        <v>10.777383493360986</v>
      </c>
      <c r="S96" s="360">
        <f t="shared" si="89"/>
        <v>0.58075997481484931</v>
      </c>
      <c r="T96" s="360">
        <f t="shared" si="90"/>
        <v>0.3</v>
      </c>
      <c r="U96" s="360">
        <f t="shared" si="91"/>
        <v>0.92367463545685236</v>
      </c>
      <c r="V96" s="4">
        <f t="shared" si="118"/>
        <v>2.675517699991885</v>
      </c>
      <c r="W96" s="360">
        <f t="shared" si="92"/>
        <v>1.4316789925939735E-2</v>
      </c>
      <c r="X96" s="360">
        <f t="shared" si="119"/>
        <v>1.4316789925939735E-2</v>
      </c>
      <c r="Y96" s="4">
        <f t="shared" si="93"/>
        <v>3.4050332905488081</v>
      </c>
      <c r="Z96" s="360">
        <f t="shared" si="120"/>
        <v>1.7391377564618466E-2</v>
      </c>
      <c r="AA96" s="541">
        <f t="shared" si="121"/>
        <v>1.7391377564618466E-2</v>
      </c>
      <c r="AB96" s="360">
        <f t="shared" si="94"/>
        <v>3.6143447424320838</v>
      </c>
      <c r="AC96" s="360">
        <f t="shared" si="95"/>
        <v>7.8380927502878672E-2</v>
      </c>
      <c r="AD96" s="360">
        <f t="shared" si="96"/>
        <v>0.18898960895451292</v>
      </c>
      <c r="AE96" s="360">
        <f t="shared" si="97"/>
        <v>-3.4229250000000003E-2</v>
      </c>
      <c r="AF96" s="360">
        <f t="shared" si="98"/>
        <v>0</v>
      </c>
      <c r="AG96" s="360">
        <f t="shared" si="99"/>
        <v>0.23595239998693249</v>
      </c>
      <c r="AH96" s="360">
        <f t="shared" si="100"/>
        <v>10.153251057952986</v>
      </c>
      <c r="AI96" s="360">
        <f t="shared" si="101"/>
        <v>0.25772126761455855</v>
      </c>
      <c r="AJ96" s="360">
        <f t="shared" si="102"/>
        <v>4.501728E-2</v>
      </c>
      <c r="AK96" s="360">
        <f t="shared" si="103"/>
        <v>0.31919100995385424</v>
      </c>
      <c r="AL96" s="360">
        <f t="shared" si="104"/>
        <v>4.501728E-2</v>
      </c>
      <c r="AM96" s="360">
        <f t="shared" si="105"/>
        <v>0.51678000000000002</v>
      </c>
      <c r="AN96" s="360">
        <f t="shared" si="106"/>
        <v>0.4646079798518794</v>
      </c>
      <c r="AO96" s="360">
        <f t="shared" si="107"/>
        <v>1.5749999999999998E-3</v>
      </c>
      <c r="AP96" s="360">
        <f t="shared" si="108"/>
        <v>0.32669999999999993</v>
      </c>
      <c r="AQ96" s="360">
        <f t="shared" si="109"/>
        <v>0.31218000000000001</v>
      </c>
      <c r="AR96" s="360">
        <f t="shared" si="110"/>
        <v>0.29039999999999999</v>
      </c>
      <c r="AS96" s="360">
        <f t="shared" si="129"/>
        <v>0.32827499999999993</v>
      </c>
      <c r="AT96" s="360">
        <f t="shared" si="122"/>
        <v>2.865206472740077</v>
      </c>
      <c r="AU96">
        <f t="shared" si="111"/>
        <v>52.199999999999996</v>
      </c>
      <c r="AV96" s="542">
        <f t="shared" si="123"/>
        <v>0.9479670257087206</v>
      </c>
      <c r="AW96" s="551">
        <f t="shared" si="112"/>
        <v>21.927033599503435</v>
      </c>
      <c r="AX96" s="551">
        <f t="shared" si="113"/>
        <v>18.60967957824646</v>
      </c>
      <c r="AY96" s="9"/>
      <c r="AZ96" s="4">
        <f t="shared" si="124"/>
        <v>94.796702570872057</v>
      </c>
      <c r="BA96" s="360">
        <f t="shared" si="114"/>
        <v>0.92367463545685236</v>
      </c>
      <c r="BB96" s="360">
        <f t="shared" si="125"/>
        <v>1.0719234099407866</v>
      </c>
      <c r="BC96" s="360">
        <f t="shared" si="126"/>
        <v>0.57702719998693253</v>
      </c>
      <c r="BD96" s="360">
        <f t="shared" si="127"/>
        <v>0.48972840995385425</v>
      </c>
      <c r="BE96" s="360">
        <f t="shared" si="128"/>
        <v>0.4646079798518794</v>
      </c>
      <c r="BK96" s="18"/>
      <c r="BL96" s="19"/>
    </row>
    <row r="97" spans="7:64" x14ac:dyDescent="0.25">
      <c r="G97">
        <v>88</v>
      </c>
      <c r="H97" s="548">
        <f t="shared" si="82"/>
        <v>45</v>
      </c>
      <c r="I97" s="4">
        <f t="shared" si="83"/>
        <v>2</v>
      </c>
      <c r="J97" s="360">
        <f t="shared" si="115"/>
        <v>10.56</v>
      </c>
      <c r="K97" s="4">
        <f t="shared" si="84"/>
        <v>1.3037037037037038</v>
      </c>
      <c r="L97" s="4"/>
      <c r="M97" s="360">
        <f t="shared" si="85"/>
        <v>0.11248450577692867</v>
      </c>
      <c r="N97" s="4">
        <f t="shared" si="86"/>
        <v>9.2692438654671463</v>
      </c>
      <c r="O97" s="4">
        <f t="shared" si="116"/>
        <v>15.194621932733574</v>
      </c>
      <c r="P97" s="4">
        <f t="shared" si="117"/>
        <v>5.9253780672664274</v>
      </c>
      <c r="Q97" s="4">
        <f t="shared" si="87"/>
        <v>0</v>
      </c>
      <c r="R97" s="4">
        <f t="shared" si="88"/>
        <v>10.893737045651125</v>
      </c>
      <c r="S97" s="360">
        <f t="shared" si="89"/>
        <v>0.59336753409895859</v>
      </c>
      <c r="T97" s="360">
        <f t="shared" si="90"/>
        <v>0.3</v>
      </c>
      <c r="U97" s="360">
        <f t="shared" si="91"/>
        <v>0.93788854306354086</v>
      </c>
      <c r="V97" s="4">
        <f t="shared" si="118"/>
        <v>2.6758002204558724</v>
      </c>
      <c r="W97" s="360">
        <f t="shared" si="92"/>
        <v>1.431981363958339E-2</v>
      </c>
      <c r="X97" s="360">
        <f t="shared" si="119"/>
        <v>1.431981363958339E-2</v>
      </c>
      <c r="Y97" s="4">
        <f t="shared" si="93"/>
        <v>3.4420027431516296</v>
      </c>
      <c r="Z97" s="360">
        <f t="shared" si="120"/>
        <v>1.7771074325795014E-2</v>
      </c>
      <c r="AA97" s="541">
        <f t="shared" si="121"/>
        <v>1.7771074325795014E-2</v>
      </c>
      <c r="AB97" s="360">
        <f t="shared" si="94"/>
        <v>3.653618858534541</v>
      </c>
      <c r="AC97" s="360">
        <f t="shared" si="95"/>
        <v>8.0093584580635452E-2</v>
      </c>
      <c r="AD97" s="360">
        <f t="shared" si="96"/>
        <v>0.19116190331031199</v>
      </c>
      <c r="AE97" s="360">
        <f t="shared" si="97"/>
        <v>-3.4229250000000003E-2</v>
      </c>
      <c r="AF97" s="360">
        <f t="shared" si="98"/>
        <v>0</v>
      </c>
      <c r="AG97" s="360">
        <f t="shared" si="99"/>
        <v>0.23994741163385475</v>
      </c>
      <c r="AH97" s="360">
        <f t="shared" si="100"/>
        <v>10.262776235325044</v>
      </c>
      <c r="AI97" s="360">
        <f t="shared" si="101"/>
        <v>0.2633114401408812</v>
      </c>
      <c r="AJ97" s="360">
        <f t="shared" si="102"/>
        <v>4.5534720000000001E-2</v>
      </c>
      <c r="AK97" s="360">
        <f t="shared" si="103"/>
        <v>0.32601484796592478</v>
      </c>
      <c r="AL97" s="360">
        <f t="shared" si="104"/>
        <v>4.5534720000000001E-2</v>
      </c>
      <c r="AM97" s="360">
        <f t="shared" si="105"/>
        <v>0.52271999999999996</v>
      </c>
      <c r="AN97" s="360">
        <f t="shared" si="106"/>
        <v>0.47469402727916687</v>
      </c>
      <c r="AO97" s="360">
        <f t="shared" si="107"/>
        <v>1.5749999999999998E-3</v>
      </c>
      <c r="AP97" s="360">
        <f t="shared" si="108"/>
        <v>0.32669999999999993</v>
      </c>
      <c r="AQ97" s="360">
        <f t="shared" si="109"/>
        <v>0.31218000000000001</v>
      </c>
      <c r="AR97" s="360">
        <f t="shared" si="110"/>
        <v>0.29039999999999999</v>
      </c>
      <c r="AS97" s="360">
        <f t="shared" si="129"/>
        <v>0.32827499999999993</v>
      </c>
      <c r="AT97" s="360">
        <f t="shared" si="122"/>
        <v>2.907165437907866</v>
      </c>
      <c r="AU97">
        <f t="shared" si="111"/>
        <v>52.800000000000004</v>
      </c>
      <c r="AV97" s="542">
        <f t="shared" si="123"/>
        <v>0.94781343809086394</v>
      </c>
      <c r="AW97" s="551">
        <f t="shared" si="112"/>
        <v>22.227819242086479</v>
      </c>
      <c r="AX97" s="551">
        <f t="shared" si="113"/>
        <v>18.943473022705142</v>
      </c>
      <c r="AY97" s="9"/>
      <c r="AZ97" s="4">
        <f t="shared" si="124"/>
        <v>94.781343809086394</v>
      </c>
      <c r="BA97" s="360">
        <f t="shared" si="114"/>
        <v>0.93788854306354086</v>
      </c>
      <c r="BB97" s="360">
        <f t="shared" si="125"/>
        <v>1.0886822595997794</v>
      </c>
      <c r="BC97" s="360">
        <f t="shared" si="126"/>
        <v>0.58494261163385475</v>
      </c>
      <c r="BD97" s="360">
        <f t="shared" si="127"/>
        <v>0.49851244796592475</v>
      </c>
      <c r="BE97" s="360">
        <f t="shared" si="128"/>
        <v>0.47469402727916687</v>
      </c>
      <c r="BK97" s="18"/>
      <c r="BL97" s="19"/>
    </row>
    <row r="98" spans="7:64" x14ac:dyDescent="0.25">
      <c r="G98">
        <v>89</v>
      </c>
      <c r="H98" s="548">
        <f t="shared" si="82"/>
        <v>45</v>
      </c>
      <c r="I98" s="4">
        <f t="shared" si="83"/>
        <v>2</v>
      </c>
      <c r="J98" s="360">
        <f t="shared" si="115"/>
        <v>10.68</v>
      </c>
      <c r="K98" s="4">
        <f t="shared" si="84"/>
        <v>1.3185185185185184</v>
      </c>
      <c r="L98" s="4"/>
      <c r="M98" s="360">
        <f t="shared" si="85"/>
        <v>0.11250010438993897</v>
      </c>
      <c r="N98" s="4">
        <f t="shared" si="86"/>
        <v>9.270222444904606</v>
      </c>
      <c r="O98" s="4">
        <f t="shared" si="116"/>
        <v>15.315111222452302</v>
      </c>
      <c r="P98" s="4">
        <f t="shared" si="117"/>
        <v>6.0448887775476967</v>
      </c>
      <c r="Q98" s="4">
        <f t="shared" si="87"/>
        <v>0</v>
      </c>
      <c r="R98" s="4">
        <f t="shared" si="88"/>
        <v>11.010168876157218</v>
      </c>
      <c r="S98" s="360">
        <f t="shared" si="89"/>
        <v>0.60611909340750547</v>
      </c>
      <c r="T98" s="360">
        <f t="shared" si="90"/>
        <v>0.3</v>
      </c>
      <c r="U98" s="360">
        <f t="shared" si="91"/>
        <v>0.95229544978172898</v>
      </c>
      <c r="V98" s="4">
        <f t="shared" si="118"/>
        <v>2.6760827120066928</v>
      </c>
      <c r="W98" s="360">
        <f t="shared" si="92"/>
        <v>1.4322837363002192E-2</v>
      </c>
      <c r="X98" s="360">
        <f t="shared" si="119"/>
        <v>1.4322837363002192E-2</v>
      </c>
      <c r="Y98" s="4">
        <f t="shared" si="93"/>
        <v>3.4790013586881159</v>
      </c>
      <c r="Z98" s="360">
        <f t="shared" si="120"/>
        <v>1.8155175680630634E-2</v>
      </c>
      <c r="AA98" s="541">
        <f t="shared" si="121"/>
        <v>1.8155175680630634E-2</v>
      </c>
      <c r="AB98" s="360">
        <f t="shared" si="94"/>
        <v>3.6929246209767008</v>
      </c>
      <c r="AC98" s="360">
        <f t="shared" si="95"/>
        <v>8.1826153537295457E-2</v>
      </c>
      <c r="AD98" s="360">
        <f t="shared" si="96"/>
        <v>0.19333419766611093</v>
      </c>
      <c r="AE98" s="360">
        <f t="shared" si="97"/>
        <v>-3.4229250000000003E-2</v>
      </c>
      <c r="AF98" s="360">
        <f t="shared" si="98"/>
        <v>0</v>
      </c>
      <c r="AG98" s="360">
        <f t="shared" si="99"/>
        <v>0.24396543973995966</v>
      </c>
      <c r="AH98" s="360">
        <f t="shared" si="100"/>
        <v>10.372373230138086</v>
      </c>
      <c r="AI98" s="360">
        <f t="shared" si="101"/>
        <v>0.268965316063213</v>
      </c>
      <c r="AJ98" s="360">
        <f t="shared" si="102"/>
        <v>4.6052159999999995E-2</v>
      </c>
      <c r="AK98" s="360">
        <f t="shared" si="103"/>
        <v>0.33292661870857476</v>
      </c>
      <c r="AL98" s="360">
        <f t="shared" si="104"/>
        <v>4.6052159999999995E-2</v>
      </c>
      <c r="AM98" s="360">
        <f t="shared" si="105"/>
        <v>0.52866000000000002</v>
      </c>
      <c r="AN98" s="360">
        <f t="shared" si="106"/>
        <v>0.48489527472600441</v>
      </c>
      <c r="AO98" s="360">
        <f t="shared" si="107"/>
        <v>1.5749999999999998E-3</v>
      </c>
      <c r="AP98" s="360">
        <f t="shared" si="108"/>
        <v>0.32669999999999993</v>
      </c>
      <c r="AQ98" s="360">
        <f t="shared" si="109"/>
        <v>0.31218000000000001</v>
      </c>
      <c r="AR98" s="360">
        <f t="shared" si="110"/>
        <v>0.29039999999999999</v>
      </c>
      <c r="AS98" s="360">
        <f t="shared" si="129"/>
        <v>0.32827499999999993</v>
      </c>
      <c r="AT98" s="360">
        <f t="shared" si="122"/>
        <v>2.9495479559999005</v>
      </c>
      <c r="AU98">
        <f t="shared" si="111"/>
        <v>53.4</v>
      </c>
      <c r="AV98" s="542">
        <f t="shared" si="123"/>
        <v>0.94765622683782613</v>
      </c>
      <c r="AW98" s="551">
        <f t="shared" si="112"/>
        <v>22.52947951011847</v>
      </c>
      <c r="AX98" s="551">
        <f t="shared" si="113"/>
        <v>19.280607910925841</v>
      </c>
      <c r="AY98" s="9"/>
      <c r="AZ98" s="4">
        <f t="shared" si="124"/>
        <v>94.76562268378261</v>
      </c>
      <c r="BA98" s="360">
        <f t="shared" si="114"/>
        <v>0.95229544978172898</v>
      </c>
      <c r="BB98" s="360">
        <f t="shared" si="125"/>
        <v>1.1055520584485343</v>
      </c>
      <c r="BC98" s="360">
        <f t="shared" si="126"/>
        <v>0.59288103973995976</v>
      </c>
      <c r="BD98" s="360">
        <f t="shared" si="127"/>
        <v>0.50738441870857476</v>
      </c>
      <c r="BE98" s="360">
        <f t="shared" si="128"/>
        <v>0.48489527472600441</v>
      </c>
      <c r="BK98" s="18"/>
      <c r="BL98" s="19"/>
    </row>
    <row r="99" spans="7:64" x14ac:dyDescent="0.25">
      <c r="G99">
        <v>90</v>
      </c>
      <c r="H99" s="548">
        <f t="shared" si="82"/>
        <v>45</v>
      </c>
      <c r="I99" s="4">
        <f t="shared" si="83"/>
        <v>2</v>
      </c>
      <c r="J99" s="360">
        <f t="shared" si="115"/>
        <v>10.8</v>
      </c>
      <c r="K99" s="4">
        <f t="shared" si="84"/>
        <v>1.3333333333333333</v>
      </c>
      <c r="L99" s="4"/>
      <c r="M99" s="360">
        <f t="shared" si="85"/>
        <v>0.11251570282002213</v>
      </c>
      <c r="N99" s="4">
        <f t="shared" si="86"/>
        <v>9.2712009241856741</v>
      </c>
      <c r="O99" s="4">
        <f t="shared" si="116"/>
        <v>15.435600462092838</v>
      </c>
      <c r="P99" s="4">
        <f t="shared" si="117"/>
        <v>6.1643995379071637</v>
      </c>
      <c r="Q99" s="4">
        <f t="shared" si="87"/>
        <v>0</v>
      </c>
      <c r="R99" s="4">
        <f t="shared" si="88"/>
        <v>11.126676527519427</v>
      </c>
      <c r="S99" s="360">
        <f t="shared" si="89"/>
        <v>0.61901465274025891</v>
      </c>
      <c r="T99" s="360">
        <f t="shared" si="90"/>
        <v>0.3</v>
      </c>
      <c r="U99" s="360">
        <f t="shared" si="91"/>
        <v>0.96689650087842116</v>
      </c>
      <c r="V99" s="4">
        <f t="shared" si="118"/>
        <v>2.6763651746448534</v>
      </c>
      <c r="W99" s="360">
        <f t="shared" si="92"/>
        <v>1.4325861096103554E-2</v>
      </c>
      <c r="X99" s="360">
        <f t="shared" si="119"/>
        <v>1.4325861096103554E-2</v>
      </c>
      <c r="Y99" s="4">
        <f t="shared" si="93"/>
        <v>3.5160283643780192</v>
      </c>
      <c r="Z99" s="360">
        <f t="shared" si="120"/>
        <v>1.8543683188666154E-2</v>
      </c>
      <c r="AA99" s="541">
        <f t="shared" si="121"/>
        <v>1.8543683188666154E-2</v>
      </c>
      <c r="AB99" s="360">
        <f t="shared" si="94"/>
        <v>3.7322612102842467</v>
      </c>
      <c r="AC99" s="360">
        <f t="shared" si="95"/>
        <v>8.3578642450754581E-2</v>
      </c>
      <c r="AD99" s="360">
        <f t="shared" si="96"/>
        <v>0.19550649202190998</v>
      </c>
      <c r="AE99" s="360">
        <f t="shared" si="97"/>
        <v>-3.4229250000000003E-2</v>
      </c>
      <c r="AF99" s="360">
        <f t="shared" si="98"/>
        <v>0</v>
      </c>
      <c r="AG99" s="360">
        <f t="shared" si="99"/>
        <v>0.24800654816608664</v>
      </c>
      <c r="AH99" s="360">
        <f t="shared" si="100"/>
        <v>10.482039725466572</v>
      </c>
      <c r="AI99" s="360">
        <f t="shared" si="101"/>
        <v>0.27468289201564833</v>
      </c>
      <c r="AJ99" s="360">
        <f t="shared" si="102"/>
        <v>4.6569600000000003E-2</v>
      </c>
      <c r="AK99" s="360">
        <f t="shared" si="103"/>
        <v>0.33992691355340909</v>
      </c>
      <c r="AL99" s="360">
        <f t="shared" si="104"/>
        <v>4.6569600000000003E-2</v>
      </c>
      <c r="AM99" s="360">
        <f t="shared" si="105"/>
        <v>0.53459999999999996</v>
      </c>
      <c r="AN99" s="360">
        <f t="shared" si="106"/>
        <v>0.4952117221922071</v>
      </c>
      <c r="AO99" s="360">
        <f t="shared" si="107"/>
        <v>1.5749999999999998E-3</v>
      </c>
      <c r="AP99" s="360">
        <f t="shared" si="108"/>
        <v>0.32669999999999993</v>
      </c>
      <c r="AQ99" s="360">
        <f t="shared" si="109"/>
        <v>0.31218000000000001</v>
      </c>
      <c r="AR99" s="360">
        <f t="shared" si="110"/>
        <v>0.29039999999999999</v>
      </c>
      <c r="AS99" s="360">
        <f t="shared" si="129"/>
        <v>0.32827499999999993</v>
      </c>
      <c r="AT99" s="360">
        <f t="shared" si="122"/>
        <v>2.9923558290748939</v>
      </c>
      <c r="AU99">
        <f t="shared" si="111"/>
        <v>54</v>
      </c>
      <c r="AV99" s="542">
        <f t="shared" si="123"/>
        <v>0.94749548802563566</v>
      </c>
      <c r="AW99" s="551">
        <f t="shared" si="112"/>
        <v>22.832016830311293</v>
      </c>
      <c r="AX99" s="551">
        <f t="shared" si="113"/>
        <v>19.621106715029544</v>
      </c>
      <c r="AY99" s="9"/>
      <c r="AZ99" s="4">
        <f t="shared" si="124"/>
        <v>94.749548802563567</v>
      </c>
      <c r="BA99" s="360">
        <f t="shared" si="114"/>
        <v>0.96689650087842116</v>
      </c>
      <c r="BB99" s="360">
        <f t="shared" si="125"/>
        <v>1.1225334617194958</v>
      </c>
      <c r="BC99" s="360">
        <f t="shared" si="126"/>
        <v>0.60084254816608662</v>
      </c>
      <c r="BD99" s="360">
        <f t="shared" si="127"/>
        <v>0.51634491355340906</v>
      </c>
      <c r="BE99" s="360">
        <f t="shared" si="128"/>
        <v>0.4952117221922071</v>
      </c>
      <c r="BK99" s="18"/>
      <c r="BL99" s="19"/>
    </row>
    <row r="100" spans="7:64" x14ac:dyDescent="0.25">
      <c r="G100">
        <v>91</v>
      </c>
      <c r="H100" s="548">
        <f t="shared" si="82"/>
        <v>45</v>
      </c>
      <c r="I100" s="4">
        <f t="shared" si="83"/>
        <v>2</v>
      </c>
      <c r="J100" s="360">
        <f t="shared" si="115"/>
        <v>10.92</v>
      </c>
      <c r="K100" s="4">
        <f t="shared" si="84"/>
        <v>1.3481481481481481</v>
      </c>
      <c r="L100" s="4"/>
      <c r="M100" s="360">
        <f t="shared" si="85"/>
        <v>0.11253130106718139</v>
      </c>
      <c r="N100" s="4">
        <f t="shared" si="86"/>
        <v>9.272179303312118</v>
      </c>
      <c r="O100" s="4">
        <f t="shared" si="116"/>
        <v>15.556089651656059</v>
      </c>
      <c r="P100" s="4">
        <f t="shared" si="117"/>
        <v>6.2839103483439409</v>
      </c>
      <c r="Q100" s="4">
        <f t="shared" si="87"/>
        <v>0</v>
      </c>
      <c r="R100" s="4">
        <f t="shared" si="88"/>
        <v>11.243257642667336</v>
      </c>
      <c r="S100" s="360">
        <f t="shared" si="89"/>
        <v>0.63205421209698731</v>
      </c>
      <c r="T100" s="360">
        <f t="shared" si="90"/>
        <v>0.3</v>
      </c>
      <c r="U100" s="360">
        <f t="shared" si="91"/>
        <v>0.98169286070449246</v>
      </c>
      <c r="V100" s="4">
        <f t="shared" si="118"/>
        <v>2.6766476083708644</v>
      </c>
      <c r="W100" s="360">
        <f t="shared" si="92"/>
        <v>1.4328884838794936E-2</v>
      </c>
      <c r="X100" s="360">
        <f t="shared" si="119"/>
        <v>1.4328884838794936E-2</v>
      </c>
      <c r="Y100" s="4">
        <f t="shared" si="93"/>
        <v>3.5530830189456419</v>
      </c>
      <c r="Z100" s="360">
        <f t="shared" si="120"/>
        <v>1.8936598409279814E-2</v>
      </c>
      <c r="AA100" s="541">
        <f t="shared" si="121"/>
        <v>1.8936598409279814E-2</v>
      </c>
      <c r="AB100" s="360">
        <f t="shared" si="94"/>
        <v>3.7716278403964036</v>
      </c>
      <c r="AC100" s="360">
        <f t="shared" si="95"/>
        <v>8.5351059398719439E-2</v>
      </c>
      <c r="AD100" s="360">
        <f t="shared" si="96"/>
        <v>0.19767878637770894</v>
      </c>
      <c r="AE100" s="360">
        <f t="shared" si="97"/>
        <v>-3.4229250000000003E-2</v>
      </c>
      <c r="AF100" s="360">
        <f t="shared" si="98"/>
        <v>0</v>
      </c>
      <c r="AG100" s="360">
        <f t="shared" si="99"/>
        <v>0.25207080128628517</v>
      </c>
      <c r="AH100" s="360">
        <f t="shared" si="100"/>
        <v>10.591773498944558</v>
      </c>
      <c r="AI100" s="360">
        <f t="shared" si="101"/>
        <v>0.28046416463236062</v>
      </c>
      <c r="AJ100" s="360">
        <f t="shared" si="102"/>
        <v>4.7087039999999997E-2</v>
      </c>
      <c r="AK100" s="360">
        <f t="shared" si="103"/>
        <v>0.34701633387094016</v>
      </c>
      <c r="AL100" s="360">
        <f t="shared" si="104"/>
        <v>4.7087039999999997E-2</v>
      </c>
      <c r="AM100" s="360">
        <f t="shared" si="105"/>
        <v>0.54053999999999991</v>
      </c>
      <c r="AN100" s="360">
        <f t="shared" si="106"/>
        <v>0.50564336967758994</v>
      </c>
      <c r="AO100" s="360">
        <f t="shared" si="107"/>
        <v>1.5749999999999998E-3</v>
      </c>
      <c r="AP100" s="360">
        <f t="shared" si="108"/>
        <v>0.32669999999999993</v>
      </c>
      <c r="AQ100" s="360">
        <f t="shared" si="109"/>
        <v>0.31218000000000001</v>
      </c>
      <c r="AR100" s="360">
        <f t="shared" si="110"/>
        <v>0.29039999999999999</v>
      </c>
      <c r="AS100" s="360">
        <f t="shared" si="129"/>
        <v>0.32827499999999993</v>
      </c>
      <c r="AT100" s="360">
        <f t="shared" si="122"/>
        <v>3.0355908887873824</v>
      </c>
      <c r="AU100">
        <f t="shared" si="111"/>
        <v>54.6</v>
      </c>
      <c r="AV100" s="542">
        <f t="shared" si="123"/>
        <v>0.94733131313523267</v>
      </c>
      <c r="AW100" s="551">
        <f t="shared" si="112"/>
        <v>23.135433648878838</v>
      </c>
      <c r="AX100" s="551">
        <f t="shared" si="113"/>
        <v>19.964992287095725</v>
      </c>
      <c r="AY100" s="9"/>
      <c r="AZ100" s="4">
        <f t="shared" si="124"/>
        <v>94.733131313523273</v>
      </c>
      <c r="BA100" s="360">
        <f t="shared" si="114"/>
        <v>0.98169286070449246</v>
      </c>
      <c r="BB100" s="360">
        <f t="shared" si="125"/>
        <v>1.1396271351572254</v>
      </c>
      <c r="BC100" s="360">
        <f t="shared" si="126"/>
        <v>0.6088272012862852</v>
      </c>
      <c r="BD100" s="360">
        <f t="shared" si="127"/>
        <v>0.52539453387094015</v>
      </c>
      <c r="BE100" s="360">
        <f t="shared" si="128"/>
        <v>0.50564336967758994</v>
      </c>
      <c r="BK100" s="18"/>
      <c r="BL100" s="19"/>
    </row>
    <row r="101" spans="7:64" x14ac:dyDescent="0.25">
      <c r="G101">
        <v>92</v>
      </c>
      <c r="H101" s="548">
        <f t="shared" si="82"/>
        <v>45</v>
      </c>
      <c r="I101" s="4">
        <f t="shared" si="83"/>
        <v>2</v>
      </c>
      <c r="J101" s="360">
        <f t="shared" si="115"/>
        <v>11.04</v>
      </c>
      <c r="K101" s="4">
        <f t="shared" si="84"/>
        <v>1.3629629629629629</v>
      </c>
      <c r="L101" s="4"/>
      <c r="M101" s="360">
        <f t="shared" si="85"/>
        <v>0.11254689913141992</v>
      </c>
      <c r="N101" s="4">
        <f t="shared" si="86"/>
        <v>9.2731575822856964</v>
      </c>
      <c r="O101" s="4">
        <f t="shared" si="116"/>
        <v>15.676578791142848</v>
      </c>
      <c r="P101" s="4">
        <f t="shared" si="117"/>
        <v>6.4034212088571509</v>
      </c>
      <c r="Q101" s="4">
        <f t="shared" si="87"/>
        <v>0</v>
      </c>
      <c r="R101" s="4">
        <f t="shared" si="88"/>
        <v>11.35990995983207</v>
      </c>
      <c r="S101" s="360">
        <f t="shared" si="89"/>
        <v>0.64523777147745931</v>
      </c>
      <c r="T101" s="360">
        <f t="shared" si="90"/>
        <v>0.3</v>
      </c>
      <c r="U101" s="360">
        <f t="shared" si="91"/>
        <v>0.99668571293992159</v>
      </c>
      <c r="V101" s="4">
        <f t="shared" si="118"/>
        <v>2.6769300131852334</v>
      </c>
      <c r="W101" s="360">
        <f t="shared" si="92"/>
        <v>1.4331908590983787E-2</v>
      </c>
      <c r="X101" s="360">
        <f t="shared" si="119"/>
        <v>1.4331908590983787E-2</v>
      </c>
      <c r="Y101" s="4">
        <f t="shared" si="93"/>
        <v>3.5901646110531185</v>
      </c>
      <c r="Z101" s="360">
        <f t="shared" si="120"/>
        <v>1.9333922901687284E-2</v>
      </c>
      <c r="AA101" s="541">
        <f t="shared" si="121"/>
        <v>1.9333922901687284E-2</v>
      </c>
      <c r="AB101" s="360">
        <f t="shared" si="94"/>
        <v>3.8110237570042984</v>
      </c>
      <c r="AC101" s="360">
        <f t="shared" si="95"/>
        <v>8.7143412458706951E-2</v>
      </c>
      <c r="AD101" s="360">
        <f t="shared" si="96"/>
        <v>0.19985108073350794</v>
      </c>
      <c r="AE101" s="360">
        <f t="shared" si="97"/>
        <v>-3.4229250000000003E-2</v>
      </c>
      <c r="AF101" s="360">
        <f t="shared" si="98"/>
        <v>0</v>
      </c>
      <c r="AG101" s="360">
        <f t="shared" si="99"/>
        <v>0.2561582639907703</v>
      </c>
      <c r="AH101" s="360">
        <f t="shared" si="100"/>
        <v>10.701572418062717</v>
      </c>
      <c r="AI101" s="360">
        <f t="shared" si="101"/>
        <v>0.28630913054760176</v>
      </c>
      <c r="AJ101" s="360">
        <f t="shared" si="102"/>
        <v>4.7604479999999998E-2</v>
      </c>
      <c r="AK101" s="360">
        <f t="shared" si="103"/>
        <v>0.354195491171861</v>
      </c>
      <c r="AL101" s="360">
        <f t="shared" si="104"/>
        <v>4.7604479999999998E-2</v>
      </c>
      <c r="AM101" s="360">
        <f t="shared" si="105"/>
        <v>0.54647999999999997</v>
      </c>
      <c r="AN101" s="360">
        <f t="shared" si="106"/>
        <v>0.51619021718196745</v>
      </c>
      <c r="AO101" s="360">
        <f t="shared" si="107"/>
        <v>1.5749999999999998E-3</v>
      </c>
      <c r="AP101" s="360">
        <f t="shared" si="108"/>
        <v>0.32669999999999993</v>
      </c>
      <c r="AQ101" s="360">
        <f t="shared" si="109"/>
        <v>0.31218000000000001</v>
      </c>
      <c r="AR101" s="360">
        <f t="shared" si="110"/>
        <v>0.29039999999999999</v>
      </c>
      <c r="AS101" s="360">
        <f t="shared" si="129"/>
        <v>0.32827499999999993</v>
      </c>
      <c r="AT101" s="360">
        <f t="shared" si="122"/>
        <v>3.0792549967771916</v>
      </c>
      <c r="AU101">
        <f t="shared" si="111"/>
        <v>55.199999999999996</v>
      </c>
      <c r="AV101" s="542">
        <f t="shared" si="123"/>
        <v>0.94716378929436429</v>
      </c>
      <c r="AW101" s="551">
        <f t="shared" si="112"/>
        <v>23.439732431649269</v>
      </c>
      <c r="AX101" s="551">
        <f t="shared" si="113"/>
        <v>20.312287864530717</v>
      </c>
      <c r="AY101" s="9"/>
      <c r="AZ101" s="4">
        <f t="shared" si="124"/>
        <v>94.716378929436431</v>
      </c>
      <c r="BA101" s="360">
        <f t="shared" si="114"/>
        <v>0.99668571293992159</v>
      </c>
      <c r="BB101" s="360">
        <f t="shared" si="125"/>
        <v>1.1568337551626313</v>
      </c>
      <c r="BC101" s="360">
        <f t="shared" si="126"/>
        <v>0.61683506399077026</v>
      </c>
      <c r="BD101" s="360">
        <f t="shared" si="127"/>
        <v>0.53453389117186101</v>
      </c>
      <c r="BE101" s="360">
        <f t="shared" si="128"/>
        <v>0.51619021718196745</v>
      </c>
      <c r="BK101" s="18"/>
      <c r="BL101" s="19"/>
    </row>
    <row r="102" spans="7:64" x14ac:dyDescent="0.25">
      <c r="G102">
        <v>93</v>
      </c>
      <c r="H102" s="548">
        <f t="shared" si="82"/>
        <v>45</v>
      </c>
      <c r="I102" s="4">
        <f t="shared" si="83"/>
        <v>2</v>
      </c>
      <c r="J102" s="360">
        <f t="shared" si="115"/>
        <v>11.16</v>
      </c>
      <c r="K102" s="4">
        <f t="shared" si="84"/>
        <v>1.3777777777777778</v>
      </c>
      <c r="L102" s="4"/>
      <c r="M102" s="360">
        <f t="shared" si="85"/>
        <v>0.11256249701274094</v>
      </c>
      <c r="N102" s="4">
        <f t="shared" si="86"/>
        <v>9.2741357611081678</v>
      </c>
      <c r="O102" s="4">
        <f t="shared" si="116"/>
        <v>15.797067880554085</v>
      </c>
      <c r="P102" s="4">
        <f t="shared" si="117"/>
        <v>6.5229321194459162</v>
      </c>
      <c r="Q102" s="4">
        <f t="shared" si="87"/>
        <v>0</v>
      </c>
      <c r="R102" s="4">
        <f t="shared" si="88"/>
        <v>11.476631307848518</v>
      </c>
      <c r="S102" s="360">
        <f t="shared" si="89"/>
        <v>0.65856533088144387</v>
      </c>
      <c r="T102" s="360">
        <f t="shared" si="90"/>
        <v>0.3</v>
      </c>
      <c r="U102" s="360">
        <f t="shared" si="91"/>
        <v>1.0118762608441567</v>
      </c>
      <c r="V102" s="4">
        <f t="shared" si="118"/>
        <v>2.677212389088468</v>
      </c>
      <c r="W102" s="360">
        <f t="shared" si="92"/>
        <v>1.4334932352577566E-2</v>
      </c>
      <c r="X102" s="360">
        <f t="shared" si="119"/>
        <v>1.4334932352577566E-2</v>
      </c>
      <c r="Y102" s="4">
        <f t="shared" si="93"/>
        <v>3.6272724578248114</v>
      </c>
      <c r="Z102" s="360">
        <f t="shared" si="120"/>
        <v>1.9735658224941676E-2</v>
      </c>
      <c r="AA102" s="541">
        <f t="shared" si="121"/>
        <v>1.9735658224941676E-2</v>
      </c>
      <c r="AB102" s="360">
        <f t="shared" si="94"/>
        <v>3.8504482359859686</v>
      </c>
      <c r="AC102" s="360">
        <f t="shared" si="95"/>
        <v>8.8955709708044756E-2</v>
      </c>
      <c r="AD102" s="360">
        <f t="shared" si="96"/>
        <v>0.20202337508930696</v>
      </c>
      <c r="AE102" s="360">
        <f t="shared" si="97"/>
        <v>-3.4229250000000003E-2</v>
      </c>
      <c r="AF102" s="360">
        <f t="shared" si="98"/>
        <v>0</v>
      </c>
      <c r="AG102" s="360">
        <f t="shared" si="99"/>
        <v>0.26026900168890837</v>
      </c>
      <c r="AH102" s="360">
        <f t="shared" si="100"/>
        <v>10.811434435738919</v>
      </c>
      <c r="AI102" s="360">
        <f t="shared" si="101"/>
        <v>0.29221778639570328</v>
      </c>
      <c r="AJ102" s="360">
        <f t="shared" si="102"/>
        <v>4.8121919999999999E-2</v>
      </c>
      <c r="AK102" s="360">
        <f t="shared" si="103"/>
        <v>0.36146500725140579</v>
      </c>
      <c r="AL102" s="360">
        <f t="shared" si="104"/>
        <v>4.8121919999999999E-2</v>
      </c>
      <c r="AM102" s="360">
        <f t="shared" si="105"/>
        <v>0.55241999999999991</v>
      </c>
      <c r="AN102" s="360">
        <f t="shared" si="106"/>
        <v>0.52685226470515512</v>
      </c>
      <c r="AO102" s="360">
        <f t="shared" si="107"/>
        <v>1.5749999999999998E-3</v>
      </c>
      <c r="AP102" s="360">
        <f t="shared" si="108"/>
        <v>0.32669999999999993</v>
      </c>
      <c r="AQ102" s="360">
        <f t="shared" si="109"/>
        <v>0.31218000000000001</v>
      </c>
      <c r="AR102" s="360">
        <f t="shared" si="110"/>
        <v>0.29039999999999999</v>
      </c>
      <c r="AS102" s="360">
        <f t="shared" si="129"/>
        <v>0.32827499999999993</v>
      </c>
      <c r="AT102" s="360">
        <f t="shared" si="122"/>
        <v>3.1233500450671454</v>
      </c>
      <c r="AU102">
        <f t="shared" si="111"/>
        <v>55.8</v>
      </c>
      <c r="AV102" s="542">
        <f t="shared" si="123"/>
        <v>0.9469929995039611</v>
      </c>
      <c r="AW102" s="551">
        <f t="shared" si="112"/>
        <v>23.744915664178517</v>
      </c>
      <c r="AX102" s="551">
        <f t="shared" si="113"/>
        <v>20.663017075553419</v>
      </c>
      <c r="AY102" s="9"/>
      <c r="AZ102" s="4">
        <f t="shared" si="124"/>
        <v>94.69929995039611</v>
      </c>
      <c r="BA102" s="360">
        <f t="shared" si="114"/>
        <v>1.0118762608441567</v>
      </c>
      <c r="BB102" s="360">
        <f t="shared" si="125"/>
        <v>1.174154008940314</v>
      </c>
      <c r="BC102" s="360">
        <f t="shared" si="126"/>
        <v>0.62486620168890838</v>
      </c>
      <c r="BD102" s="360">
        <f t="shared" si="127"/>
        <v>0.54376360725140582</v>
      </c>
      <c r="BE102" s="360">
        <f t="shared" si="128"/>
        <v>0.52685226470515512</v>
      </c>
      <c r="BK102" s="18"/>
      <c r="BL102" s="19"/>
    </row>
    <row r="103" spans="7:64" x14ac:dyDescent="0.25">
      <c r="G103">
        <v>94</v>
      </c>
      <c r="H103" s="548">
        <f t="shared" si="82"/>
        <v>45</v>
      </c>
      <c r="I103" s="4">
        <f t="shared" si="83"/>
        <v>2</v>
      </c>
      <c r="J103" s="360">
        <f t="shared" si="115"/>
        <v>11.28</v>
      </c>
      <c r="K103" s="4">
        <f t="shared" si="84"/>
        <v>1.3925925925925926</v>
      </c>
      <c r="L103" s="4"/>
      <c r="M103" s="360">
        <f t="shared" si="85"/>
        <v>0.11257809471114773</v>
      </c>
      <c r="N103" s="4">
        <f t="shared" si="86"/>
        <v>9.2751138397813016</v>
      </c>
      <c r="O103" s="4">
        <f t="shared" si="116"/>
        <v>15.91755691989065</v>
      </c>
      <c r="P103" s="4">
        <f t="shared" si="117"/>
        <v>6.6424430801093486</v>
      </c>
      <c r="Q103" s="4">
        <f t="shared" si="87"/>
        <v>0</v>
      </c>
      <c r="R103" s="4">
        <f t="shared" si="88"/>
        <v>11.593419601728467</v>
      </c>
      <c r="S103" s="360">
        <f t="shared" si="89"/>
        <v>0.67203689030870917</v>
      </c>
      <c r="T103" s="360">
        <f t="shared" si="90"/>
        <v>0.3</v>
      </c>
      <c r="U103" s="360">
        <f t="shared" si="91"/>
        <v>1.0272657275117245</v>
      </c>
      <c r="V103" s="4">
        <f t="shared" si="118"/>
        <v>2.677494736081079</v>
      </c>
      <c r="W103" s="360">
        <f t="shared" si="92"/>
        <v>1.4337956123483774E-2</v>
      </c>
      <c r="X103" s="360">
        <f t="shared" si="119"/>
        <v>1.4337956123483774E-2</v>
      </c>
      <c r="Y103" s="4">
        <f t="shared" si="93"/>
        <v>3.6644059034567964</v>
      </c>
      <c r="Z103" s="360">
        <f t="shared" si="120"/>
        <v>2.0141805937933532E-2</v>
      </c>
      <c r="AA103" s="541">
        <f t="shared" si="121"/>
        <v>2.0141805937933532E-2</v>
      </c>
      <c r="AB103" s="360">
        <f t="shared" si="94"/>
        <v>3.8899005819316015</v>
      </c>
      <c r="AC103" s="360">
        <f t="shared" si="95"/>
        <v>9.0787959223870882E-2</v>
      </c>
      <c r="AD103" s="360">
        <f t="shared" si="96"/>
        <v>0.20419566944510592</v>
      </c>
      <c r="AE103" s="360">
        <f t="shared" si="97"/>
        <v>-3.4229250000000003E-2</v>
      </c>
      <c r="AF103" s="360">
        <f t="shared" si="98"/>
        <v>0</v>
      </c>
      <c r="AG103" s="360">
        <f t="shared" si="99"/>
        <v>0.26440308031223286</v>
      </c>
      <c r="AH103" s="360">
        <f t="shared" si="100"/>
        <v>10.921357586144225</v>
      </c>
      <c r="AI103" s="360">
        <f t="shared" si="101"/>
        <v>0.29819012881107504</v>
      </c>
      <c r="AJ103" s="360">
        <f t="shared" si="102"/>
        <v>4.8639359999999993E-2</v>
      </c>
      <c r="AK103" s="360">
        <f t="shared" si="103"/>
        <v>0.36882551433685878</v>
      </c>
      <c r="AL103" s="360">
        <f t="shared" si="104"/>
        <v>4.8639359999999993E-2</v>
      </c>
      <c r="AM103" s="360">
        <f t="shared" si="105"/>
        <v>0.55835999999999997</v>
      </c>
      <c r="AN103" s="360">
        <f t="shared" si="106"/>
        <v>0.53762951224696731</v>
      </c>
      <c r="AO103" s="360">
        <f t="shared" si="107"/>
        <v>1.5749999999999998E-3</v>
      </c>
      <c r="AP103" s="360">
        <f t="shared" si="108"/>
        <v>0.32669999999999993</v>
      </c>
      <c r="AQ103" s="360">
        <f t="shared" si="109"/>
        <v>0.31218000000000001</v>
      </c>
      <c r="AR103" s="360">
        <f t="shared" si="110"/>
        <v>0.29039999999999999</v>
      </c>
      <c r="AS103" s="360">
        <f t="shared" si="129"/>
        <v>0.32827499999999993</v>
      </c>
      <c r="AT103" s="360">
        <f t="shared" si="122"/>
        <v>3.167877956469201</v>
      </c>
      <c r="AU103">
        <f t="shared" si="111"/>
        <v>56.4</v>
      </c>
      <c r="AV103" s="542">
        <f t="shared" si="123"/>
        <v>0.94681902285013064</v>
      </c>
      <c r="AW103" s="551">
        <f t="shared" si="112"/>
        <v>24.050985851864851</v>
      </c>
      <c r="AX103" s="551">
        <f t="shared" si="113"/>
        <v>21.017203944800634</v>
      </c>
      <c r="AY103" s="9"/>
      <c r="AZ103" s="4">
        <f t="shared" si="124"/>
        <v>94.681902285013066</v>
      </c>
      <c r="BA103" s="360">
        <f t="shared" si="114"/>
        <v>1.0272657275117245</v>
      </c>
      <c r="BB103" s="360">
        <f t="shared" si="125"/>
        <v>1.1915885946490916</v>
      </c>
      <c r="BC103" s="360">
        <f t="shared" si="126"/>
        <v>0.63292068031223292</v>
      </c>
      <c r="BD103" s="360">
        <f t="shared" si="127"/>
        <v>0.55308431433685878</v>
      </c>
      <c r="BE103" s="360">
        <f t="shared" si="128"/>
        <v>0.53762951224696731</v>
      </c>
      <c r="BK103" s="18"/>
      <c r="BL103" s="19"/>
    </row>
    <row r="104" spans="7:64" x14ac:dyDescent="0.25">
      <c r="G104">
        <v>95</v>
      </c>
      <c r="H104" s="548">
        <f t="shared" si="82"/>
        <v>45</v>
      </c>
      <c r="I104" s="4">
        <f t="shared" si="83"/>
        <v>2</v>
      </c>
      <c r="J104" s="360">
        <f t="shared" si="115"/>
        <v>11.4</v>
      </c>
      <c r="K104" s="4">
        <f t="shared" si="84"/>
        <v>1.4074074074074074</v>
      </c>
      <c r="L104" s="4"/>
      <c r="M104" s="360">
        <f t="shared" si="85"/>
        <v>0.11259369222664345</v>
      </c>
      <c r="N104" s="4">
        <f t="shared" si="86"/>
        <v>9.2760918183068526</v>
      </c>
      <c r="O104" s="4">
        <f t="shared" si="116"/>
        <v>16.038045909153425</v>
      </c>
      <c r="P104" s="4">
        <f t="shared" si="117"/>
        <v>6.7619540908465741</v>
      </c>
      <c r="Q104" s="4">
        <f t="shared" si="87"/>
        <v>0</v>
      </c>
      <c r="R104" s="4">
        <f t="shared" si="88"/>
        <v>11.710272838486938</v>
      </c>
      <c r="S104" s="360">
        <f t="shared" si="89"/>
        <v>0.68565244975902473</v>
      </c>
      <c r="T104" s="360">
        <f t="shared" si="90"/>
        <v>0.3</v>
      </c>
      <c r="U104" s="360">
        <f t="shared" si="91"/>
        <v>1.0428553561331879</v>
      </c>
      <c r="V104" s="4">
        <f t="shared" si="118"/>
        <v>2.6777770541635735</v>
      </c>
      <c r="W104" s="360">
        <f t="shared" si="92"/>
        <v>1.4340979903609892E-2</v>
      </c>
      <c r="X104" s="360">
        <f t="shared" si="119"/>
        <v>1.4340979903609892E-2</v>
      </c>
      <c r="Y104" s="4">
        <f t="shared" si="93"/>
        <v>3.701564317905865</v>
      </c>
      <c r="Z104" s="360">
        <f t="shared" si="120"/>
        <v>2.0552367599390869E-2</v>
      </c>
      <c r="AA104" s="541">
        <f t="shared" si="121"/>
        <v>2.0552367599390869E-2</v>
      </c>
      <c r="AB104" s="360">
        <f t="shared" si="94"/>
        <v>3.9293801267531174</v>
      </c>
      <c r="AC104" s="360">
        <f t="shared" si="95"/>
        <v>9.2640169083134077E-2</v>
      </c>
      <c r="AD104" s="360">
        <f t="shared" si="96"/>
        <v>0.20636796380090494</v>
      </c>
      <c r="AE104" s="360">
        <f t="shared" si="97"/>
        <v>-3.4229250000000003E-2</v>
      </c>
      <c r="AF104" s="360">
        <f t="shared" si="98"/>
        <v>0</v>
      </c>
      <c r="AG104" s="360">
        <f t="shared" si="99"/>
        <v>0.2685605663174917</v>
      </c>
      <c r="AH104" s="360">
        <f t="shared" si="100"/>
        <v>11.031339980767639</v>
      </c>
      <c r="AI104" s="360">
        <f t="shared" si="101"/>
        <v>0.30422615442820644</v>
      </c>
      <c r="AJ104" s="360">
        <f t="shared" si="102"/>
        <v>4.91568E-2</v>
      </c>
      <c r="AK104" s="360">
        <f t="shared" si="103"/>
        <v>0.37627765523828782</v>
      </c>
      <c r="AL104" s="360">
        <f t="shared" si="104"/>
        <v>4.91568E-2</v>
      </c>
      <c r="AM104" s="360">
        <f t="shared" si="105"/>
        <v>0.56429999999999991</v>
      </c>
      <c r="AN104" s="360">
        <f t="shared" si="106"/>
        <v>0.54852195980721985</v>
      </c>
      <c r="AO104" s="360">
        <f t="shared" si="107"/>
        <v>1.5749999999999998E-3</v>
      </c>
      <c r="AP104" s="360">
        <f t="shared" si="108"/>
        <v>0.32669999999999993</v>
      </c>
      <c r="AQ104" s="360">
        <f t="shared" si="109"/>
        <v>0.31218000000000001</v>
      </c>
      <c r="AR104" s="360">
        <f t="shared" si="110"/>
        <v>0.29039999999999999</v>
      </c>
      <c r="AS104" s="360">
        <f t="shared" si="129"/>
        <v>0.32827499999999993</v>
      </c>
      <c r="AT104" s="360">
        <f t="shared" si="122"/>
        <v>3.212840684999188</v>
      </c>
      <c r="AU104">
        <f t="shared" si="111"/>
        <v>57</v>
      </c>
      <c r="AV104" s="542">
        <f t="shared" si="123"/>
        <v>0.94664193470281499</v>
      </c>
      <c r="AW104" s="551">
        <f t="shared" si="112"/>
        <v>24.357945520064682</v>
      </c>
      <c r="AX104" s="551">
        <f t="shared" si="113"/>
        <v>21.374872899054935</v>
      </c>
      <c r="AY104" s="9"/>
      <c r="AZ104" s="4">
        <f t="shared" si="124"/>
        <v>94.664193470281504</v>
      </c>
      <c r="BA104" s="360">
        <f t="shared" si="114"/>
        <v>1.0428553561331879</v>
      </c>
      <c r="BB104" s="360">
        <f t="shared" si="125"/>
        <v>1.2091382215557793</v>
      </c>
      <c r="BC104" s="360">
        <f t="shared" si="126"/>
        <v>0.64099856631749164</v>
      </c>
      <c r="BD104" s="360">
        <f t="shared" si="127"/>
        <v>0.56249665523828773</v>
      </c>
      <c r="BE104" s="360">
        <f t="shared" si="128"/>
        <v>0.54852195980721985</v>
      </c>
      <c r="BK104" s="18"/>
      <c r="BL104" s="19"/>
    </row>
    <row r="105" spans="7:64" x14ac:dyDescent="0.25">
      <c r="G105">
        <v>96</v>
      </c>
      <c r="H105" s="548">
        <f t="shared" si="82"/>
        <v>45</v>
      </c>
      <c r="I105" s="4">
        <f t="shared" si="83"/>
        <v>2</v>
      </c>
      <c r="J105" s="360">
        <f t="shared" si="115"/>
        <v>11.52</v>
      </c>
      <c r="K105" s="4">
        <f t="shared" ref="K105:K109" si="130">Vout2*J105/(Vin*Efficiency)</f>
        <v>1.4222222222222221</v>
      </c>
      <c r="L105" s="4"/>
      <c r="M105" s="360">
        <f t="shared" si="85"/>
        <v>0.11260928955923136</v>
      </c>
      <c r="N105" s="4">
        <f t="shared" ref="N105:N109" si="131">(Vin-(Rdson3+Rdcr2)*J105-Vout2)*M105/(Fsw*Lo_2)</f>
        <v>9.2770696966865867</v>
      </c>
      <c r="O105" s="4">
        <f t="shared" si="116"/>
        <v>16.158534848343294</v>
      </c>
      <c r="P105" s="4">
        <f t="shared" si="117"/>
        <v>6.8814651516567062</v>
      </c>
      <c r="Q105" s="4">
        <f t="shared" ref="Q105:Q109" si="132">IF(MIN(Vin, -P105/(Coss_Q3+Coss_Q4)*0.00000002)&lt;0, 0, MIN(Vin, -P105/(Coss_Q3+Coss_Q4)*0.00000002))</f>
        <v>0</v>
      </c>
      <c r="R105" s="4">
        <f t="shared" si="88"/>
        <v>11.827189093205186</v>
      </c>
      <c r="S105" s="360">
        <f t="shared" ref="S105:S109" si="133">R105^2*Rdcr2</f>
        <v>0.69941200923215863</v>
      </c>
      <c r="T105" s="360">
        <f t="shared" si="90"/>
        <v>0.3</v>
      </c>
      <c r="U105" s="360">
        <f t="shared" ref="U105:U109" si="134">(T105+S105*(1+Ltc*(Ta-25)))/(1-S105*Ltc*ThetaCa)</f>
        <v>1.0586464102615543</v>
      </c>
      <c r="V105" s="4">
        <f t="shared" si="118"/>
        <v>2.6780593433364603</v>
      </c>
      <c r="W105" s="360">
        <f t="shared" ref="W105:W109" si="135">Cout2_ESR*V105^2</f>
        <v>1.4344003692863426E-2</v>
      </c>
      <c r="X105" s="360">
        <f t="shared" si="119"/>
        <v>1.4344003692863426E-2</v>
      </c>
      <c r="Y105" s="4">
        <f t="shared" si="93"/>
        <v>3.7387470956528692</v>
      </c>
      <c r="Z105" s="360">
        <f t="shared" si="120"/>
        <v>2.0967344767879148E-2</v>
      </c>
      <c r="AA105" s="541">
        <f t="shared" si="121"/>
        <v>2.0967344767879148E-2</v>
      </c>
      <c r="AB105" s="360">
        <f t="shared" si="94"/>
        <v>3.9688862283725879</v>
      </c>
      <c r="AC105" s="360">
        <f t="shared" ref="AC105:AC109" si="136">Rdson3*AB105^2</f>
        <v>9.4512347362593507E-2</v>
      </c>
      <c r="AD105" s="360">
        <f t="shared" si="96"/>
        <v>0.20854025815670396</v>
      </c>
      <c r="AE105" s="360">
        <f t="shared" si="97"/>
        <v>-3.4229250000000003E-2</v>
      </c>
      <c r="AF105" s="360">
        <f t="shared" si="98"/>
        <v>0</v>
      </c>
      <c r="AG105" s="360">
        <f t="shared" ref="AG105:AG109" si="137">(AF105+AE105+AD105+AC105*(1+RdsonTopTc*Ta-RdsonTopTc*25))/(1-AC105*RdsonTopTc*ThetaJA_Q2)</f>
        <v>0.27274152668972435</v>
      </c>
      <c r="AH105" s="360">
        <f t="shared" si="100"/>
        <v>11.141379804704</v>
      </c>
      <c r="AI105" s="360">
        <f t="shared" ref="AI105:AI109" si="138">Rdson4*AH105^2</f>
        <v>0.31032585988166533</v>
      </c>
      <c r="AJ105" s="360">
        <f t="shared" si="102"/>
        <v>4.9674239999999995E-2</v>
      </c>
      <c r="AK105" s="360">
        <f t="shared" ref="AK105:AK109" si="139">(AJ105+AI105*(1+RdsonBotTc*Ta-RdsonBotTc*25))/(1-AI105*RdsonBotTc*ThetaJA_Q3)</f>
        <v>0.38382208350256658</v>
      </c>
      <c r="AL105" s="360">
        <f t="shared" si="104"/>
        <v>4.9674239999999995E-2</v>
      </c>
      <c r="AM105" s="360">
        <f t="shared" si="105"/>
        <v>0.57023999999999997</v>
      </c>
      <c r="AN105" s="360">
        <f t="shared" si="106"/>
        <v>0.55952960738572688</v>
      </c>
      <c r="AO105" s="360">
        <f t="shared" si="107"/>
        <v>1.5749999999999998E-3</v>
      </c>
      <c r="AP105" s="360">
        <f t="shared" si="108"/>
        <v>0.32669999999999993</v>
      </c>
      <c r="AQ105" s="360">
        <f t="shared" si="109"/>
        <v>0.31218000000000001</v>
      </c>
      <c r="AR105" s="360">
        <f t="shared" si="110"/>
        <v>0.29039999999999999</v>
      </c>
      <c r="AS105" s="360">
        <f t="shared" si="129"/>
        <v>0.32827499999999993</v>
      </c>
      <c r="AT105" s="360">
        <f t="shared" si="122"/>
        <v>3.2582402163003148</v>
      </c>
      <c r="AU105">
        <f t="shared" si="111"/>
        <v>57.599999999999994</v>
      </c>
      <c r="AV105" s="542">
        <f t="shared" si="123"/>
        <v>0.94646180690207293</v>
      </c>
      <c r="AW105" s="551">
        <f t="shared" si="112"/>
        <v>24.665797214209526</v>
      </c>
      <c r="AX105" s="551">
        <f t="shared" si="113"/>
        <v>21.736048773097529</v>
      </c>
      <c r="AY105" s="9"/>
      <c r="AZ105" s="4">
        <f t="shared" si="124"/>
        <v>94.646180690207288</v>
      </c>
      <c r="BA105" s="360">
        <f t="shared" si="114"/>
        <v>1.0586464102615543</v>
      </c>
      <c r="BB105" s="360">
        <f t="shared" si="125"/>
        <v>1.2268036101922908</v>
      </c>
      <c r="BC105" s="360">
        <f t="shared" si="126"/>
        <v>0.64909992668972438</v>
      </c>
      <c r="BD105" s="360">
        <f t="shared" si="127"/>
        <v>0.57200128350256652</v>
      </c>
      <c r="BE105" s="360">
        <f t="shared" si="128"/>
        <v>0.55952960738572688</v>
      </c>
      <c r="BK105" s="18"/>
      <c r="BL105" s="19"/>
    </row>
    <row r="106" spans="7:64" x14ac:dyDescent="0.25">
      <c r="G106">
        <v>97</v>
      </c>
      <c r="H106" s="548">
        <f t="shared" si="82"/>
        <v>45</v>
      </c>
      <c r="I106" s="4">
        <f t="shared" si="83"/>
        <v>2</v>
      </c>
      <c r="J106" s="360">
        <f t="shared" si="115"/>
        <v>11.64</v>
      </c>
      <c r="K106" s="4">
        <f t="shared" si="130"/>
        <v>1.4370370370370371</v>
      </c>
      <c r="L106" s="4"/>
      <c r="M106" s="360">
        <f t="shared" si="85"/>
        <v>0.11262488670891463</v>
      </c>
      <c r="N106" s="4">
        <f t="shared" si="131"/>
        <v>9.2780474749222623</v>
      </c>
      <c r="O106" s="4">
        <f t="shared" si="116"/>
        <v>16.279023737461131</v>
      </c>
      <c r="P106" s="4">
        <f t="shared" si="117"/>
        <v>7.0009762625388694</v>
      </c>
      <c r="Q106" s="4">
        <f t="shared" si="132"/>
        <v>0</v>
      </c>
      <c r="R106" s="4">
        <f t="shared" si="88"/>
        <v>11.944166515315164</v>
      </c>
      <c r="S106" s="360">
        <f t="shared" si="133"/>
        <v>0.71331556872788004</v>
      </c>
      <c r="T106" s="360">
        <f t="shared" si="90"/>
        <v>0.3</v>
      </c>
      <c r="U106" s="360">
        <f t="shared" si="134"/>
        <v>1.0746401740842595</v>
      </c>
      <c r="V106" s="4">
        <f t="shared" si="118"/>
        <v>2.6783416036002481</v>
      </c>
      <c r="W106" s="360">
        <f t="shared" si="135"/>
        <v>1.4347027491151897E-2</v>
      </c>
      <c r="X106" s="360">
        <f t="shared" si="119"/>
        <v>1.4347027491151897E-2</v>
      </c>
      <c r="Y106" s="4">
        <f t="shared" si="93"/>
        <v>3.7759536545356149</v>
      </c>
      <c r="Z106" s="360">
        <f t="shared" si="120"/>
        <v>2.1386739001801301E-2</v>
      </c>
      <c r="AA106" s="541">
        <f t="shared" si="121"/>
        <v>2.1386739001801301E-2</v>
      </c>
      <c r="AB106" s="360">
        <f t="shared" si="94"/>
        <v>4.008418269484423</v>
      </c>
      <c r="AC106" s="360">
        <f t="shared" si="136"/>
        <v>9.6404502138818973E-2</v>
      </c>
      <c r="AD106" s="360">
        <f t="shared" si="96"/>
        <v>0.21071255251250298</v>
      </c>
      <c r="AE106" s="360">
        <f t="shared" si="97"/>
        <v>-3.4229250000000003E-2</v>
      </c>
      <c r="AF106" s="360">
        <f t="shared" si="98"/>
        <v>0</v>
      </c>
      <c r="AG106" s="360">
        <f t="shared" si="137"/>
        <v>0.27694602894537179</v>
      </c>
      <c r="AH106" s="360">
        <f t="shared" si="100"/>
        <v>11.251475313150694</v>
      </c>
      <c r="AI106" s="360">
        <f t="shared" si="138"/>
        <v>0.31648924180609878</v>
      </c>
      <c r="AJ106" s="360">
        <f t="shared" si="102"/>
        <v>5.0191680000000002E-2</v>
      </c>
      <c r="AK106" s="360">
        <f t="shared" si="139"/>
        <v>0.39145946357076555</v>
      </c>
      <c r="AL106" s="360">
        <f t="shared" si="104"/>
        <v>5.0191680000000002E-2</v>
      </c>
      <c r="AM106" s="360">
        <f t="shared" si="105"/>
        <v>0.57618000000000003</v>
      </c>
      <c r="AN106" s="360">
        <f t="shared" si="106"/>
        <v>0.57065245498230399</v>
      </c>
      <c r="AO106" s="360">
        <f t="shared" si="107"/>
        <v>1.5749999999999998E-3</v>
      </c>
      <c r="AP106" s="360">
        <f t="shared" si="108"/>
        <v>0.32669999999999993</v>
      </c>
      <c r="AQ106" s="360">
        <f t="shared" si="109"/>
        <v>0.31218000000000001</v>
      </c>
      <c r="AR106" s="360">
        <f t="shared" si="110"/>
        <v>0.29039999999999999</v>
      </c>
      <c r="AS106" s="360">
        <f t="shared" si="129"/>
        <v>0.32827499999999993</v>
      </c>
      <c r="AT106" s="360">
        <f t="shared" si="122"/>
        <v>3.3040785680756537</v>
      </c>
      <c r="AU106">
        <f t="shared" si="111"/>
        <v>58.2</v>
      </c>
      <c r="AV106" s="542">
        <f t="shared" si="123"/>
        <v>0.94627870793286428</v>
      </c>
      <c r="AW106" s="551">
        <f t="shared" si="112"/>
        <v>24.974543499924128</v>
      </c>
      <c r="AX106" s="551">
        <f t="shared" si="113"/>
        <v>22.100756815689095</v>
      </c>
      <c r="AY106" s="9"/>
      <c r="AZ106" s="4">
        <f t="shared" si="124"/>
        <v>94.627870793286434</v>
      </c>
      <c r="BA106" s="360">
        <f t="shared" si="114"/>
        <v>1.0746401740842595</v>
      </c>
      <c r="BB106" s="360">
        <f t="shared" si="125"/>
        <v>1.2445854925161375</v>
      </c>
      <c r="BC106" s="360">
        <f t="shared" si="126"/>
        <v>0.65722482894537182</v>
      </c>
      <c r="BD106" s="360">
        <f t="shared" si="127"/>
        <v>0.58159886357076562</v>
      </c>
      <c r="BE106" s="360">
        <f t="shared" si="128"/>
        <v>0.57065245498230399</v>
      </c>
      <c r="BK106" s="18"/>
      <c r="BL106" s="19"/>
    </row>
    <row r="107" spans="7:64" x14ac:dyDescent="0.25">
      <c r="G107">
        <v>98</v>
      </c>
      <c r="H107" s="548">
        <f t="shared" si="82"/>
        <v>45</v>
      </c>
      <c r="I107" s="4">
        <f t="shared" si="83"/>
        <v>2</v>
      </c>
      <c r="J107" s="360">
        <f t="shared" si="115"/>
        <v>11.76</v>
      </c>
      <c r="K107" s="4">
        <f t="shared" si="130"/>
        <v>1.4518518518518517</v>
      </c>
      <c r="L107" s="4"/>
      <c r="M107" s="360">
        <f t="shared" si="85"/>
        <v>0.11264048367569648</v>
      </c>
      <c r="N107" s="4">
        <f t="shared" si="131"/>
        <v>9.2790251530156418</v>
      </c>
      <c r="O107" s="4">
        <f t="shared" si="116"/>
        <v>16.399512576507821</v>
      </c>
      <c r="P107" s="4">
        <f t="shared" si="117"/>
        <v>7.1204874234921789</v>
      </c>
      <c r="Q107" s="4">
        <f t="shared" si="132"/>
        <v>0</v>
      </c>
      <c r="R107" s="4">
        <f t="shared" si="88"/>
        <v>12.061203325091215</v>
      </c>
      <c r="S107" s="360">
        <f t="shared" si="133"/>
        <v>0.72736312824595684</v>
      </c>
      <c r="T107" s="360">
        <f t="shared" si="90"/>
        <v>0.3</v>
      </c>
      <c r="U107" s="360">
        <f t="shared" si="134"/>
        <v>1.0908379527008278</v>
      </c>
      <c r="V107" s="4">
        <f t="shared" si="118"/>
        <v>2.6786238349554448</v>
      </c>
      <c r="W107" s="360">
        <f t="shared" si="135"/>
        <v>1.4350051298382828E-2</v>
      </c>
      <c r="X107" s="360">
        <f t="shared" si="119"/>
        <v>1.4350051298382828E-2</v>
      </c>
      <c r="Y107" s="4">
        <f t="shared" si="93"/>
        <v>3.8131834346468487</v>
      </c>
      <c r="Z107" s="360">
        <f t="shared" si="120"/>
        <v>2.1810551859397707E-2</v>
      </c>
      <c r="AA107" s="541">
        <f t="shared" si="121"/>
        <v>2.1810551859397707E-2</v>
      </c>
      <c r="AB107" s="360">
        <f t="shared" si="94"/>
        <v>4.0479756563865905</v>
      </c>
      <c r="AC107" s="360">
        <f t="shared" si="136"/>
        <v>9.8316641488190692E-2</v>
      </c>
      <c r="AD107" s="360">
        <f t="shared" si="96"/>
        <v>0.21288484686830197</v>
      </c>
      <c r="AE107" s="360">
        <f t="shared" si="97"/>
        <v>-3.4229250000000003E-2</v>
      </c>
      <c r="AF107" s="360">
        <f t="shared" si="98"/>
        <v>0</v>
      </c>
      <c r="AG107" s="360">
        <f t="shared" si="137"/>
        <v>0.28117414113541628</v>
      </c>
      <c r="AH107" s="360">
        <f t="shared" si="100"/>
        <v>11.361624828099762</v>
      </c>
      <c r="AI107" s="360">
        <f t="shared" si="138"/>
        <v>0.32271629683623237</v>
      </c>
      <c r="AJ107" s="360">
        <f t="shared" si="102"/>
        <v>5.0709119999999996E-2</v>
      </c>
      <c r="AK107" s="360">
        <f t="shared" si="139"/>
        <v>0.39919047093898025</v>
      </c>
      <c r="AL107" s="360">
        <f t="shared" si="104"/>
        <v>5.0709119999999996E-2</v>
      </c>
      <c r="AM107" s="360">
        <f t="shared" si="105"/>
        <v>0.58211999999999997</v>
      </c>
      <c r="AN107" s="360">
        <f t="shared" si="106"/>
        <v>0.58189050259676545</v>
      </c>
      <c r="AO107" s="360">
        <f t="shared" si="107"/>
        <v>1.5749999999999998E-3</v>
      </c>
      <c r="AP107" s="360">
        <f t="shared" si="108"/>
        <v>0.32669999999999993</v>
      </c>
      <c r="AQ107" s="360">
        <f t="shared" si="109"/>
        <v>0.31218000000000001</v>
      </c>
      <c r="AR107" s="360">
        <f t="shared" si="110"/>
        <v>0.29039999999999999</v>
      </c>
      <c r="AS107" s="360">
        <f t="shared" si="129"/>
        <v>0.32827499999999993</v>
      </c>
      <c r="AT107" s="360">
        <f t="shared" si="122"/>
        <v>3.3503577905297703</v>
      </c>
      <c r="AU107">
        <f t="shared" si="111"/>
        <v>58.8</v>
      </c>
      <c r="AV107" s="542">
        <f t="shared" si="123"/>
        <v>0.94609270308914806</v>
      </c>
      <c r="AW107" s="551">
        <f t="shared" si="112"/>
        <v>25.284186963145821</v>
      </c>
      <c r="AX107" s="551">
        <f t="shared" si="113"/>
        <v>22.46902269568125</v>
      </c>
      <c r="AY107" s="9"/>
      <c r="AZ107" s="4">
        <f t="shared" si="124"/>
        <v>94.609270308914802</v>
      </c>
      <c r="BA107" s="360">
        <f t="shared" si="114"/>
        <v>1.0908379527008278</v>
      </c>
      <c r="BB107" s="360">
        <f t="shared" si="125"/>
        <v>1.2624846120743964</v>
      </c>
      <c r="BC107" s="360">
        <f t="shared" si="126"/>
        <v>0.66537334113541635</v>
      </c>
      <c r="BD107" s="360">
        <f t="shared" si="127"/>
        <v>0.59129007093898023</v>
      </c>
      <c r="BE107" s="360">
        <f t="shared" si="128"/>
        <v>0.58189050259676545</v>
      </c>
      <c r="BK107" s="18"/>
      <c r="BL107" s="19"/>
    </row>
    <row r="108" spans="7:64" x14ac:dyDescent="0.25">
      <c r="G108">
        <v>99</v>
      </c>
      <c r="H108" s="548">
        <f t="shared" si="82"/>
        <v>45</v>
      </c>
      <c r="I108" s="4">
        <f t="shared" si="83"/>
        <v>2</v>
      </c>
      <c r="J108" s="360">
        <f t="shared" si="115"/>
        <v>11.88</v>
      </c>
      <c r="K108" s="4">
        <f t="shared" si="130"/>
        <v>1.4666666666666668</v>
      </c>
      <c r="L108" s="4"/>
      <c r="M108" s="360">
        <f t="shared" si="85"/>
        <v>0.11265608045958019</v>
      </c>
      <c r="N108" s="4">
        <f t="shared" si="131"/>
        <v>9.2800027309684907</v>
      </c>
      <c r="O108" s="4">
        <f t="shared" si="116"/>
        <v>16.520001365484248</v>
      </c>
      <c r="P108" s="4">
        <f t="shared" si="117"/>
        <v>7.2399986345157554</v>
      </c>
      <c r="Q108" s="4">
        <f t="shared" si="132"/>
        <v>0</v>
      </c>
      <c r="R108" s="4">
        <f t="shared" si="88"/>
        <v>12.17829781033589</v>
      </c>
      <c r="S108" s="360">
        <f t="shared" si="133"/>
        <v>0.74155468778615974</v>
      </c>
      <c r="T108" s="360">
        <f t="shared" si="90"/>
        <v>0.3</v>
      </c>
      <c r="U108" s="360">
        <f t="shared" si="134"/>
        <v>1.1072410724063435</v>
      </c>
      <c r="V108" s="4">
        <f t="shared" si="118"/>
        <v>2.6789060374025602</v>
      </c>
      <c r="W108" s="360">
        <f t="shared" si="135"/>
        <v>1.4353075114463775E-2</v>
      </c>
      <c r="X108" s="360">
        <f t="shared" si="119"/>
        <v>1.4353075114463775E-2</v>
      </c>
      <c r="Y108" s="4">
        <f t="shared" si="93"/>
        <v>3.8504358972932176</v>
      </c>
      <c r="Z108" s="360">
        <f t="shared" si="120"/>
        <v>2.2238784898746339E-2</v>
      </c>
      <c r="AA108" s="541">
        <f t="shared" si="121"/>
        <v>2.2238784898746339E-2</v>
      </c>
      <c r="AB108" s="360">
        <f t="shared" si="94"/>
        <v>4.0875578178765002</v>
      </c>
      <c r="AC108" s="360">
        <f t="shared" si="136"/>
        <v>0.10024877348689978</v>
      </c>
      <c r="AD108" s="360">
        <f t="shared" si="96"/>
        <v>0.21505714122410094</v>
      </c>
      <c r="AE108" s="360">
        <f t="shared" si="97"/>
        <v>-3.4229250000000003E-2</v>
      </c>
      <c r="AF108" s="360">
        <f t="shared" si="98"/>
        <v>0</v>
      </c>
      <c r="AG108" s="360">
        <f t="shared" si="137"/>
        <v>0.28542593184855497</v>
      </c>
      <c r="AH108" s="360">
        <f t="shared" si="100"/>
        <v>11.471826735213039</v>
      </c>
      <c r="AI108" s="360">
        <f t="shared" si="138"/>
        <v>0.32900702160687162</v>
      </c>
      <c r="AJ108" s="360">
        <f t="shared" si="102"/>
        <v>5.1226560000000004E-2</v>
      </c>
      <c r="AK108" s="360">
        <f t="shared" si="139"/>
        <v>0.40701579232268087</v>
      </c>
      <c r="AL108" s="360">
        <f t="shared" si="104"/>
        <v>5.1226560000000004E-2</v>
      </c>
      <c r="AM108" s="360">
        <f t="shared" si="105"/>
        <v>0.58806000000000003</v>
      </c>
      <c r="AN108" s="360">
        <f t="shared" si="106"/>
        <v>0.59324375022892772</v>
      </c>
      <c r="AO108" s="360">
        <f t="shared" si="107"/>
        <v>1.5749999999999998E-3</v>
      </c>
      <c r="AP108" s="360">
        <f t="shared" si="108"/>
        <v>0.32669999999999993</v>
      </c>
      <c r="AQ108" s="360">
        <f t="shared" si="109"/>
        <v>0.31218000000000001</v>
      </c>
      <c r="AR108" s="360">
        <f t="shared" si="110"/>
        <v>0.29039999999999999</v>
      </c>
      <c r="AS108" s="360">
        <f t="shared" si="129"/>
        <v>0.32827499999999993</v>
      </c>
      <c r="AT108" s="360">
        <f t="shared" si="122"/>
        <v>3.3970799668197174</v>
      </c>
      <c r="AU108">
        <f t="shared" si="111"/>
        <v>59.400000000000006</v>
      </c>
      <c r="AV108" s="542">
        <f t="shared" si="123"/>
        <v>0.94590385462803939</v>
      </c>
      <c r="AW108" s="551">
        <f t="shared" si="112"/>
        <v>25.594730210245093</v>
      </c>
      <c r="AX108" s="551">
        <f t="shared" si="113"/>
        <v>22.840872508261874</v>
      </c>
      <c r="AY108" s="9"/>
      <c r="AZ108" s="4">
        <f t="shared" si="124"/>
        <v>94.590385462803937</v>
      </c>
      <c r="BA108" s="360">
        <f t="shared" si="114"/>
        <v>1.1072410724063435</v>
      </c>
      <c r="BB108" s="360">
        <f t="shared" si="125"/>
        <v>1.280501724171236</v>
      </c>
      <c r="BC108" s="360">
        <f t="shared" si="126"/>
        <v>0.67354553184855503</v>
      </c>
      <c r="BD108" s="360">
        <f t="shared" si="127"/>
        <v>0.60107559232268093</v>
      </c>
      <c r="BE108" s="360">
        <f t="shared" si="128"/>
        <v>0.59324375022892772</v>
      </c>
      <c r="BK108" s="18"/>
      <c r="BL108" s="19"/>
    </row>
    <row r="109" spans="7:64" x14ac:dyDescent="0.25">
      <c r="G109">
        <v>100</v>
      </c>
      <c r="H109" s="548">
        <f t="shared" si="82"/>
        <v>45</v>
      </c>
      <c r="I109" s="4">
        <f t="shared" si="83"/>
        <v>2</v>
      </c>
      <c r="J109" s="360">
        <f t="shared" si="115"/>
        <v>12</v>
      </c>
      <c r="K109" s="4">
        <f t="shared" si="130"/>
        <v>1.4814814814814814</v>
      </c>
      <c r="L109" s="4"/>
      <c r="M109" s="360">
        <f t="shared" si="85"/>
        <v>0.11267167706056891</v>
      </c>
      <c r="N109" s="4">
        <f t="shared" si="131"/>
        <v>9.2809802087825641</v>
      </c>
      <c r="O109" s="4">
        <f t="shared" si="116"/>
        <v>16.640490104391283</v>
      </c>
      <c r="P109" s="4">
        <f t="shared" si="117"/>
        <v>7.3595098956087179</v>
      </c>
      <c r="Q109" s="4">
        <f t="shared" si="132"/>
        <v>0</v>
      </c>
      <c r="R109" s="4">
        <f t="shared" si="88"/>
        <v>12.295448323247557</v>
      </c>
      <c r="S109" s="360">
        <f t="shared" si="133"/>
        <v>0.75589024734825583</v>
      </c>
      <c r="T109" s="360">
        <f t="shared" si="90"/>
        <v>0.3</v>
      </c>
      <c r="U109" s="360">
        <f t="shared" si="134"/>
        <v>1.1238508809808283</v>
      </c>
      <c r="V109" s="4">
        <f t="shared" si="118"/>
        <v>2.6791882109421015</v>
      </c>
      <c r="W109" s="360">
        <f t="shared" si="135"/>
        <v>1.4356098939302276E-2</v>
      </c>
      <c r="X109" s="360">
        <f t="shared" si="119"/>
        <v>1.4356098939302276E-2</v>
      </c>
      <c r="Y109" s="4">
        <f t="shared" si="93"/>
        <v>3.8877105240113172</v>
      </c>
      <c r="Z109" s="360">
        <f t="shared" si="120"/>
        <v>2.2671439677762528E-2</v>
      </c>
      <c r="AA109" s="541">
        <f t="shared" si="121"/>
        <v>2.2671439677762528E-2</v>
      </c>
      <c r="AB109" s="360">
        <f t="shared" si="94"/>
        <v>4.1271642042074417</v>
      </c>
      <c r="AC109" s="360">
        <f t="shared" si="136"/>
        <v>0.10220090621094746</v>
      </c>
      <c r="AD109" s="360">
        <f t="shared" si="96"/>
        <v>0.21722943557989996</v>
      </c>
      <c r="AE109" s="360">
        <f t="shared" si="97"/>
        <v>-3.4229250000000003E-2</v>
      </c>
      <c r="AF109" s="360">
        <f t="shared" si="98"/>
        <v>0</v>
      </c>
      <c r="AG109" s="360">
        <f t="shared" si="137"/>
        <v>0.2897014702144039</v>
      </c>
      <c r="AH109" s="360">
        <f t="shared" si="100"/>
        <v>11.582079480868707</v>
      </c>
      <c r="AI109" s="360">
        <f t="shared" si="138"/>
        <v>0.33536141275289988</v>
      </c>
      <c r="AJ109" s="360">
        <f t="shared" si="102"/>
        <v>5.1743999999999998E-2</v>
      </c>
      <c r="AK109" s="360">
        <f t="shared" si="139"/>
        <v>0.41493612582465411</v>
      </c>
      <c r="AL109" s="360">
        <f t="shared" si="104"/>
        <v>5.1743999999999998E-2</v>
      </c>
      <c r="AM109" s="360">
        <f t="shared" si="105"/>
        <v>0.59399999999999997</v>
      </c>
      <c r="AN109" s="360">
        <f t="shared" si="106"/>
        <v>0.60471219787860475</v>
      </c>
      <c r="AO109" s="360">
        <f t="shared" si="107"/>
        <v>1.5749999999999998E-3</v>
      </c>
      <c r="AP109" s="360">
        <f t="shared" si="108"/>
        <v>0.32669999999999993</v>
      </c>
      <c r="AQ109" s="360">
        <f t="shared" si="109"/>
        <v>0.31218000000000001</v>
      </c>
      <c r="AR109" s="360">
        <f t="shared" si="110"/>
        <v>0.29039999999999999</v>
      </c>
      <c r="AS109" s="360">
        <f t="shared" si="129"/>
        <v>0.32827499999999993</v>
      </c>
      <c r="AT109" s="360">
        <f t="shared" si="122"/>
        <v>3.4442472135155562</v>
      </c>
      <c r="AU109">
        <f t="shared" si="111"/>
        <v>60</v>
      </c>
      <c r="AV109" s="542">
        <f t="shared" si="123"/>
        <v>0.94571222191471094</v>
      </c>
      <c r="AW109" s="551">
        <f t="shared" si="112"/>
        <v>25.906175868147347</v>
      </c>
      <c r="AX109" s="551">
        <f t="shared" si="113"/>
        <v>23.216332781336856</v>
      </c>
      <c r="AY109" s="9"/>
      <c r="AZ109" s="4">
        <f t="shared" si="124"/>
        <v>94.571222191471094</v>
      </c>
      <c r="BA109" s="360">
        <f t="shared" si="114"/>
        <v>1.1238508809808283</v>
      </c>
      <c r="BB109" s="360">
        <f t="shared" si="125"/>
        <v>1.2986375960390579</v>
      </c>
      <c r="BC109" s="360">
        <f t="shared" si="126"/>
        <v>0.6817414702144039</v>
      </c>
      <c r="BD109" s="360">
        <f t="shared" si="127"/>
        <v>0.61095612582465408</v>
      </c>
      <c r="BE109" s="360">
        <f t="shared" si="128"/>
        <v>0.60471219787860475</v>
      </c>
      <c r="BK109" s="18"/>
      <c r="BL109" s="19"/>
    </row>
    <row r="110" spans="7:64" x14ac:dyDescent="0.25">
      <c r="H110" s="548"/>
      <c r="I110" s="4"/>
      <c r="K110" s="4"/>
      <c r="L110" s="4"/>
      <c r="R110" s="360"/>
      <c r="S110" s="360"/>
      <c r="T110" s="360"/>
      <c r="U110" s="360"/>
      <c r="W110" s="360"/>
      <c r="X110" s="360"/>
      <c r="Y110" s="360"/>
      <c r="Z110" s="360"/>
      <c r="AA110" s="541"/>
      <c r="AB110" s="360"/>
      <c r="AC110" s="360"/>
      <c r="AD110" s="360"/>
      <c r="AE110" s="360"/>
      <c r="AG110" s="360"/>
      <c r="AH110" s="360"/>
      <c r="AI110" s="360"/>
      <c r="AJ110" s="360"/>
      <c r="AK110" s="360"/>
      <c r="AL110" s="360"/>
      <c r="AM110" s="360"/>
      <c r="AN110" s="360"/>
      <c r="AO110" s="360"/>
      <c r="AP110" s="360"/>
      <c r="AQ110" s="360"/>
      <c r="AR110" s="360"/>
      <c r="AS110" s="360"/>
      <c r="AT110" s="360"/>
      <c r="AV110" s="542"/>
      <c r="AW110" s="551"/>
      <c r="AX110" s="551"/>
      <c r="AY110" s="9"/>
      <c r="AZ110" s="48"/>
      <c r="BA110" s="360"/>
      <c r="BB110" s="360"/>
      <c r="BC110" s="360"/>
      <c r="BD110" s="360"/>
      <c r="BE110" s="360"/>
    </row>
    <row r="111" spans="7:64" x14ac:dyDescent="0.25">
      <c r="H111" s="548"/>
      <c r="I111" s="4"/>
      <c r="K111" s="4"/>
      <c r="L111" s="4"/>
      <c r="R111" s="360"/>
      <c r="S111" s="360"/>
      <c r="T111" s="360"/>
      <c r="U111" s="360"/>
      <c r="W111" s="360"/>
      <c r="X111" s="360"/>
      <c r="Y111" s="360"/>
      <c r="Z111" s="360"/>
      <c r="AA111" s="541"/>
      <c r="AB111" s="360"/>
      <c r="AC111" s="360"/>
      <c r="AD111" s="360"/>
      <c r="AE111" s="360"/>
      <c r="AG111" s="360">
        <v>1.0264505953745029</v>
      </c>
      <c r="AH111" s="360">
        <v>5.6934364538745408</v>
      </c>
      <c r="AI111" s="360">
        <v>0.18476674632955281</v>
      </c>
      <c r="AJ111" s="360">
        <v>0.50400000000000011</v>
      </c>
      <c r="AK111" s="360">
        <v>0.7151956198638304</v>
      </c>
      <c r="AL111" s="360">
        <v>0.50400000000000011</v>
      </c>
      <c r="AM111" s="360">
        <v>0.2772</v>
      </c>
      <c r="AN111" s="360">
        <f>CHOOSE(SENSING_TYPE, Rs_Ch2*R111^2, 0)</f>
        <v>0</v>
      </c>
      <c r="AO111" s="360">
        <v>4.1999999999999996E-4</v>
      </c>
      <c r="AP111" s="360">
        <v>0.189</v>
      </c>
      <c r="AQ111" s="360">
        <v>0.34559999999999996</v>
      </c>
      <c r="AR111" s="360">
        <v>0.2646</v>
      </c>
      <c r="AS111" s="360">
        <v>0.18942000000000001</v>
      </c>
      <c r="AT111" s="360">
        <v>3.6212425503668713</v>
      </c>
      <c r="AU111">
        <v>37.5</v>
      </c>
      <c r="AV111" s="542"/>
      <c r="AW111" s="551"/>
      <c r="AX111" s="551"/>
      <c r="AY111" s="9"/>
      <c r="AZ111" s="48"/>
      <c r="BA111" s="360"/>
      <c r="BB111" s="360"/>
      <c r="BC111" s="360"/>
      <c r="BD111" s="360"/>
      <c r="BE111" s="360"/>
    </row>
    <row r="112" spans="7:64" x14ac:dyDescent="0.25">
      <c r="H112" s="548"/>
      <c r="I112" s="4"/>
      <c r="K112" s="4"/>
      <c r="L112" s="4"/>
      <c r="R112" s="360"/>
      <c r="S112" s="360"/>
      <c r="T112" s="360"/>
      <c r="U112" s="360"/>
      <c r="W112" s="360"/>
      <c r="X112" s="360"/>
      <c r="Y112" s="360"/>
      <c r="Z112" s="360"/>
      <c r="AA112" s="541"/>
      <c r="AB112" s="360"/>
      <c r="AC112" s="360"/>
      <c r="AD112" s="360"/>
      <c r="AE112" s="360"/>
      <c r="AG112" s="360"/>
      <c r="AH112" s="360"/>
      <c r="AI112" s="360"/>
      <c r="AJ112" s="360"/>
      <c r="AK112" s="360"/>
      <c r="AL112" s="360"/>
      <c r="AM112" s="360"/>
      <c r="AN112" s="360"/>
      <c r="AO112" s="360"/>
      <c r="AP112" s="360"/>
      <c r="AQ112" s="360"/>
      <c r="AR112" s="360"/>
      <c r="AS112" s="360"/>
      <c r="AT112" s="360"/>
      <c r="AV112" s="542"/>
      <c r="AW112" s="551"/>
      <c r="AX112" s="551"/>
      <c r="AY112" s="9"/>
      <c r="AZ112" s="48"/>
      <c r="BA112" s="360"/>
      <c r="BB112" s="360"/>
      <c r="BC112" s="360"/>
      <c r="BD112" s="360"/>
      <c r="BE112" s="360"/>
    </row>
    <row r="113" spans="8:57" x14ac:dyDescent="0.25">
      <c r="H113" s="548"/>
      <c r="I113" s="4"/>
      <c r="K113" s="4"/>
      <c r="L113" s="4"/>
      <c r="R113" s="360"/>
      <c r="S113" s="360"/>
      <c r="T113" s="360"/>
      <c r="U113" s="360"/>
      <c r="W113" s="360"/>
      <c r="X113" s="360"/>
      <c r="Y113" s="360"/>
      <c r="Z113" s="360"/>
      <c r="AA113" s="541"/>
      <c r="AB113" s="360"/>
      <c r="AC113" s="360"/>
      <c r="AD113" s="360"/>
      <c r="AE113" s="360"/>
      <c r="AG113" s="360"/>
      <c r="AH113" s="360"/>
      <c r="AI113" s="360"/>
      <c r="AJ113" s="360"/>
      <c r="AK113" s="360"/>
      <c r="AL113" s="360"/>
      <c r="AM113" s="360"/>
      <c r="AN113" s="360"/>
      <c r="AO113" s="360"/>
      <c r="AP113" s="360"/>
      <c r="AQ113" s="360"/>
      <c r="AR113" s="360"/>
      <c r="AS113" s="360"/>
      <c r="AT113" s="360"/>
      <c r="AV113" s="542"/>
      <c r="AW113" s="551"/>
      <c r="AX113" s="551"/>
      <c r="AY113" s="9"/>
      <c r="AZ113" s="48"/>
      <c r="BA113" s="360"/>
      <c r="BB113" s="360"/>
      <c r="BC113" s="360"/>
      <c r="BD113" s="360"/>
      <c r="BE113" s="360"/>
    </row>
    <row r="114" spans="8:57" x14ac:dyDescent="0.25">
      <c r="H114" s="548"/>
      <c r="I114" s="4"/>
      <c r="K114" s="4"/>
      <c r="L114" s="4"/>
      <c r="R114" s="360"/>
      <c r="S114" s="360"/>
      <c r="T114" s="360"/>
      <c r="U114" s="360"/>
      <c r="W114" s="360"/>
      <c r="X114" s="360"/>
      <c r="Y114" s="360"/>
      <c r="Z114" s="360"/>
      <c r="AA114" s="541"/>
      <c r="AB114" s="360"/>
      <c r="AC114" s="360"/>
      <c r="AD114" s="360"/>
      <c r="AE114" s="360"/>
      <c r="AG114" s="360"/>
      <c r="AH114" s="360"/>
      <c r="AI114" s="360"/>
      <c r="AJ114" s="360"/>
      <c r="AK114" s="360"/>
      <c r="AL114" s="360"/>
      <c r="AM114" s="360"/>
      <c r="AN114" s="360"/>
      <c r="AO114" s="360"/>
      <c r="AP114" s="360"/>
      <c r="AQ114" s="360"/>
      <c r="AR114" s="360"/>
      <c r="AS114" s="360"/>
      <c r="AT114" s="360"/>
      <c r="AV114" s="542"/>
      <c r="AW114" s="551"/>
      <c r="AX114" s="551"/>
      <c r="AY114" s="9"/>
      <c r="AZ114" s="48"/>
      <c r="BA114" s="360"/>
      <c r="BB114" s="360"/>
      <c r="BC114" s="360"/>
      <c r="BD114" s="360"/>
      <c r="BE114" s="360"/>
    </row>
    <row r="115" spans="8:57" x14ac:dyDescent="0.25">
      <c r="H115" s="548"/>
      <c r="I115" s="4"/>
      <c r="K115" s="4"/>
      <c r="L115" s="4"/>
      <c r="R115" s="360"/>
      <c r="S115" s="360"/>
      <c r="T115" s="360"/>
      <c r="U115" s="360"/>
      <c r="W115" s="360"/>
      <c r="X115" s="360"/>
      <c r="Y115" s="360"/>
      <c r="Z115" s="360"/>
      <c r="AA115" s="541"/>
      <c r="AB115" s="360"/>
      <c r="AC115" s="360"/>
      <c r="AD115" s="360"/>
      <c r="AE115" s="360"/>
      <c r="AG115" s="360"/>
      <c r="AH115" s="360"/>
      <c r="AI115" s="360"/>
      <c r="AJ115" s="360"/>
      <c r="AK115" s="360"/>
      <c r="AL115" s="360"/>
      <c r="AM115" s="360"/>
      <c r="AN115" s="360"/>
      <c r="AO115" s="360"/>
      <c r="AP115" s="360"/>
      <c r="AQ115" s="360"/>
      <c r="AR115" s="360"/>
      <c r="AS115" s="360"/>
      <c r="AT115" s="360"/>
      <c r="AV115" s="542"/>
      <c r="AW115" s="551"/>
      <c r="AX115" s="551"/>
      <c r="AY115" s="9"/>
      <c r="AZ115" s="48"/>
      <c r="BA115" s="360"/>
      <c r="BB115" s="360"/>
      <c r="BC115" s="360"/>
      <c r="BD115" s="360"/>
      <c r="BE115" s="360"/>
    </row>
    <row r="116" spans="8:57" x14ac:dyDescent="0.25">
      <c r="H116" s="548"/>
      <c r="I116" s="4"/>
      <c r="K116" s="4"/>
      <c r="L116" s="4"/>
      <c r="R116" s="360"/>
      <c r="S116" s="360"/>
      <c r="T116" s="360"/>
      <c r="U116" s="360"/>
      <c r="W116" s="360"/>
      <c r="X116" s="360"/>
      <c r="Y116" s="360"/>
      <c r="Z116" s="360"/>
      <c r="AA116" s="541"/>
      <c r="AB116" s="360"/>
      <c r="AC116" s="360"/>
      <c r="AD116" s="360"/>
      <c r="AE116" s="360"/>
      <c r="AG116" s="360"/>
      <c r="AH116" s="360"/>
      <c r="AI116" s="360"/>
      <c r="AJ116" s="360"/>
      <c r="AK116" s="360"/>
      <c r="AL116" s="360"/>
      <c r="AM116" s="360"/>
      <c r="AN116" s="360"/>
      <c r="AO116" s="360"/>
      <c r="AP116" s="360"/>
      <c r="AQ116" s="360"/>
      <c r="AR116" s="360"/>
      <c r="AS116" s="360"/>
      <c r="AT116" s="360"/>
      <c r="AV116" s="542"/>
      <c r="AW116" s="551"/>
      <c r="AX116" s="551"/>
      <c r="AY116" s="9"/>
      <c r="AZ116" s="48"/>
      <c r="BA116" s="360"/>
      <c r="BB116" s="360"/>
      <c r="BC116" s="360"/>
      <c r="BD116" s="360"/>
      <c r="BE116" s="360"/>
    </row>
    <row r="117" spans="8:57" x14ac:dyDescent="0.25">
      <c r="H117" s="548"/>
      <c r="I117" s="4"/>
      <c r="K117" s="4"/>
      <c r="L117" s="4"/>
      <c r="R117" s="360"/>
      <c r="S117" s="360"/>
      <c r="T117" s="360"/>
      <c r="U117" s="360"/>
      <c r="W117" s="360"/>
      <c r="X117" s="360"/>
      <c r="Y117" s="360"/>
      <c r="Z117" s="360"/>
      <c r="AA117" s="541"/>
      <c r="AB117" s="360"/>
      <c r="AC117" s="360"/>
      <c r="AD117" s="360"/>
      <c r="AE117" s="360"/>
      <c r="AG117" s="360"/>
      <c r="AH117" s="360"/>
      <c r="AI117" s="360"/>
      <c r="AJ117" s="360"/>
      <c r="AK117" s="360"/>
      <c r="AL117" s="360"/>
      <c r="AM117" s="360"/>
      <c r="AN117" s="360"/>
      <c r="AO117" s="360"/>
      <c r="AP117" s="360"/>
      <c r="AQ117" s="360"/>
      <c r="AR117" s="360"/>
      <c r="AS117" s="360"/>
      <c r="AT117" s="360"/>
      <c r="AV117" s="542"/>
      <c r="AW117" s="551"/>
      <c r="AX117" s="551"/>
      <c r="AY117" s="9"/>
      <c r="AZ117" s="48"/>
      <c r="BA117" s="360"/>
      <c r="BB117" s="360"/>
      <c r="BC117" s="360"/>
      <c r="BD117" s="360"/>
      <c r="BE117" s="360"/>
    </row>
    <row r="118" spans="8:57" x14ac:dyDescent="0.25">
      <c r="H118" s="548"/>
      <c r="I118" s="4"/>
      <c r="K118" s="4"/>
      <c r="L118" s="4"/>
      <c r="R118" s="360"/>
      <c r="S118" s="360"/>
      <c r="T118" s="360"/>
      <c r="U118" s="360"/>
      <c r="W118" s="360"/>
      <c r="X118" s="360"/>
      <c r="Y118" s="360"/>
      <c r="Z118" s="360"/>
      <c r="AA118" s="541"/>
      <c r="AB118" s="360"/>
      <c r="AC118" s="360"/>
      <c r="AD118" s="360"/>
      <c r="AE118" s="360"/>
      <c r="AG118" s="360"/>
      <c r="AH118" s="360"/>
      <c r="AI118" s="360"/>
      <c r="AJ118" s="360"/>
      <c r="AK118" s="360"/>
      <c r="AL118" s="360"/>
      <c r="AM118" s="360"/>
      <c r="AN118" s="360"/>
      <c r="AO118" s="360"/>
      <c r="AP118" s="360"/>
      <c r="AQ118" s="360"/>
      <c r="AR118" s="360"/>
      <c r="AS118" s="360"/>
      <c r="AT118" s="360"/>
      <c r="AV118" s="542"/>
      <c r="AW118" s="551"/>
      <c r="AX118" s="551"/>
      <c r="AY118" s="9"/>
      <c r="AZ118" s="48"/>
      <c r="BA118" s="360"/>
      <c r="BB118" s="360"/>
      <c r="BC118" s="360"/>
      <c r="BD118" s="360"/>
      <c r="BE118" s="360"/>
    </row>
    <row r="119" spans="8:57" x14ac:dyDescent="0.25">
      <c r="H119" s="548"/>
      <c r="I119" s="4"/>
      <c r="K119" s="4"/>
      <c r="L119" s="4"/>
      <c r="R119" s="360"/>
      <c r="S119" s="360"/>
      <c r="T119" s="360"/>
      <c r="U119" s="360"/>
      <c r="W119" s="360"/>
      <c r="X119" s="360"/>
      <c r="Y119" s="360"/>
      <c r="Z119" s="360"/>
      <c r="AA119" s="541"/>
      <c r="AB119" s="360"/>
      <c r="AC119" s="360"/>
      <c r="AD119" s="360"/>
      <c r="AE119" s="360"/>
      <c r="AG119" s="360"/>
      <c r="AH119" s="360"/>
      <c r="AI119" s="360"/>
      <c r="AJ119" s="360"/>
      <c r="AK119" s="360"/>
      <c r="AL119" s="360"/>
      <c r="AM119" s="360"/>
      <c r="AN119" s="360"/>
      <c r="AO119" s="360"/>
      <c r="AP119" s="360"/>
      <c r="AQ119" s="360"/>
      <c r="AR119" s="360"/>
      <c r="AS119" s="360"/>
      <c r="AT119" s="360"/>
      <c r="AV119" s="542"/>
      <c r="AW119" s="551"/>
      <c r="AX119" s="551"/>
      <c r="AY119" s="9"/>
      <c r="AZ119" s="48"/>
      <c r="BA119" s="360"/>
      <c r="BB119" s="360"/>
      <c r="BC119" s="360"/>
      <c r="BD119" s="360"/>
      <c r="BE119" s="360"/>
    </row>
    <row r="120" spans="8:57" x14ac:dyDescent="0.25">
      <c r="H120" s="548"/>
      <c r="I120" s="4"/>
      <c r="K120" s="4"/>
      <c r="L120" s="4"/>
      <c r="R120" s="360"/>
      <c r="S120" s="360"/>
      <c r="T120" s="360"/>
      <c r="U120" s="360"/>
      <c r="W120" s="360"/>
      <c r="X120" s="360"/>
      <c r="Y120" s="360"/>
      <c r="Z120" s="360"/>
      <c r="AA120" s="541"/>
      <c r="AB120" s="360"/>
      <c r="AC120" s="360"/>
      <c r="AD120" s="360"/>
      <c r="AE120" s="360"/>
      <c r="AG120" s="360"/>
      <c r="AH120" s="360"/>
      <c r="AI120" s="360"/>
      <c r="AJ120" s="360"/>
      <c r="AK120" s="360"/>
      <c r="AL120" s="360"/>
      <c r="AM120" s="360"/>
      <c r="AN120" s="360"/>
      <c r="AO120" s="360"/>
      <c r="AP120" s="360"/>
      <c r="AQ120" s="360"/>
      <c r="AR120" s="360"/>
      <c r="AS120" s="360"/>
      <c r="AT120" s="360"/>
      <c r="AV120" s="542"/>
      <c r="AW120" s="551"/>
      <c r="AX120" s="551"/>
      <c r="AY120" s="9"/>
      <c r="AZ120" s="48"/>
      <c r="BA120" s="360"/>
      <c r="BB120" s="360"/>
      <c r="BC120" s="360"/>
      <c r="BD120" s="360"/>
      <c r="BE120" s="360"/>
    </row>
    <row r="121" spans="8:57" x14ac:dyDescent="0.25">
      <c r="H121" s="548"/>
      <c r="I121" s="4"/>
      <c r="K121" s="4"/>
      <c r="L121" s="4"/>
      <c r="R121" s="360"/>
      <c r="S121" s="360"/>
      <c r="T121" s="360"/>
      <c r="U121" s="360"/>
      <c r="W121" s="360"/>
      <c r="X121" s="360"/>
      <c r="Y121" s="360"/>
      <c r="Z121" s="360"/>
      <c r="AA121" s="541"/>
      <c r="AB121" s="360"/>
      <c r="AC121" s="360"/>
      <c r="AD121" s="360"/>
      <c r="AE121" s="360"/>
      <c r="AG121" s="360"/>
      <c r="AH121" s="360"/>
      <c r="AI121" s="360"/>
      <c r="AJ121" s="360"/>
      <c r="AK121" s="360"/>
      <c r="AL121" s="360"/>
      <c r="AM121" s="360"/>
      <c r="AN121" s="360"/>
      <c r="AO121" s="360"/>
      <c r="AP121" s="360"/>
      <c r="AQ121" s="360"/>
      <c r="AR121" s="360"/>
      <c r="AS121" s="360"/>
      <c r="AT121" s="360"/>
      <c r="AV121" s="542"/>
      <c r="AW121" s="551"/>
      <c r="AX121" s="551"/>
      <c r="AY121" s="9"/>
      <c r="AZ121" s="48"/>
      <c r="BA121" s="360"/>
      <c r="BB121" s="360"/>
      <c r="BC121" s="360"/>
      <c r="BD121" s="360"/>
      <c r="BE121" s="360"/>
    </row>
    <row r="122" spans="8:57" x14ac:dyDescent="0.25">
      <c r="H122" s="548"/>
      <c r="I122" s="4"/>
      <c r="K122" s="4"/>
      <c r="L122" s="4"/>
      <c r="R122" s="360"/>
      <c r="S122" s="360"/>
      <c r="T122" s="360"/>
      <c r="U122" s="360"/>
      <c r="W122" s="360"/>
      <c r="X122" s="360"/>
      <c r="Y122" s="360"/>
      <c r="Z122" s="360"/>
      <c r="AA122" s="541"/>
      <c r="AB122" s="360"/>
      <c r="AC122" s="360"/>
      <c r="AD122" s="360"/>
      <c r="AE122" s="360"/>
      <c r="AG122" s="360"/>
      <c r="AH122" s="360"/>
      <c r="AI122" s="360"/>
      <c r="AJ122" s="360"/>
      <c r="AK122" s="360"/>
      <c r="AL122" s="360"/>
      <c r="AM122" s="360"/>
      <c r="AN122" s="360"/>
      <c r="AO122" s="360"/>
      <c r="AP122" s="360"/>
      <c r="AQ122" s="360"/>
      <c r="AR122" s="360"/>
      <c r="AS122" s="360"/>
      <c r="AT122" s="360"/>
      <c r="AV122" s="542"/>
      <c r="AW122" s="551"/>
      <c r="AX122" s="551"/>
      <c r="AY122" s="9"/>
      <c r="AZ122" s="48"/>
      <c r="BA122" s="360"/>
      <c r="BB122" s="360"/>
      <c r="BC122" s="360"/>
      <c r="BD122" s="360"/>
      <c r="BE122" s="360"/>
    </row>
    <row r="123" spans="8:57" x14ac:dyDescent="0.25">
      <c r="H123" s="548"/>
      <c r="I123" s="4"/>
      <c r="K123" s="4"/>
      <c r="L123" s="4"/>
      <c r="R123" s="360"/>
      <c r="S123" s="360"/>
      <c r="T123" s="360"/>
      <c r="U123" s="360"/>
      <c r="W123" s="360"/>
      <c r="X123" s="360"/>
      <c r="Y123" s="360"/>
      <c r="Z123" s="360"/>
      <c r="AA123" s="541"/>
      <c r="AB123" s="360"/>
      <c r="AC123" s="360"/>
      <c r="AD123" s="360"/>
      <c r="AE123" s="360"/>
      <c r="AG123" s="360"/>
      <c r="AH123" s="360"/>
      <c r="AI123" s="360"/>
      <c r="AJ123" s="360"/>
      <c r="AK123" s="360"/>
      <c r="AL123" s="360"/>
      <c r="AM123" s="360"/>
      <c r="AN123" s="360"/>
      <c r="AO123" s="360"/>
      <c r="AP123" s="360"/>
      <c r="AQ123" s="360"/>
      <c r="AR123" s="360"/>
      <c r="AS123" s="360"/>
      <c r="AT123" s="360"/>
      <c r="AV123" s="542"/>
      <c r="AW123" s="551"/>
      <c r="AX123" s="551"/>
      <c r="AY123" s="9"/>
      <c r="AZ123" s="48"/>
      <c r="BA123" s="360"/>
      <c r="BB123" s="360"/>
      <c r="BC123" s="360"/>
      <c r="BD123" s="360"/>
      <c r="BE123" s="360"/>
    </row>
    <row r="124" spans="8:57" x14ac:dyDescent="0.25">
      <c r="H124" s="548"/>
      <c r="I124" s="4"/>
      <c r="K124" s="4"/>
      <c r="L124" s="4"/>
      <c r="R124" s="360"/>
      <c r="S124" s="360"/>
      <c r="T124" s="360"/>
      <c r="U124" s="360"/>
      <c r="W124" s="360"/>
      <c r="X124" s="360"/>
      <c r="Y124" s="360"/>
      <c r="Z124" s="360"/>
      <c r="AA124" s="541"/>
      <c r="AB124" s="360"/>
      <c r="AC124" s="360"/>
      <c r="AD124" s="360"/>
      <c r="AE124" s="360"/>
      <c r="AG124" s="360"/>
      <c r="AH124" s="360"/>
      <c r="AI124" s="360"/>
      <c r="AJ124" s="360"/>
      <c r="AK124" s="360"/>
      <c r="AL124" s="360"/>
      <c r="AM124" s="360"/>
      <c r="AN124" s="360"/>
      <c r="AO124" s="360"/>
      <c r="AP124" s="360"/>
      <c r="AQ124" s="360"/>
      <c r="AR124" s="360"/>
      <c r="AS124" s="360"/>
      <c r="AT124" s="360"/>
      <c r="AV124" s="542"/>
      <c r="AW124" s="551"/>
      <c r="AX124" s="551"/>
      <c r="AY124" s="9"/>
      <c r="AZ124" s="48"/>
      <c r="BA124" s="360"/>
      <c r="BB124" s="360"/>
      <c r="BC124" s="360"/>
      <c r="BD124" s="360"/>
      <c r="BE124" s="360"/>
    </row>
    <row r="125" spans="8:57" x14ac:dyDescent="0.25">
      <c r="H125" s="548"/>
      <c r="I125" s="4"/>
      <c r="K125" s="4"/>
      <c r="L125" s="4"/>
      <c r="R125" s="360"/>
      <c r="S125" s="360"/>
      <c r="T125" s="360"/>
      <c r="U125" s="360"/>
      <c r="W125" s="360"/>
      <c r="X125" s="360"/>
      <c r="Y125" s="360"/>
      <c r="Z125" s="360"/>
      <c r="AA125" s="541"/>
      <c r="AB125" s="360"/>
      <c r="AC125" s="360"/>
      <c r="AD125" s="360"/>
      <c r="AE125" s="360"/>
      <c r="AG125" s="360"/>
      <c r="AH125" s="360"/>
      <c r="AI125" s="360"/>
      <c r="AJ125" s="360"/>
      <c r="AK125" s="360"/>
      <c r="AL125" s="360"/>
      <c r="AM125" s="360"/>
      <c r="AN125" s="360"/>
      <c r="AO125" s="360"/>
      <c r="AP125" s="360"/>
      <c r="AQ125" s="360"/>
      <c r="AR125" s="360"/>
      <c r="AS125" s="360"/>
      <c r="AT125" s="360"/>
      <c r="AV125" s="542"/>
      <c r="AW125" s="551"/>
      <c r="AX125" s="551"/>
      <c r="AY125" s="9"/>
      <c r="AZ125" s="48"/>
      <c r="BA125" s="360"/>
      <c r="BB125" s="360"/>
      <c r="BC125" s="360"/>
      <c r="BD125" s="360"/>
      <c r="BE125" s="360"/>
    </row>
    <row r="126" spans="8:57" x14ac:dyDescent="0.25">
      <c r="H126" s="548"/>
      <c r="I126" s="4"/>
      <c r="K126" s="4"/>
      <c r="L126" s="4"/>
      <c r="R126" s="360"/>
      <c r="S126" s="360"/>
      <c r="T126" s="360"/>
      <c r="U126" s="360"/>
      <c r="W126" s="360"/>
      <c r="X126" s="360"/>
      <c r="Y126" s="360"/>
      <c r="Z126" s="360"/>
      <c r="AA126" s="541"/>
      <c r="AB126" s="360"/>
      <c r="AC126" s="360"/>
      <c r="AD126" s="360"/>
      <c r="AE126" s="360"/>
      <c r="AG126" s="360"/>
      <c r="AH126" s="360"/>
      <c r="AI126" s="360"/>
      <c r="AJ126" s="360"/>
      <c r="AK126" s="360"/>
      <c r="AL126" s="360"/>
      <c r="AM126" s="360"/>
      <c r="AN126" s="360"/>
      <c r="AO126" s="360"/>
      <c r="AP126" s="360"/>
      <c r="AQ126" s="360"/>
      <c r="AR126" s="360"/>
      <c r="AS126" s="360"/>
      <c r="AT126" s="360"/>
      <c r="AV126" s="542"/>
      <c r="AW126" s="551"/>
      <c r="AX126" s="551"/>
      <c r="AY126" s="9"/>
      <c r="AZ126" s="48"/>
      <c r="BA126" s="360"/>
      <c r="BB126" s="360"/>
      <c r="BC126" s="360"/>
      <c r="BD126" s="360"/>
      <c r="BE126" s="360"/>
    </row>
    <row r="127" spans="8:57" x14ac:dyDescent="0.25">
      <c r="H127" s="548"/>
      <c r="I127" s="4"/>
      <c r="K127" s="4"/>
      <c r="L127" s="4"/>
      <c r="R127" s="360"/>
      <c r="S127" s="360"/>
      <c r="T127" s="360"/>
      <c r="U127" s="360"/>
      <c r="W127" s="360"/>
      <c r="X127" s="360"/>
      <c r="Y127" s="360"/>
      <c r="Z127" s="360"/>
      <c r="AA127" s="541"/>
      <c r="AB127" s="360"/>
      <c r="AC127" s="360"/>
      <c r="AD127" s="360"/>
      <c r="AE127" s="360"/>
      <c r="AG127" s="360"/>
      <c r="AH127" s="360"/>
      <c r="AI127" s="360"/>
      <c r="AJ127" s="360"/>
      <c r="AK127" s="360"/>
      <c r="AL127" s="360"/>
      <c r="AM127" s="360"/>
      <c r="AN127" s="360"/>
      <c r="AO127" s="360"/>
      <c r="AP127" s="360"/>
      <c r="AQ127" s="360"/>
      <c r="AR127" s="360"/>
      <c r="AS127" s="360"/>
      <c r="AT127" s="360"/>
      <c r="AV127" s="542"/>
      <c r="AW127" s="551"/>
      <c r="AX127" s="551"/>
      <c r="AY127" s="9"/>
      <c r="AZ127" s="48"/>
      <c r="BA127" s="360"/>
      <c r="BB127" s="360"/>
      <c r="BC127" s="360"/>
      <c r="BD127" s="360"/>
      <c r="BE127" s="360"/>
    </row>
    <row r="128" spans="8:57" x14ac:dyDescent="0.25">
      <c r="H128" s="548"/>
      <c r="I128" s="4"/>
      <c r="K128" s="4"/>
      <c r="L128" s="4"/>
      <c r="R128" s="360"/>
      <c r="S128" s="360"/>
      <c r="T128" s="360"/>
      <c r="U128" s="360"/>
      <c r="W128" s="360"/>
      <c r="X128" s="360"/>
      <c r="Y128" s="360"/>
      <c r="Z128" s="360"/>
      <c r="AA128" s="541"/>
      <c r="AB128" s="360"/>
      <c r="AC128" s="360"/>
      <c r="AD128" s="360"/>
      <c r="AE128" s="360"/>
      <c r="AG128" s="360"/>
      <c r="AH128" s="360"/>
      <c r="AI128" s="360"/>
      <c r="AJ128" s="360"/>
      <c r="AK128" s="360"/>
      <c r="AL128" s="360"/>
      <c r="AM128" s="360"/>
      <c r="AN128" s="360"/>
      <c r="AO128" s="360"/>
      <c r="AP128" s="360"/>
      <c r="AQ128" s="360"/>
      <c r="AR128" s="360"/>
      <c r="AS128" s="360"/>
      <c r="AT128" s="360"/>
      <c r="AV128" s="542"/>
      <c r="AW128" s="551"/>
      <c r="AX128" s="551"/>
      <c r="AY128" s="9"/>
      <c r="AZ128" s="48"/>
      <c r="BA128" s="360"/>
      <c r="BB128" s="360"/>
      <c r="BC128" s="360"/>
      <c r="BD128" s="360"/>
      <c r="BE128" s="360"/>
    </row>
    <row r="129" spans="8:57" x14ac:dyDescent="0.25">
      <c r="H129" s="548"/>
      <c r="I129" s="4"/>
      <c r="K129" s="4"/>
      <c r="L129" s="4"/>
      <c r="R129" s="360"/>
      <c r="S129" s="360"/>
      <c r="T129" s="360"/>
      <c r="U129" s="360"/>
      <c r="W129" s="360"/>
      <c r="X129" s="360"/>
      <c r="Y129" s="360"/>
      <c r="Z129" s="360"/>
      <c r="AA129" s="541"/>
      <c r="AB129" s="360"/>
      <c r="AC129" s="360"/>
      <c r="AD129" s="360"/>
      <c r="AE129" s="360"/>
      <c r="AG129" s="360"/>
      <c r="AH129" s="360"/>
      <c r="AI129" s="360"/>
      <c r="AJ129" s="360"/>
      <c r="AK129" s="360"/>
      <c r="AL129" s="360"/>
      <c r="AM129" s="360"/>
      <c r="AN129" s="360"/>
      <c r="AO129" s="360"/>
      <c r="AP129" s="360"/>
      <c r="AQ129" s="360"/>
      <c r="AR129" s="360"/>
      <c r="AS129" s="360"/>
      <c r="AT129" s="360"/>
      <c r="AV129" s="542"/>
      <c r="AW129" s="551"/>
      <c r="AX129" s="551"/>
      <c r="AY129" s="9"/>
      <c r="AZ129" s="48"/>
      <c r="BA129" s="360"/>
      <c r="BB129" s="360"/>
      <c r="BC129" s="360"/>
      <c r="BD129" s="360"/>
      <c r="BE129" s="360"/>
    </row>
    <row r="130" spans="8:57" x14ac:dyDescent="0.25">
      <c r="H130" s="548"/>
      <c r="I130" s="4"/>
      <c r="K130" s="4"/>
      <c r="L130" s="4"/>
      <c r="R130" s="360"/>
      <c r="S130" s="360"/>
      <c r="T130" s="360"/>
      <c r="U130" s="360"/>
      <c r="W130" s="360"/>
      <c r="X130" s="360"/>
      <c r="Y130" s="360"/>
      <c r="Z130" s="360"/>
      <c r="AA130" s="541"/>
      <c r="AB130" s="360"/>
      <c r="AC130" s="360"/>
      <c r="AD130" s="360"/>
      <c r="AE130" s="360"/>
      <c r="AG130" s="360"/>
      <c r="AH130" s="360"/>
      <c r="AI130" s="360"/>
      <c r="AJ130" s="360"/>
      <c r="AK130" s="360"/>
      <c r="AL130" s="360"/>
      <c r="AM130" s="360"/>
      <c r="AN130" s="360"/>
      <c r="AO130" s="360"/>
      <c r="AP130" s="360"/>
      <c r="AQ130" s="360"/>
      <c r="AR130" s="360"/>
      <c r="AS130" s="360"/>
      <c r="AT130" s="360"/>
      <c r="AV130" s="542"/>
      <c r="AW130" s="551"/>
      <c r="AX130" s="551"/>
      <c r="AY130" s="9"/>
      <c r="AZ130" s="48"/>
      <c r="BA130" s="360"/>
      <c r="BB130" s="360"/>
      <c r="BC130" s="360"/>
      <c r="BD130" s="360"/>
      <c r="BE130" s="360"/>
    </row>
    <row r="131" spans="8:57" x14ac:dyDescent="0.25">
      <c r="H131" s="548"/>
      <c r="I131" s="4"/>
      <c r="K131" s="4"/>
      <c r="L131" s="4"/>
      <c r="R131" s="360"/>
      <c r="S131" s="360"/>
      <c r="T131" s="360"/>
      <c r="U131" s="360"/>
      <c r="W131" s="360"/>
      <c r="X131" s="360"/>
      <c r="Y131" s="360"/>
      <c r="Z131" s="360"/>
      <c r="AA131" s="541"/>
      <c r="AB131" s="360"/>
      <c r="AC131" s="360"/>
      <c r="AD131" s="360"/>
      <c r="AE131" s="360"/>
      <c r="AG131" s="360"/>
      <c r="AH131" s="360"/>
      <c r="AI131" s="360"/>
      <c r="AJ131" s="360"/>
      <c r="AK131" s="360"/>
      <c r="AL131" s="360"/>
      <c r="AM131" s="360"/>
      <c r="AN131" s="360"/>
      <c r="AO131" s="360"/>
      <c r="AP131" s="360"/>
      <c r="AQ131" s="360"/>
      <c r="AR131" s="360"/>
      <c r="AS131" s="360"/>
      <c r="AT131" s="360"/>
      <c r="AV131" s="542"/>
      <c r="AW131" s="551"/>
      <c r="AX131" s="551"/>
      <c r="AY131" s="9"/>
      <c r="AZ131" s="48"/>
      <c r="BA131" s="360"/>
      <c r="BB131" s="360"/>
      <c r="BC131" s="360"/>
      <c r="BD131" s="360"/>
      <c r="BE131" s="360"/>
    </row>
    <row r="132" spans="8:57" x14ac:dyDescent="0.25">
      <c r="H132" s="548"/>
      <c r="I132" s="4"/>
      <c r="K132" s="4"/>
      <c r="L132" s="4"/>
      <c r="R132" s="360"/>
      <c r="S132" s="360"/>
      <c r="T132" s="360"/>
      <c r="U132" s="360"/>
      <c r="W132" s="360"/>
      <c r="X132" s="360"/>
      <c r="Y132" s="360"/>
      <c r="Z132" s="360"/>
      <c r="AA132" s="541"/>
      <c r="AB132" s="360"/>
      <c r="AC132" s="360"/>
      <c r="AD132" s="360"/>
      <c r="AE132" s="360"/>
      <c r="AG132" s="360"/>
      <c r="AH132" s="360"/>
      <c r="AI132" s="360"/>
      <c r="AJ132" s="360"/>
      <c r="AK132" s="360"/>
      <c r="AL132" s="360"/>
      <c r="AM132" s="360"/>
      <c r="AN132" s="360"/>
      <c r="AO132" s="360"/>
      <c r="AP132" s="360"/>
      <c r="AQ132" s="360"/>
      <c r="AR132" s="360"/>
      <c r="AS132" s="360"/>
      <c r="AT132" s="360"/>
      <c r="AV132" s="542"/>
      <c r="AW132" s="551"/>
      <c r="AX132" s="551"/>
      <c r="AY132" s="9"/>
      <c r="AZ132" s="48"/>
      <c r="BA132" s="360"/>
      <c r="BB132" s="360"/>
      <c r="BC132" s="360"/>
      <c r="BD132" s="360"/>
      <c r="BE132" s="360"/>
    </row>
    <row r="133" spans="8:57" x14ac:dyDescent="0.25">
      <c r="H133" s="548"/>
      <c r="I133" s="4"/>
      <c r="K133" s="4"/>
      <c r="L133" s="4"/>
      <c r="R133" s="360"/>
      <c r="S133" s="360"/>
      <c r="T133" s="360"/>
      <c r="U133" s="360"/>
      <c r="W133" s="360"/>
      <c r="X133" s="360"/>
      <c r="Y133" s="360"/>
      <c r="Z133" s="360"/>
      <c r="AA133" s="541"/>
      <c r="AB133" s="360"/>
      <c r="AC133" s="360"/>
      <c r="AD133" s="360"/>
      <c r="AE133" s="360"/>
      <c r="AG133" s="360"/>
      <c r="AH133" s="360"/>
      <c r="AI133" s="360"/>
      <c r="AJ133" s="360"/>
      <c r="AK133" s="360"/>
      <c r="AL133" s="360"/>
      <c r="AM133" s="360"/>
      <c r="AN133" s="360"/>
      <c r="AO133" s="360"/>
      <c r="AP133" s="360"/>
      <c r="AQ133" s="360"/>
      <c r="AR133" s="360"/>
      <c r="AS133" s="360"/>
      <c r="AT133" s="360"/>
      <c r="AV133" s="542"/>
      <c r="AW133" s="551"/>
      <c r="AX133" s="551"/>
      <c r="AY133" s="9"/>
      <c r="AZ133" s="48"/>
      <c r="BA133" s="360"/>
      <c r="BB133" s="360"/>
      <c r="BC133" s="360"/>
      <c r="BD133" s="360"/>
      <c r="BE133" s="360"/>
    </row>
    <row r="134" spans="8:57" x14ac:dyDescent="0.25">
      <c r="H134" s="548"/>
      <c r="I134" s="4"/>
      <c r="K134" s="4"/>
      <c r="L134" s="4"/>
      <c r="R134" s="360"/>
      <c r="S134" s="360"/>
      <c r="T134" s="360"/>
      <c r="U134" s="360"/>
      <c r="W134" s="360"/>
      <c r="X134" s="360"/>
      <c r="Y134" s="360"/>
      <c r="Z134" s="360"/>
      <c r="AA134" s="541"/>
      <c r="AB134" s="360"/>
      <c r="AC134" s="360"/>
      <c r="AD134" s="360"/>
      <c r="AE134" s="360"/>
      <c r="AG134" s="360"/>
      <c r="AH134" s="360"/>
      <c r="AI134" s="360"/>
      <c r="AJ134" s="360"/>
      <c r="AK134" s="360"/>
      <c r="AL134" s="360"/>
      <c r="AM134" s="360"/>
      <c r="AN134" s="360"/>
      <c r="AO134" s="360"/>
      <c r="AP134" s="360"/>
      <c r="AQ134" s="360"/>
      <c r="AR134" s="360"/>
      <c r="AS134" s="360"/>
      <c r="AT134" s="360"/>
      <c r="AV134" s="542"/>
      <c r="AW134" s="551"/>
      <c r="AX134" s="551"/>
      <c r="AY134" s="9"/>
      <c r="AZ134" s="48"/>
      <c r="BA134" s="360"/>
      <c r="BB134" s="360"/>
      <c r="BC134" s="360"/>
      <c r="BD134" s="360"/>
      <c r="BE134" s="360"/>
    </row>
    <row r="135" spans="8:57" x14ac:dyDescent="0.25">
      <c r="H135" s="548"/>
      <c r="I135" s="4"/>
      <c r="K135" s="4"/>
      <c r="L135" s="4"/>
      <c r="R135" s="360"/>
      <c r="S135" s="360"/>
      <c r="T135" s="360"/>
      <c r="U135" s="360"/>
      <c r="W135" s="360"/>
      <c r="X135" s="360"/>
      <c r="Y135" s="360"/>
      <c r="Z135" s="360"/>
      <c r="AA135" s="541"/>
      <c r="AB135" s="360"/>
      <c r="AC135" s="360"/>
      <c r="AD135" s="360"/>
      <c r="AE135" s="360"/>
      <c r="AG135" s="360"/>
      <c r="AH135" s="360"/>
      <c r="AI135" s="360"/>
      <c r="AJ135" s="360"/>
      <c r="AK135" s="360"/>
      <c r="AL135" s="360"/>
      <c r="AM135" s="360"/>
      <c r="AN135" s="360"/>
      <c r="AO135" s="360"/>
      <c r="AP135" s="360"/>
      <c r="AQ135" s="360"/>
      <c r="AR135" s="360"/>
      <c r="AS135" s="360"/>
      <c r="AT135" s="360"/>
      <c r="AV135" s="542"/>
      <c r="AW135" s="551"/>
      <c r="AX135" s="551"/>
      <c r="AY135" s="9"/>
      <c r="AZ135" s="48"/>
      <c r="BA135" s="360"/>
      <c r="BB135" s="360"/>
      <c r="BC135" s="360"/>
      <c r="BD135" s="360"/>
      <c r="BE135" s="360"/>
    </row>
    <row r="136" spans="8:57" x14ac:dyDescent="0.25">
      <c r="H136" s="548"/>
      <c r="I136" s="4"/>
      <c r="K136" s="4"/>
      <c r="L136" s="4"/>
      <c r="R136" s="360"/>
      <c r="S136" s="360"/>
      <c r="T136" s="360"/>
      <c r="U136" s="360"/>
      <c r="W136" s="360"/>
      <c r="X136" s="360"/>
      <c r="Y136" s="360"/>
      <c r="Z136" s="360"/>
      <c r="AA136" s="541"/>
      <c r="AB136" s="360"/>
      <c r="AC136" s="360"/>
      <c r="AD136" s="360"/>
      <c r="AE136" s="360"/>
      <c r="AG136" s="360"/>
      <c r="AH136" s="360"/>
      <c r="AI136" s="360"/>
      <c r="AJ136" s="360"/>
      <c r="AK136" s="360"/>
      <c r="AL136" s="360"/>
      <c r="AM136" s="360"/>
      <c r="AN136" s="360"/>
      <c r="AO136" s="360"/>
      <c r="AP136" s="360"/>
      <c r="AQ136" s="360"/>
      <c r="AR136" s="360"/>
      <c r="AS136" s="360"/>
      <c r="AT136" s="360"/>
      <c r="AV136" s="542"/>
      <c r="AW136" s="551"/>
      <c r="AX136" s="551"/>
      <c r="AY136" s="9"/>
      <c r="AZ136" s="48"/>
      <c r="BA136" s="360"/>
      <c r="BB136" s="360"/>
      <c r="BC136" s="360"/>
      <c r="BD136" s="360"/>
      <c r="BE136" s="360"/>
    </row>
    <row r="137" spans="8:57" x14ac:dyDescent="0.25">
      <c r="H137" s="548"/>
      <c r="I137" s="4"/>
      <c r="K137" s="4"/>
      <c r="L137" s="4"/>
      <c r="R137" s="360"/>
      <c r="S137" s="360"/>
      <c r="T137" s="360"/>
      <c r="U137" s="360"/>
      <c r="W137" s="360"/>
      <c r="X137" s="360"/>
      <c r="Y137" s="360"/>
      <c r="Z137" s="360"/>
      <c r="AA137" s="541"/>
      <c r="AB137" s="360"/>
      <c r="AC137" s="360"/>
      <c r="AD137" s="360"/>
      <c r="AE137" s="360"/>
      <c r="AG137" s="360"/>
      <c r="AH137" s="360"/>
      <c r="AI137" s="360"/>
      <c r="AJ137" s="360"/>
      <c r="AK137" s="360"/>
      <c r="AL137" s="360"/>
      <c r="AM137" s="360"/>
      <c r="AN137" s="360"/>
      <c r="AO137" s="360"/>
      <c r="AP137" s="360"/>
      <c r="AQ137" s="360"/>
      <c r="AR137" s="360"/>
      <c r="AS137" s="360"/>
      <c r="AT137" s="360"/>
      <c r="AV137" s="542"/>
      <c r="AW137" s="551"/>
      <c r="AX137" s="551"/>
      <c r="AY137" s="9"/>
      <c r="AZ137" s="48"/>
      <c r="BA137" s="360"/>
      <c r="BB137" s="360"/>
      <c r="BC137" s="360"/>
      <c r="BD137" s="360"/>
      <c r="BE137" s="360"/>
    </row>
    <row r="138" spans="8:57" x14ac:dyDescent="0.25">
      <c r="H138" s="548"/>
      <c r="I138" s="4"/>
      <c r="K138" s="4"/>
      <c r="L138" s="4"/>
      <c r="R138" s="360"/>
      <c r="S138" s="360"/>
      <c r="T138" s="360"/>
      <c r="U138" s="360"/>
      <c r="W138" s="360"/>
      <c r="X138" s="360"/>
      <c r="Y138" s="360"/>
      <c r="Z138" s="360"/>
      <c r="AA138" s="541"/>
      <c r="AB138" s="360"/>
      <c r="AC138" s="360"/>
      <c r="AD138" s="360"/>
      <c r="AE138" s="360"/>
      <c r="AG138" s="360"/>
      <c r="AH138" s="360"/>
      <c r="AI138" s="360"/>
      <c r="AJ138" s="360"/>
      <c r="AK138" s="360"/>
      <c r="AL138" s="360"/>
      <c r="AM138" s="360"/>
      <c r="AN138" s="360"/>
      <c r="AO138" s="360"/>
      <c r="AP138" s="360"/>
      <c r="AQ138" s="360"/>
      <c r="AR138" s="360"/>
      <c r="AS138" s="360"/>
      <c r="AT138" s="360"/>
      <c r="AV138" s="542"/>
      <c r="AW138" s="551"/>
      <c r="AX138" s="551"/>
      <c r="AY138" s="9"/>
      <c r="AZ138" s="48"/>
      <c r="BA138" s="360"/>
      <c r="BB138" s="360"/>
      <c r="BC138" s="360"/>
      <c r="BD138" s="360"/>
      <c r="BE138" s="360"/>
    </row>
    <row r="139" spans="8:57" x14ac:dyDescent="0.25">
      <c r="H139" s="548"/>
      <c r="I139" s="4"/>
      <c r="K139" s="4"/>
      <c r="L139" s="4"/>
      <c r="R139" s="360"/>
      <c r="S139" s="360"/>
      <c r="T139" s="360"/>
      <c r="U139" s="360"/>
      <c r="W139" s="360"/>
      <c r="X139" s="360"/>
      <c r="Y139" s="360"/>
      <c r="Z139" s="360"/>
      <c r="AA139" s="541"/>
      <c r="AB139" s="360"/>
      <c r="AC139" s="360"/>
      <c r="AD139" s="360"/>
      <c r="AE139" s="360"/>
      <c r="AG139" s="360"/>
      <c r="AH139" s="360"/>
      <c r="AI139" s="360"/>
      <c r="AJ139" s="360"/>
      <c r="AK139" s="360"/>
      <c r="AL139" s="360"/>
      <c r="AM139" s="360"/>
      <c r="AN139" s="360"/>
      <c r="AO139" s="360"/>
      <c r="AP139" s="360"/>
      <c r="AQ139" s="360"/>
      <c r="AR139" s="360"/>
      <c r="AS139" s="360"/>
      <c r="AT139" s="360"/>
      <c r="AV139" s="542"/>
      <c r="AW139" s="551"/>
      <c r="AX139" s="551"/>
      <c r="AY139" s="9"/>
      <c r="AZ139" s="48"/>
      <c r="BA139" s="360"/>
      <c r="BB139" s="360"/>
      <c r="BC139" s="360"/>
      <c r="BD139" s="360"/>
      <c r="BE139" s="360"/>
    </row>
    <row r="140" spans="8:57" x14ac:dyDescent="0.25">
      <c r="H140" s="548"/>
      <c r="I140" s="4"/>
      <c r="K140" s="4"/>
      <c r="L140" s="4"/>
      <c r="R140" s="360"/>
      <c r="S140" s="360"/>
      <c r="T140" s="360"/>
      <c r="U140" s="360"/>
      <c r="W140" s="360"/>
      <c r="X140" s="360"/>
      <c r="Y140" s="360"/>
      <c r="Z140" s="360"/>
      <c r="AA140" s="541"/>
      <c r="AB140" s="360"/>
      <c r="AC140" s="360"/>
      <c r="AD140" s="360"/>
      <c r="AE140" s="360"/>
      <c r="AG140" s="360"/>
      <c r="AH140" s="360"/>
      <c r="AI140" s="360"/>
      <c r="AJ140" s="360"/>
      <c r="AK140" s="360"/>
      <c r="AL140" s="360"/>
      <c r="AM140" s="360"/>
      <c r="AN140" s="360"/>
      <c r="AO140" s="360"/>
      <c r="AP140" s="360"/>
      <c r="AQ140" s="360"/>
      <c r="AR140" s="360"/>
      <c r="AS140" s="360"/>
      <c r="AT140" s="360"/>
      <c r="AV140" s="542"/>
      <c r="AW140" s="551"/>
      <c r="AX140" s="551"/>
      <c r="AY140" s="9"/>
      <c r="AZ140" s="48"/>
      <c r="BA140" s="360"/>
      <c r="BB140" s="360"/>
      <c r="BC140" s="360"/>
      <c r="BD140" s="360"/>
      <c r="BE140" s="360"/>
    </row>
    <row r="141" spans="8:57" x14ac:dyDescent="0.25">
      <c r="H141" s="548"/>
      <c r="I141" s="4"/>
      <c r="K141" s="4"/>
      <c r="L141" s="4"/>
      <c r="R141" s="360"/>
      <c r="S141" s="360"/>
      <c r="T141" s="360"/>
      <c r="U141" s="360"/>
      <c r="W141" s="360"/>
      <c r="X141" s="360"/>
      <c r="Y141" s="360"/>
      <c r="Z141" s="360"/>
      <c r="AA141" s="541"/>
      <c r="AB141" s="360"/>
      <c r="AC141" s="360"/>
      <c r="AD141" s="360"/>
      <c r="AE141" s="360"/>
      <c r="AG141" s="360"/>
      <c r="AH141" s="360"/>
      <c r="AI141" s="360"/>
      <c r="AJ141" s="360"/>
      <c r="AK141" s="360"/>
      <c r="AL141" s="360"/>
      <c r="AM141" s="360"/>
      <c r="AN141" s="360"/>
      <c r="AO141" s="360"/>
      <c r="AP141" s="360"/>
      <c r="AQ141" s="360"/>
      <c r="AR141" s="360"/>
      <c r="AS141" s="360"/>
      <c r="AT141" s="360"/>
      <c r="AV141" s="542"/>
      <c r="AW141" s="551"/>
      <c r="AX141" s="551"/>
      <c r="AY141" s="9"/>
      <c r="AZ141" s="48"/>
      <c r="BA141" s="360"/>
      <c r="BB141" s="360"/>
      <c r="BC141" s="360"/>
      <c r="BD141" s="360"/>
      <c r="BE141" s="360"/>
    </row>
    <row r="142" spans="8:57" x14ac:dyDescent="0.25">
      <c r="H142" s="548"/>
      <c r="I142" s="4"/>
      <c r="K142" s="4"/>
      <c r="L142" s="4"/>
      <c r="R142" s="360"/>
      <c r="S142" s="360"/>
      <c r="T142" s="360"/>
      <c r="U142" s="360"/>
      <c r="W142" s="360"/>
      <c r="X142" s="360"/>
      <c r="Y142" s="360"/>
      <c r="Z142" s="360"/>
      <c r="AA142" s="541"/>
      <c r="AB142" s="360"/>
      <c r="AC142" s="360"/>
      <c r="AD142" s="360"/>
      <c r="AE142" s="360"/>
      <c r="AG142" s="360"/>
      <c r="AH142" s="360"/>
      <c r="AI142" s="360"/>
      <c r="AJ142" s="360"/>
      <c r="AK142" s="360"/>
      <c r="AL142" s="360"/>
      <c r="AM142" s="360"/>
      <c r="AN142" s="360"/>
      <c r="AO142" s="360"/>
      <c r="AP142" s="360"/>
      <c r="AQ142" s="360"/>
      <c r="AR142" s="360"/>
      <c r="AS142" s="360"/>
      <c r="AT142" s="360"/>
      <c r="AV142" s="542"/>
      <c r="AW142" s="551"/>
      <c r="AX142" s="551"/>
      <c r="AY142" s="9"/>
      <c r="AZ142" s="48"/>
      <c r="BA142" s="360"/>
      <c r="BB142" s="360"/>
      <c r="BC142" s="360"/>
      <c r="BD142" s="360"/>
      <c r="BE142" s="360"/>
    </row>
    <row r="143" spans="8:57" x14ac:dyDescent="0.25">
      <c r="H143" s="548"/>
      <c r="I143" s="4"/>
      <c r="K143" s="4"/>
      <c r="L143" s="4"/>
      <c r="R143" s="360"/>
      <c r="S143" s="360"/>
      <c r="T143" s="360"/>
      <c r="U143" s="360"/>
      <c r="W143" s="360"/>
      <c r="X143" s="360"/>
      <c r="Y143" s="360"/>
      <c r="Z143" s="360"/>
      <c r="AA143" s="541"/>
      <c r="AB143" s="360"/>
      <c r="AC143" s="360"/>
      <c r="AD143" s="360"/>
      <c r="AE143" s="360"/>
      <c r="AG143" s="360"/>
      <c r="AH143" s="360"/>
      <c r="AI143" s="360"/>
      <c r="AJ143" s="360"/>
      <c r="AK143" s="360"/>
      <c r="AL143" s="360"/>
      <c r="AM143" s="360"/>
      <c r="AN143" s="360"/>
      <c r="AO143" s="360"/>
      <c r="AP143" s="360"/>
      <c r="AQ143" s="360"/>
      <c r="AR143" s="360"/>
      <c r="AS143" s="360"/>
      <c r="AT143" s="360"/>
      <c r="AV143" s="542"/>
      <c r="AW143" s="551"/>
      <c r="AX143" s="551"/>
      <c r="AY143" s="9"/>
      <c r="AZ143" s="48"/>
      <c r="BA143" s="360"/>
      <c r="BB143" s="360"/>
      <c r="BC143" s="360"/>
      <c r="BD143" s="360"/>
      <c r="BE143" s="360"/>
    </row>
    <row r="144" spans="8:57" x14ac:dyDescent="0.25">
      <c r="H144" s="548"/>
      <c r="I144" s="4"/>
      <c r="K144" s="4"/>
      <c r="L144" s="4"/>
      <c r="R144" s="360"/>
      <c r="S144" s="360"/>
      <c r="T144" s="360"/>
      <c r="U144" s="360"/>
      <c r="W144" s="360"/>
      <c r="X144" s="360"/>
      <c r="Y144" s="360"/>
      <c r="Z144" s="360"/>
      <c r="AA144" s="541"/>
      <c r="AB144" s="360"/>
      <c r="AC144" s="360"/>
      <c r="AD144" s="360"/>
      <c r="AE144" s="360"/>
      <c r="AG144" s="360"/>
      <c r="AH144" s="360"/>
      <c r="AI144" s="360"/>
      <c r="AJ144" s="360"/>
      <c r="AK144" s="360"/>
      <c r="AL144" s="360"/>
      <c r="AM144" s="360"/>
      <c r="AN144" s="360"/>
      <c r="AO144" s="360"/>
      <c r="AP144" s="360"/>
      <c r="AQ144" s="360"/>
      <c r="AR144" s="360"/>
      <c r="AS144" s="360"/>
      <c r="AT144" s="360"/>
      <c r="AV144" s="542"/>
      <c r="AW144" s="551"/>
      <c r="AX144" s="551"/>
      <c r="AY144" s="9"/>
      <c r="AZ144" s="48"/>
      <c r="BA144" s="360"/>
      <c r="BB144" s="360"/>
      <c r="BC144" s="360"/>
      <c r="BD144" s="360"/>
      <c r="BE144" s="360"/>
    </row>
    <row r="145" spans="8:57" x14ac:dyDescent="0.25">
      <c r="H145" s="548"/>
      <c r="I145" s="4"/>
      <c r="K145" s="4"/>
      <c r="L145" s="4"/>
      <c r="R145" s="360"/>
      <c r="S145" s="360"/>
      <c r="T145" s="360"/>
      <c r="U145" s="360"/>
      <c r="W145" s="360"/>
      <c r="X145" s="360"/>
      <c r="Y145" s="360"/>
      <c r="Z145" s="360"/>
      <c r="AA145" s="541"/>
      <c r="AB145" s="360"/>
      <c r="AC145" s="360"/>
      <c r="AD145" s="360"/>
      <c r="AE145" s="360"/>
      <c r="AG145" s="360"/>
      <c r="AH145" s="360"/>
      <c r="AI145" s="360"/>
      <c r="AJ145" s="360"/>
      <c r="AK145" s="360"/>
      <c r="AL145" s="360"/>
      <c r="AM145" s="360"/>
      <c r="AN145" s="360"/>
      <c r="AO145" s="360"/>
      <c r="AP145" s="360"/>
      <c r="AQ145" s="360"/>
      <c r="AR145" s="360"/>
      <c r="AS145" s="360"/>
      <c r="AT145" s="360"/>
      <c r="AV145" s="542"/>
      <c r="AW145" s="551"/>
      <c r="AX145" s="551"/>
      <c r="AY145" s="9"/>
      <c r="AZ145" s="48"/>
      <c r="BA145" s="360"/>
      <c r="BB145" s="360"/>
      <c r="BC145" s="360"/>
      <c r="BD145" s="360"/>
      <c r="BE145" s="360"/>
    </row>
    <row r="146" spans="8:57" x14ac:dyDescent="0.25">
      <c r="H146" s="548"/>
      <c r="I146" s="4"/>
      <c r="K146" s="4"/>
      <c r="L146" s="4"/>
      <c r="R146" s="360"/>
      <c r="S146" s="360"/>
      <c r="T146" s="360"/>
      <c r="U146" s="360"/>
      <c r="W146" s="360"/>
      <c r="X146" s="360"/>
      <c r="Y146" s="360"/>
      <c r="Z146" s="360"/>
      <c r="AA146" s="541"/>
      <c r="AB146" s="360"/>
      <c r="AC146" s="360"/>
      <c r="AD146" s="360"/>
      <c r="AE146" s="360"/>
      <c r="AG146" s="360"/>
      <c r="AH146" s="360"/>
      <c r="AI146" s="360"/>
      <c r="AJ146" s="360"/>
      <c r="AK146" s="360"/>
      <c r="AL146" s="360"/>
      <c r="AM146" s="360"/>
      <c r="AN146" s="360"/>
      <c r="AO146" s="360"/>
      <c r="AP146" s="360"/>
      <c r="AQ146" s="360"/>
      <c r="AR146" s="360"/>
      <c r="AS146" s="360"/>
      <c r="AT146" s="360"/>
      <c r="AV146" s="542"/>
      <c r="AW146" s="551"/>
      <c r="AX146" s="551"/>
      <c r="AY146" s="9"/>
      <c r="AZ146" s="48"/>
      <c r="BA146" s="360"/>
      <c r="BB146" s="360"/>
      <c r="BC146" s="360"/>
      <c r="BD146" s="360"/>
      <c r="BE146" s="360"/>
    </row>
    <row r="147" spans="8:57" x14ac:dyDescent="0.25">
      <c r="H147" s="548"/>
      <c r="I147" s="4"/>
      <c r="K147" s="4"/>
      <c r="L147" s="4"/>
      <c r="R147" s="360"/>
      <c r="S147" s="360"/>
      <c r="T147" s="360"/>
      <c r="U147" s="360"/>
      <c r="W147" s="360"/>
      <c r="X147" s="360"/>
      <c r="Y147" s="360"/>
      <c r="Z147" s="360"/>
      <c r="AA147" s="541"/>
      <c r="AB147" s="360"/>
      <c r="AC147" s="360"/>
      <c r="AD147" s="360"/>
      <c r="AE147" s="360"/>
      <c r="AG147" s="360"/>
      <c r="AH147" s="360"/>
      <c r="AI147" s="360"/>
      <c r="AJ147" s="360"/>
      <c r="AK147" s="360"/>
      <c r="AL147" s="360"/>
      <c r="AM147" s="360"/>
      <c r="AN147" s="360"/>
      <c r="AO147" s="360"/>
      <c r="AP147" s="360"/>
      <c r="AQ147" s="360"/>
      <c r="AR147" s="360"/>
      <c r="AS147" s="360"/>
      <c r="AT147" s="360"/>
      <c r="AV147" s="542"/>
      <c r="AW147" s="551"/>
      <c r="AX147" s="551"/>
      <c r="AY147" s="9"/>
      <c r="AZ147" s="48"/>
      <c r="BA147" s="360"/>
      <c r="BB147" s="360"/>
      <c r="BC147" s="360"/>
      <c r="BD147" s="360"/>
      <c r="BE147" s="360"/>
    </row>
    <row r="148" spans="8:57" x14ac:dyDescent="0.25">
      <c r="H148" s="548"/>
      <c r="I148" s="4"/>
      <c r="K148" s="4"/>
      <c r="L148" s="4"/>
      <c r="R148" s="360"/>
      <c r="S148" s="360"/>
      <c r="T148" s="360"/>
      <c r="U148" s="360"/>
      <c r="W148" s="360"/>
      <c r="X148" s="360"/>
      <c r="Y148" s="360"/>
      <c r="Z148" s="360"/>
      <c r="AA148" s="541"/>
      <c r="AB148" s="360"/>
      <c r="AC148" s="360"/>
      <c r="AD148" s="360"/>
      <c r="AE148" s="360"/>
      <c r="AG148" s="360"/>
      <c r="AH148" s="360"/>
      <c r="AI148" s="360"/>
      <c r="AJ148" s="360"/>
      <c r="AK148" s="360"/>
      <c r="AL148" s="360"/>
      <c r="AM148" s="360"/>
      <c r="AN148" s="360"/>
      <c r="AO148" s="360"/>
      <c r="AP148" s="360"/>
      <c r="AQ148" s="360"/>
      <c r="AR148" s="360"/>
      <c r="AS148" s="360"/>
      <c r="AT148" s="360"/>
      <c r="AV148" s="542"/>
      <c r="AW148" s="551"/>
      <c r="AX148" s="551"/>
      <c r="AY148" s="9"/>
      <c r="AZ148" s="48"/>
      <c r="BA148" s="360"/>
      <c r="BB148" s="360"/>
      <c r="BC148" s="360"/>
      <c r="BD148" s="360"/>
      <c r="BE148" s="360"/>
    </row>
    <row r="149" spans="8:57" x14ac:dyDescent="0.25">
      <c r="H149" s="548"/>
      <c r="I149" s="4"/>
      <c r="K149" s="4"/>
      <c r="L149" s="4"/>
      <c r="R149" s="360"/>
      <c r="S149" s="360"/>
      <c r="T149" s="360"/>
      <c r="U149" s="360"/>
      <c r="W149" s="360"/>
      <c r="X149" s="360"/>
      <c r="Y149" s="360"/>
      <c r="Z149" s="360"/>
      <c r="AA149" s="541"/>
      <c r="AB149" s="360"/>
      <c r="AC149" s="360"/>
      <c r="AD149" s="360"/>
      <c r="AE149" s="360"/>
      <c r="AG149" s="360"/>
      <c r="AH149" s="360"/>
      <c r="AI149" s="360"/>
      <c r="AJ149" s="360"/>
      <c r="AK149" s="360"/>
      <c r="AL149" s="360"/>
      <c r="AM149" s="360"/>
      <c r="AN149" s="360"/>
      <c r="AO149" s="360"/>
      <c r="AP149" s="360"/>
      <c r="AQ149" s="360"/>
      <c r="AR149" s="360"/>
      <c r="AS149" s="360"/>
      <c r="AT149" s="360"/>
      <c r="AV149" s="542"/>
      <c r="AW149" s="551"/>
      <c r="AX149" s="551"/>
      <c r="AY149" s="9"/>
      <c r="AZ149" s="48"/>
      <c r="BA149" s="360"/>
      <c r="BB149" s="360"/>
      <c r="BC149" s="360"/>
      <c r="BD149" s="360"/>
      <c r="BE149" s="360"/>
    </row>
    <row r="150" spans="8:57" x14ac:dyDescent="0.25">
      <c r="H150" s="548"/>
      <c r="I150" s="4"/>
      <c r="K150" s="4"/>
      <c r="L150" s="4"/>
      <c r="R150" s="360"/>
      <c r="S150" s="360"/>
      <c r="T150" s="360"/>
      <c r="U150" s="360"/>
      <c r="W150" s="360"/>
      <c r="X150" s="360"/>
      <c r="Y150" s="360"/>
      <c r="Z150" s="360"/>
      <c r="AA150" s="541"/>
      <c r="AB150" s="360"/>
      <c r="AC150" s="360"/>
      <c r="AD150" s="360"/>
      <c r="AE150" s="360"/>
      <c r="AG150" s="360"/>
      <c r="AH150" s="360"/>
      <c r="AI150" s="360"/>
      <c r="AJ150" s="360"/>
      <c r="AK150" s="360"/>
      <c r="AL150" s="360"/>
      <c r="AM150" s="360"/>
      <c r="AN150" s="360"/>
      <c r="AO150" s="360"/>
      <c r="AP150" s="360"/>
      <c r="AQ150" s="360"/>
      <c r="AR150" s="360"/>
      <c r="AS150" s="360"/>
      <c r="AT150" s="360"/>
      <c r="AV150" s="542"/>
      <c r="AW150" s="551"/>
      <c r="AX150" s="551"/>
      <c r="AY150" s="9"/>
      <c r="AZ150" s="48"/>
      <c r="BA150" s="360"/>
      <c r="BB150" s="360"/>
      <c r="BC150" s="360"/>
      <c r="BD150" s="360"/>
      <c r="BE150" s="360"/>
    </row>
    <row r="151" spans="8:57" x14ac:dyDescent="0.25">
      <c r="H151" s="548"/>
      <c r="I151" s="4"/>
      <c r="K151" s="4"/>
      <c r="L151" s="4"/>
      <c r="R151" s="360"/>
      <c r="S151" s="360"/>
      <c r="T151" s="360"/>
      <c r="U151" s="360"/>
      <c r="W151" s="360"/>
      <c r="X151" s="360"/>
      <c r="Y151" s="360"/>
      <c r="Z151" s="360"/>
      <c r="AA151" s="541"/>
      <c r="AB151" s="360"/>
      <c r="AC151" s="360"/>
      <c r="AD151" s="360"/>
      <c r="AE151" s="360"/>
      <c r="AG151" s="360"/>
      <c r="AH151" s="360"/>
      <c r="AI151" s="360"/>
      <c r="AJ151" s="360"/>
      <c r="AK151" s="360"/>
      <c r="AL151" s="360"/>
      <c r="AM151" s="360"/>
      <c r="AN151" s="360"/>
      <c r="AO151" s="360"/>
      <c r="AP151" s="360"/>
      <c r="AQ151" s="360"/>
      <c r="AR151" s="360"/>
      <c r="AS151" s="360"/>
      <c r="AT151" s="360"/>
      <c r="AV151" s="542"/>
      <c r="AW151" s="551"/>
      <c r="AX151" s="551"/>
      <c r="AY151" s="9"/>
      <c r="AZ151" s="48"/>
      <c r="BA151" s="360"/>
      <c r="BB151" s="360"/>
      <c r="BC151" s="360"/>
      <c r="BD151" s="360"/>
      <c r="BE151" s="360"/>
    </row>
    <row r="152" spans="8:57" x14ac:dyDescent="0.25">
      <c r="H152" s="548"/>
      <c r="I152" s="4"/>
      <c r="K152" s="4"/>
      <c r="L152" s="4"/>
      <c r="R152" s="360"/>
      <c r="S152" s="360"/>
      <c r="T152" s="360"/>
      <c r="U152" s="360"/>
      <c r="W152" s="360"/>
      <c r="X152" s="360"/>
      <c r="Y152" s="360"/>
      <c r="Z152" s="360"/>
      <c r="AA152" s="541"/>
      <c r="AB152" s="360"/>
      <c r="AC152" s="360"/>
      <c r="AD152" s="360"/>
      <c r="AE152" s="360"/>
      <c r="AG152" s="360"/>
      <c r="AH152" s="360"/>
      <c r="AI152" s="360"/>
      <c r="AJ152" s="360"/>
      <c r="AK152" s="360"/>
      <c r="AL152" s="360"/>
      <c r="AM152" s="360"/>
      <c r="AN152" s="360"/>
      <c r="AO152" s="360"/>
      <c r="AP152" s="360"/>
      <c r="AQ152" s="360"/>
      <c r="AR152" s="360"/>
      <c r="AS152" s="360"/>
      <c r="AT152" s="360"/>
      <c r="AV152" s="542"/>
      <c r="AW152" s="551"/>
      <c r="AX152" s="551"/>
      <c r="AY152" s="9"/>
      <c r="AZ152" s="48"/>
      <c r="BA152" s="360"/>
      <c r="BB152" s="360"/>
      <c r="BC152" s="360"/>
      <c r="BD152" s="360"/>
      <c r="BE152" s="360"/>
    </row>
    <row r="153" spans="8:57" x14ac:dyDescent="0.25">
      <c r="H153" s="548"/>
      <c r="I153" s="4"/>
      <c r="K153" s="4"/>
      <c r="L153" s="4"/>
      <c r="R153" s="360"/>
      <c r="S153" s="360"/>
      <c r="T153" s="360"/>
      <c r="U153" s="360"/>
      <c r="W153" s="360"/>
      <c r="X153" s="360"/>
      <c r="Y153" s="360"/>
      <c r="Z153" s="360"/>
      <c r="AA153" s="541"/>
      <c r="AB153" s="360"/>
      <c r="AC153" s="360"/>
      <c r="AD153" s="360"/>
      <c r="AE153" s="360"/>
      <c r="AG153" s="360"/>
      <c r="AH153" s="360"/>
      <c r="AI153" s="360"/>
      <c r="AJ153" s="360"/>
      <c r="AK153" s="360"/>
      <c r="AL153" s="360"/>
      <c r="AM153" s="360"/>
      <c r="AN153" s="360"/>
      <c r="AO153" s="360"/>
      <c r="AP153" s="360"/>
      <c r="AQ153" s="360"/>
      <c r="AR153" s="360"/>
      <c r="AS153" s="360"/>
      <c r="AT153" s="360"/>
      <c r="AV153" s="542"/>
      <c r="AW153" s="551"/>
      <c r="AX153" s="551"/>
      <c r="AY153" s="9"/>
      <c r="AZ153" s="48"/>
      <c r="BA153" s="360"/>
      <c r="BB153" s="360"/>
      <c r="BC153" s="360"/>
      <c r="BD153" s="360"/>
      <c r="BE153" s="360"/>
    </row>
    <row r="154" spans="8:57" x14ac:dyDescent="0.25">
      <c r="H154" s="548"/>
      <c r="I154" s="4"/>
      <c r="K154" s="4"/>
      <c r="L154" s="4"/>
      <c r="R154" s="360"/>
      <c r="S154" s="360"/>
      <c r="T154" s="360"/>
      <c r="U154" s="360"/>
      <c r="W154" s="360"/>
      <c r="X154" s="360"/>
      <c r="Y154" s="360"/>
      <c r="Z154" s="360"/>
      <c r="AA154" s="541"/>
      <c r="AB154" s="360"/>
      <c r="AC154" s="360"/>
      <c r="AD154" s="360"/>
      <c r="AE154" s="360"/>
      <c r="AG154" s="360"/>
      <c r="AH154" s="360"/>
      <c r="AI154" s="360"/>
      <c r="AJ154" s="360"/>
      <c r="AK154" s="360"/>
      <c r="AL154" s="360"/>
      <c r="AM154" s="360"/>
      <c r="AN154" s="360"/>
      <c r="AO154" s="360"/>
      <c r="AP154" s="360"/>
      <c r="AQ154" s="360"/>
      <c r="AR154" s="360"/>
      <c r="AS154" s="360"/>
      <c r="AT154" s="360"/>
      <c r="AV154" s="542"/>
      <c r="AW154" s="551"/>
      <c r="AX154" s="551"/>
      <c r="AY154" s="9"/>
      <c r="AZ154" s="48"/>
      <c r="BA154" s="360"/>
      <c r="BB154" s="360"/>
      <c r="BC154" s="360"/>
      <c r="BD154" s="360"/>
      <c r="BE154" s="360"/>
    </row>
    <row r="155" spans="8:57" x14ac:dyDescent="0.25">
      <c r="H155" s="548"/>
      <c r="I155" s="4"/>
      <c r="K155" s="4"/>
      <c r="L155" s="4"/>
      <c r="R155" s="360"/>
      <c r="S155" s="360"/>
      <c r="T155" s="360"/>
      <c r="U155" s="360"/>
      <c r="W155" s="360"/>
      <c r="X155" s="360"/>
      <c r="Y155" s="360"/>
      <c r="Z155" s="360"/>
      <c r="AA155" s="541"/>
      <c r="AB155" s="360"/>
      <c r="AC155" s="360"/>
      <c r="AD155" s="360"/>
      <c r="AE155" s="360"/>
      <c r="AG155" s="360"/>
      <c r="AH155" s="360"/>
      <c r="AI155" s="360"/>
      <c r="AJ155" s="360"/>
      <c r="AK155" s="360"/>
      <c r="AL155" s="360"/>
      <c r="AM155" s="360"/>
      <c r="AN155" s="360"/>
      <c r="AO155" s="360"/>
      <c r="AP155" s="360"/>
      <c r="AQ155" s="360"/>
      <c r="AR155" s="360"/>
      <c r="AS155" s="360"/>
      <c r="AT155" s="360"/>
      <c r="AV155" s="542"/>
      <c r="AW155" s="551"/>
      <c r="AX155" s="551"/>
      <c r="AY155" s="9"/>
      <c r="AZ155" s="48"/>
      <c r="BA155" s="360"/>
      <c r="BB155" s="360"/>
      <c r="BC155" s="360"/>
      <c r="BD155" s="360"/>
      <c r="BE155" s="360"/>
    </row>
    <row r="156" spans="8:57" x14ac:dyDescent="0.25">
      <c r="H156" s="548"/>
      <c r="I156" s="4"/>
      <c r="K156" s="4"/>
      <c r="L156" s="4"/>
      <c r="R156" s="360"/>
      <c r="S156" s="360"/>
      <c r="T156" s="360"/>
      <c r="U156" s="360"/>
      <c r="W156" s="360"/>
      <c r="X156" s="360"/>
      <c r="Y156" s="360"/>
      <c r="Z156" s="360"/>
      <c r="AA156" s="541"/>
      <c r="AB156" s="360"/>
      <c r="AC156" s="360"/>
      <c r="AD156" s="360"/>
      <c r="AE156" s="360"/>
      <c r="AG156" s="360"/>
      <c r="AH156" s="360"/>
      <c r="AI156" s="360"/>
      <c r="AJ156" s="360"/>
      <c r="AK156" s="360"/>
      <c r="AL156" s="360"/>
      <c r="AM156" s="360"/>
      <c r="AN156" s="360"/>
      <c r="AO156" s="360"/>
      <c r="AP156" s="360"/>
      <c r="AQ156" s="360"/>
      <c r="AR156" s="360"/>
      <c r="AS156" s="360"/>
      <c r="AT156" s="360"/>
      <c r="AV156" s="542"/>
      <c r="AW156" s="551"/>
      <c r="AX156" s="551"/>
      <c r="AY156" s="9"/>
      <c r="AZ156" s="48"/>
      <c r="BA156" s="360"/>
      <c r="BB156" s="360"/>
      <c r="BC156" s="360"/>
      <c r="BD156" s="360"/>
      <c r="BE156" s="360"/>
    </row>
    <row r="157" spans="8:57" x14ac:dyDescent="0.25">
      <c r="H157" s="548"/>
      <c r="I157" s="4"/>
      <c r="K157" s="4"/>
      <c r="L157" s="4"/>
      <c r="R157" s="360"/>
      <c r="S157" s="360"/>
      <c r="T157" s="360"/>
      <c r="U157" s="360"/>
      <c r="W157" s="360"/>
      <c r="X157" s="360"/>
      <c r="Y157" s="360"/>
      <c r="Z157" s="360"/>
      <c r="AA157" s="541"/>
      <c r="AB157" s="360"/>
      <c r="AC157" s="360"/>
      <c r="AD157" s="360"/>
      <c r="AE157" s="360"/>
      <c r="AG157" s="360"/>
      <c r="AH157" s="360"/>
      <c r="AI157" s="360"/>
      <c r="AJ157" s="360"/>
      <c r="AK157" s="360"/>
      <c r="AL157" s="360"/>
      <c r="AM157" s="360"/>
      <c r="AN157" s="360"/>
      <c r="AO157" s="360"/>
      <c r="AP157" s="360"/>
      <c r="AQ157" s="360"/>
      <c r="AR157" s="360"/>
      <c r="AS157" s="360"/>
      <c r="AT157" s="360"/>
      <c r="AV157" s="542"/>
      <c r="AW157" s="551"/>
      <c r="AX157" s="551"/>
      <c r="AY157" s="9"/>
      <c r="AZ157" s="48"/>
      <c r="BA157" s="360"/>
      <c r="BB157" s="360"/>
      <c r="BC157" s="360"/>
      <c r="BD157" s="360"/>
      <c r="BE157" s="360"/>
    </row>
    <row r="158" spans="8:57" x14ac:dyDescent="0.25">
      <c r="H158" s="548"/>
      <c r="I158" s="4"/>
      <c r="K158" s="4"/>
      <c r="L158" s="4"/>
      <c r="R158" s="360"/>
      <c r="S158" s="360"/>
      <c r="T158" s="360"/>
      <c r="U158" s="360"/>
      <c r="W158" s="360"/>
      <c r="X158" s="360"/>
      <c r="Y158" s="360"/>
      <c r="Z158" s="360"/>
      <c r="AA158" s="541"/>
      <c r="AB158" s="360"/>
      <c r="AC158" s="360"/>
      <c r="AD158" s="360"/>
      <c r="AE158" s="360"/>
      <c r="AG158" s="360"/>
      <c r="AH158" s="360"/>
      <c r="AI158" s="360"/>
      <c r="AJ158" s="360"/>
      <c r="AK158" s="360"/>
      <c r="AL158" s="360"/>
      <c r="AM158" s="360"/>
      <c r="AN158" s="360"/>
      <c r="AO158" s="360"/>
      <c r="AP158" s="360"/>
      <c r="AQ158" s="360"/>
      <c r="AR158" s="360"/>
      <c r="AS158" s="360"/>
      <c r="AT158" s="360"/>
      <c r="AV158" s="542"/>
      <c r="AW158" s="551"/>
      <c r="AX158" s="551"/>
      <c r="AY158" s="9"/>
      <c r="AZ158" s="48"/>
      <c r="BA158" s="360"/>
      <c r="BB158" s="360"/>
      <c r="BC158" s="360"/>
      <c r="BD158" s="360"/>
      <c r="BE158" s="360"/>
    </row>
    <row r="159" spans="8:57" x14ac:dyDescent="0.25">
      <c r="H159" s="548"/>
      <c r="I159" s="4"/>
      <c r="K159" s="4"/>
      <c r="L159" s="4"/>
      <c r="R159" s="360"/>
      <c r="S159" s="360"/>
      <c r="T159" s="360"/>
      <c r="U159" s="360"/>
      <c r="W159" s="360"/>
      <c r="X159" s="360"/>
      <c r="Y159" s="360"/>
      <c r="Z159" s="360"/>
      <c r="AA159" s="541"/>
      <c r="AB159" s="360"/>
      <c r="AC159" s="360"/>
      <c r="AD159" s="360"/>
      <c r="AE159" s="360"/>
      <c r="AG159" s="360"/>
      <c r="AH159" s="360"/>
      <c r="AI159" s="360"/>
      <c r="AJ159" s="360"/>
      <c r="AK159" s="360"/>
      <c r="AL159" s="360"/>
      <c r="AM159" s="360"/>
      <c r="AN159" s="360"/>
      <c r="AO159" s="360"/>
      <c r="AP159" s="360"/>
      <c r="AQ159" s="360"/>
      <c r="AR159" s="360"/>
      <c r="AS159" s="360"/>
      <c r="AT159" s="360"/>
      <c r="AV159" s="542"/>
      <c r="AW159" s="551"/>
      <c r="AX159" s="551"/>
      <c r="AY159" s="9"/>
      <c r="AZ159" s="48"/>
      <c r="BA159" s="360"/>
      <c r="BB159" s="360"/>
      <c r="BC159" s="360"/>
      <c r="BD159" s="360"/>
      <c r="BE159" s="360"/>
    </row>
    <row r="160" spans="8:57" x14ac:dyDescent="0.25">
      <c r="H160" s="548"/>
      <c r="I160" s="4"/>
      <c r="K160" s="4"/>
      <c r="L160" s="4"/>
      <c r="R160" s="360"/>
      <c r="S160" s="360"/>
      <c r="T160" s="360"/>
      <c r="U160" s="360"/>
      <c r="W160" s="360"/>
      <c r="X160" s="360"/>
      <c r="Y160" s="360"/>
      <c r="Z160" s="360"/>
      <c r="AA160" s="541"/>
      <c r="AB160" s="360"/>
      <c r="AC160" s="360"/>
      <c r="AD160" s="360"/>
      <c r="AE160" s="360"/>
      <c r="AG160" s="360"/>
      <c r="AH160" s="360"/>
      <c r="AI160" s="360"/>
      <c r="AJ160" s="360"/>
      <c r="AK160" s="360"/>
      <c r="AL160" s="360"/>
      <c r="AM160" s="360"/>
      <c r="AN160" s="360"/>
      <c r="AO160" s="360"/>
      <c r="AP160" s="360"/>
      <c r="AQ160" s="360"/>
      <c r="AR160" s="360"/>
      <c r="AS160" s="360"/>
      <c r="AT160" s="360"/>
      <c r="AV160" s="542"/>
      <c r="AW160" s="551"/>
      <c r="AX160" s="551"/>
      <c r="AY160" s="9"/>
      <c r="AZ160" s="48"/>
      <c r="BA160" s="360"/>
      <c r="BB160" s="360"/>
      <c r="BC160" s="360"/>
      <c r="BD160" s="360"/>
      <c r="BE160" s="360"/>
    </row>
    <row r="161" spans="8:57" x14ac:dyDescent="0.25">
      <c r="H161" s="548"/>
      <c r="I161" s="4"/>
      <c r="K161" s="4"/>
      <c r="L161" s="4"/>
      <c r="R161" s="360"/>
      <c r="S161" s="360"/>
      <c r="T161" s="360"/>
      <c r="U161" s="360"/>
      <c r="W161" s="360"/>
      <c r="X161" s="360"/>
      <c r="Y161" s="360"/>
      <c r="Z161" s="360"/>
      <c r="AA161" s="541"/>
      <c r="AB161" s="360"/>
      <c r="AC161" s="360"/>
      <c r="AD161" s="360"/>
      <c r="AE161" s="360"/>
      <c r="AG161" s="360"/>
      <c r="AH161" s="360"/>
      <c r="AI161" s="360"/>
      <c r="AJ161" s="360"/>
      <c r="AK161" s="360"/>
      <c r="AL161" s="360"/>
      <c r="AM161" s="360"/>
      <c r="AN161" s="360"/>
      <c r="AO161" s="360"/>
      <c r="AP161" s="360"/>
      <c r="AQ161" s="360"/>
      <c r="AR161" s="360"/>
      <c r="AS161" s="360"/>
      <c r="AT161" s="360"/>
      <c r="AV161" s="542"/>
      <c r="AW161" s="551"/>
      <c r="AX161" s="551"/>
      <c r="AY161" s="9"/>
      <c r="AZ161" s="48"/>
      <c r="BA161" s="360"/>
      <c r="BB161" s="360"/>
      <c r="BC161" s="360"/>
      <c r="BD161" s="360"/>
      <c r="BE161" s="360"/>
    </row>
    <row r="162" spans="8:57" x14ac:dyDescent="0.25">
      <c r="H162" s="548"/>
      <c r="I162" s="4"/>
      <c r="K162" s="4"/>
      <c r="L162" s="4"/>
      <c r="R162" s="360"/>
      <c r="S162" s="360"/>
      <c r="T162" s="360"/>
      <c r="U162" s="360"/>
      <c r="W162" s="360"/>
      <c r="X162" s="360"/>
      <c r="Y162" s="360"/>
      <c r="Z162" s="360"/>
      <c r="AA162" s="541"/>
      <c r="AB162" s="360"/>
      <c r="AC162" s="360"/>
      <c r="AD162" s="360"/>
      <c r="AE162" s="360"/>
      <c r="AG162" s="360"/>
      <c r="AH162" s="360"/>
      <c r="AI162" s="360"/>
      <c r="AJ162" s="360"/>
      <c r="AK162" s="360"/>
      <c r="AL162" s="360"/>
      <c r="AM162" s="360"/>
      <c r="AN162" s="360"/>
      <c r="AO162" s="360"/>
      <c r="AP162" s="360"/>
      <c r="AQ162" s="360"/>
      <c r="AR162" s="360"/>
      <c r="AS162" s="360"/>
      <c r="AT162" s="360"/>
      <c r="AV162" s="542"/>
      <c r="AW162" s="551"/>
      <c r="AX162" s="551"/>
      <c r="AY162" s="9"/>
      <c r="AZ162" s="48"/>
      <c r="BA162" s="360"/>
      <c r="BB162" s="360"/>
      <c r="BC162" s="360"/>
      <c r="BD162" s="360"/>
      <c r="BE162" s="360"/>
    </row>
    <row r="163" spans="8:57" x14ac:dyDescent="0.25">
      <c r="H163" s="548"/>
      <c r="I163" s="4"/>
      <c r="K163" s="4"/>
      <c r="L163" s="4"/>
      <c r="R163" s="360"/>
      <c r="S163" s="360"/>
      <c r="T163" s="360"/>
      <c r="U163" s="360"/>
      <c r="W163" s="360"/>
      <c r="X163" s="360"/>
      <c r="Y163" s="360"/>
      <c r="Z163" s="360"/>
      <c r="AA163" s="541"/>
      <c r="AB163" s="360"/>
      <c r="AC163" s="360"/>
      <c r="AD163" s="360"/>
      <c r="AE163" s="360"/>
      <c r="AG163" s="360"/>
      <c r="AH163" s="360"/>
      <c r="AI163" s="360"/>
      <c r="AJ163" s="360"/>
      <c r="AK163" s="360"/>
      <c r="AL163" s="360"/>
      <c r="AM163" s="360"/>
      <c r="AN163" s="360"/>
      <c r="AO163" s="360"/>
      <c r="AP163" s="360"/>
      <c r="AQ163" s="360"/>
      <c r="AR163" s="360"/>
      <c r="AS163" s="360"/>
      <c r="AT163" s="360"/>
      <c r="AV163" s="542"/>
      <c r="AW163" s="551"/>
      <c r="AX163" s="551"/>
      <c r="AY163" s="9"/>
      <c r="AZ163" s="48"/>
      <c r="BA163" s="360"/>
      <c r="BB163" s="360"/>
      <c r="BC163" s="360"/>
      <c r="BD163" s="360"/>
      <c r="BE163" s="360"/>
    </row>
    <row r="164" spans="8:57" x14ac:dyDescent="0.25">
      <c r="H164" s="548"/>
      <c r="I164" s="4"/>
      <c r="K164" s="4"/>
      <c r="L164" s="4"/>
      <c r="R164" s="360"/>
      <c r="S164" s="360"/>
      <c r="T164" s="360"/>
      <c r="U164" s="360"/>
      <c r="W164" s="360"/>
      <c r="X164" s="360"/>
      <c r="Y164" s="360"/>
      <c r="Z164" s="360"/>
      <c r="AA164" s="541"/>
      <c r="AB164" s="360"/>
      <c r="AC164" s="360"/>
      <c r="AD164" s="360"/>
      <c r="AE164" s="360"/>
      <c r="AG164" s="360"/>
      <c r="AH164" s="360"/>
      <c r="AI164" s="360"/>
      <c r="AJ164" s="360"/>
      <c r="AK164" s="360"/>
      <c r="AL164" s="360"/>
      <c r="AM164" s="360"/>
      <c r="AN164" s="360"/>
      <c r="AO164" s="360"/>
      <c r="AP164" s="360"/>
      <c r="AQ164" s="360"/>
      <c r="AR164" s="360"/>
      <c r="AS164" s="360"/>
      <c r="AT164" s="360"/>
      <c r="AV164" s="542"/>
      <c r="AW164" s="551"/>
      <c r="AX164" s="551"/>
      <c r="AY164" s="9"/>
      <c r="AZ164" s="48"/>
      <c r="BA164" s="360"/>
      <c r="BB164" s="360"/>
      <c r="BC164" s="360"/>
      <c r="BD164" s="360"/>
      <c r="BE164" s="360"/>
    </row>
    <row r="165" spans="8:57" x14ac:dyDescent="0.25">
      <c r="H165" s="548"/>
      <c r="I165" s="4"/>
      <c r="K165" s="4"/>
      <c r="L165" s="4"/>
      <c r="R165" s="360"/>
      <c r="S165" s="360"/>
      <c r="T165" s="360"/>
      <c r="U165" s="360"/>
      <c r="W165" s="360"/>
      <c r="X165" s="360"/>
      <c r="Y165" s="360"/>
      <c r="Z165" s="360"/>
      <c r="AA165" s="541"/>
      <c r="AB165" s="360"/>
      <c r="AC165" s="360"/>
      <c r="AD165" s="360"/>
      <c r="AE165" s="360"/>
      <c r="AG165" s="360"/>
      <c r="AH165" s="360"/>
      <c r="AI165" s="360"/>
      <c r="AJ165" s="360"/>
      <c r="AK165" s="360"/>
      <c r="AL165" s="360"/>
      <c r="AM165" s="360"/>
      <c r="AN165" s="360"/>
      <c r="AO165" s="360"/>
      <c r="AP165" s="360"/>
      <c r="AQ165" s="360"/>
      <c r="AR165" s="360"/>
      <c r="AS165" s="360"/>
      <c r="AT165" s="360"/>
      <c r="AV165" s="542"/>
      <c r="AW165" s="551"/>
      <c r="AX165" s="551"/>
      <c r="AY165" s="9"/>
      <c r="AZ165" s="48"/>
      <c r="BA165" s="360"/>
      <c r="BB165" s="360"/>
      <c r="BC165" s="360"/>
      <c r="BD165" s="360"/>
      <c r="BE165" s="360"/>
    </row>
    <row r="166" spans="8:57" x14ac:dyDescent="0.25">
      <c r="H166" s="548"/>
      <c r="I166" s="4"/>
      <c r="K166" s="4"/>
      <c r="L166" s="4"/>
      <c r="R166" s="360"/>
      <c r="S166" s="360"/>
      <c r="T166" s="360"/>
      <c r="U166" s="360"/>
      <c r="W166" s="360"/>
      <c r="X166" s="360"/>
      <c r="Y166" s="360"/>
      <c r="Z166" s="360"/>
      <c r="AA166" s="541"/>
      <c r="AB166" s="360"/>
      <c r="AC166" s="360"/>
      <c r="AD166" s="360"/>
      <c r="AE166" s="360"/>
      <c r="AG166" s="360"/>
      <c r="AH166" s="360"/>
      <c r="AI166" s="360"/>
      <c r="AJ166" s="360"/>
      <c r="AK166" s="360"/>
      <c r="AL166" s="360"/>
      <c r="AM166" s="360"/>
      <c r="AN166" s="360"/>
      <c r="AO166" s="360"/>
      <c r="AP166" s="360"/>
      <c r="AQ166" s="360"/>
      <c r="AR166" s="360"/>
      <c r="AS166" s="360"/>
      <c r="AT166" s="360"/>
      <c r="AV166" s="542"/>
      <c r="AW166" s="551"/>
      <c r="AX166" s="551"/>
      <c r="AY166" s="9"/>
      <c r="AZ166" s="48"/>
      <c r="BA166" s="360"/>
      <c r="BB166" s="360"/>
      <c r="BC166" s="360"/>
      <c r="BD166" s="360"/>
      <c r="BE166" s="360"/>
    </row>
    <row r="167" spans="8:57" x14ac:dyDescent="0.25">
      <c r="H167" s="548"/>
      <c r="I167" s="4"/>
      <c r="K167" s="4"/>
      <c r="L167" s="4"/>
      <c r="R167" s="360"/>
      <c r="S167" s="360"/>
      <c r="T167" s="360"/>
      <c r="U167" s="360"/>
      <c r="W167" s="360"/>
      <c r="X167" s="360"/>
      <c r="Y167" s="360"/>
      <c r="Z167" s="360"/>
      <c r="AA167" s="541"/>
      <c r="AB167" s="360"/>
      <c r="AC167" s="360"/>
      <c r="AD167" s="360"/>
      <c r="AE167" s="360"/>
      <c r="AG167" s="360"/>
      <c r="AH167" s="360"/>
      <c r="AI167" s="360"/>
      <c r="AJ167" s="360"/>
      <c r="AK167" s="360"/>
      <c r="AL167" s="360"/>
      <c r="AM167" s="360"/>
      <c r="AN167" s="360"/>
      <c r="AO167" s="360"/>
      <c r="AP167" s="360"/>
      <c r="AQ167" s="360"/>
      <c r="AR167" s="360"/>
      <c r="AS167" s="360"/>
      <c r="AT167" s="360"/>
      <c r="AV167" s="542"/>
      <c r="AW167" s="551"/>
      <c r="AX167" s="551"/>
      <c r="AY167" s="9"/>
      <c r="AZ167" s="48"/>
      <c r="BA167" s="360"/>
      <c r="BB167" s="360"/>
      <c r="BC167" s="360"/>
      <c r="BD167" s="360"/>
      <c r="BE167" s="360"/>
    </row>
    <row r="168" spans="8:57" x14ac:dyDescent="0.25">
      <c r="H168" s="548"/>
      <c r="I168" s="4"/>
      <c r="K168" s="4"/>
      <c r="L168" s="4"/>
      <c r="R168" s="360"/>
      <c r="S168" s="360"/>
      <c r="T168" s="360"/>
      <c r="U168" s="360"/>
      <c r="W168" s="360"/>
      <c r="X168" s="360"/>
      <c r="Y168" s="360"/>
      <c r="Z168" s="360"/>
      <c r="AA168" s="541"/>
      <c r="AB168" s="360"/>
      <c r="AC168" s="360"/>
      <c r="AD168" s="360"/>
      <c r="AE168" s="360"/>
      <c r="AG168" s="360"/>
      <c r="AH168" s="360"/>
      <c r="AI168" s="360"/>
      <c r="AJ168" s="360"/>
      <c r="AK168" s="360"/>
      <c r="AL168" s="360"/>
      <c r="AM168" s="360"/>
      <c r="AN168" s="360"/>
      <c r="AO168" s="360"/>
      <c r="AP168" s="360"/>
      <c r="AQ168" s="360"/>
      <c r="AR168" s="360"/>
      <c r="AS168" s="360"/>
      <c r="AT168" s="360"/>
      <c r="AV168" s="542"/>
      <c r="AW168" s="551"/>
      <c r="AX168" s="551"/>
      <c r="AY168" s="9"/>
      <c r="AZ168" s="48"/>
      <c r="BA168" s="360"/>
      <c r="BB168" s="360"/>
      <c r="BC168" s="360"/>
      <c r="BD168" s="360"/>
      <c r="BE168" s="360"/>
    </row>
    <row r="169" spans="8:57" x14ac:dyDescent="0.25">
      <c r="H169" s="548"/>
      <c r="I169" s="4"/>
      <c r="K169" s="4"/>
      <c r="L169" s="4"/>
      <c r="R169" s="360"/>
      <c r="S169" s="360"/>
      <c r="T169" s="360"/>
      <c r="U169" s="360"/>
      <c r="W169" s="360"/>
      <c r="X169" s="360"/>
      <c r="Y169" s="360"/>
      <c r="Z169" s="360"/>
      <c r="AA169" s="541"/>
      <c r="AB169" s="360"/>
      <c r="AC169" s="360"/>
      <c r="AD169" s="360"/>
      <c r="AE169" s="360"/>
      <c r="AG169" s="360"/>
      <c r="AH169" s="360"/>
      <c r="AI169" s="360"/>
      <c r="AJ169" s="360"/>
      <c r="AK169" s="360"/>
      <c r="AL169" s="360"/>
      <c r="AM169" s="360"/>
      <c r="AN169" s="360"/>
      <c r="AO169" s="360"/>
      <c r="AP169" s="360"/>
      <c r="AQ169" s="360"/>
      <c r="AR169" s="360"/>
      <c r="AS169" s="360"/>
      <c r="AT169" s="360"/>
      <c r="AV169" s="542"/>
      <c r="AW169" s="551"/>
      <c r="AX169" s="551"/>
      <c r="AY169" s="9"/>
      <c r="AZ169" s="48"/>
      <c r="BA169" s="360"/>
      <c r="BB169" s="360"/>
      <c r="BC169" s="360"/>
      <c r="BD169" s="360"/>
      <c r="BE169" s="360"/>
    </row>
    <row r="170" spans="8:57" x14ac:dyDescent="0.25">
      <c r="H170" s="548"/>
      <c r="I170" s="4"/>
      <c r="K170" s="4"/>
      <c r="L170" s="4"/>
      <c r="R170" s="360"/>
      <c r="S170" s="360"/>
      <c r="T170" s="360"/>
      <c r="U170" s="360"/>
      <c r="W170" s="360"/>
      <c r="X170" s="360"/>
      <c r="Y170" s="360"/>
      <c r="Z170" s="360"/>
      <c r="AA170" s="541"/>
      <c r="AB170" s="360"/>
      <c r="AC170" s="360"/>
      <c r="AD170" s="360"/>
      <c r="AE170" s="360"/>
      <c r="AG170" s="360"/>
      <c r="AH170" s="360"/>
      <c r="AI170" s="360"/>
      <c r="AJ170" s="360"/>
      <c r="AK170" s="360"/>
      <c r="AL170" s="360"/>
      <c r="AM170" s="360"/>
      <c r="AN170" s="360"/>
      <c r="AO170" s="360"/>
      <c r="AP170" s="360"/>
      <c r="AQ170" s="360"/>
      <c r="AR170" s="360"/>
      <c r="AS170" s="360"/>
      <c r="AT170" s="360"/>
      <c r="AV170" s="542"/>
      <c r="AW170" s="551"/>
      <c r="AX170" s="551"/>
      <c r="AY170" s="9"/>
      <c r="AZ170" s="48"/>
      <c r="BA170" s="360"/>
      <c r="BB170" s="360"/>
      <c r="BC170" s="360"/>
      <c r="BD170" s="360"/>
      <c r="BE170" s="360"/>
    </row>
    <row r="171" spans="8:57" x14ac:dyDescent="0.25">
      <c r="H171" s="548"/>
      <c r="I171" s="4"/>
      <c r="K171" s="4"/>
      <c r="L171" s="4"/>
      <c r="R171" s="360"/>
      <c r="S171" s="360"/>
      <c r="T171" s="360"/>
      <c r="U171" s="360"/>
      <c r="W171" s="360"/>
      <c r="X171" s="360"/>
      <c r="Y171" s="360"/>
      <c r="Z171" s="360"/>
      <c r="AA171" s="541"/>
      <c r="AB171" s="360"/>
      <c r="AC171" s="360"/>
      <c r="AD171" s="360"/>
      <c r="AE171" s="360"/>
      <c r="AG171" s="360"/>
      <c r="AH171" s="360"/>
      <c r="AI171" s="360"/>
      <c r="AJ171" s="360"/>
      <c r="AK171" s="360"/>
      <c r="AL171" s="360"/>
      <c r="AM171" s="360"/>
      <c r="AN171" s="360"/>
      <c r="AO171" s="360"/>
      <c r="AP171" s="360"/>
      <c r="AQ171" s="360"/>
      <c r="AR171" s="360"/>
      <c r="AS171" s="360"/>
      <c r="AT171" s="360"/>
      <c r="AV171" s="542"/>
      <c r="AW171" s="551"/>
      <c r="AX171" s="551"/>
      <c r="AY171" s="9"/>
      <c r="AZ171" s="48"/>
      <c r="BA171" s="360"/>
      <c r="BB171" s="360"/>
      <c r="BC171" s="360"/>
      <c r="BD171" s="360"/>
      <c r="BE171" s="360"/>
    </row>
    <row r="172" spans="8:57" x14ac:dyDescent="0.25">
      <c r="H172" s="548"/>
      <c r="I172" s="4"/>
      <c r="K172" s="4"/>
      <c r="L172" s="4"/>
      <c r="R172" s="360"/>
      <c r="S172" s="360"/>
      <c r="T172" s="360"/>
      <c r="U172" s="360"/>
      <c r="W172" s="360"/>
      <c r="X172" s="360"/>
      <c r="Y172" s="360"/>
      <c r="Z172" s="360"/>
      <c r="AA172" s="541"/>
      <c r="AB172" s="360"/>
      <c r="AC172" s="360"/>
      <c r="AD172" s="360"/>
      <c r="AE172" s="360"/>
      <c r="AG172" s="360"/>
      <c r="AH172" s="360"/>
      <c r="AI172" s="360"/>
      <c r="AJ172" s="360"/>
      <c r="AK172" s="360"/>
      <c r="AL172" s="360"/>
      <c r="AM172" s="360"/>
      <c r="AN172" s="360"/>
      <c r="AO172" s="360"/>
      <c r="AP172" s="360"/>
      <c r="AQ172" s="360"/>
      <c r="AR172" s="360"/>
      <c r="AS172" s="360"/>
      <c r="AT172" s="360"/>
      <c r="AV172" s="542"/>
      <c r="AW172" s="551"/>
      <c r="AX172" s="551"/>
      <c r="AY172" s="9"/>
      <c r="AZ172" s="48"/>
      <c r="BA172" s="360"/>
      <c r="BB172" s="360"/>
      <c r="BC172" s="360"/>
      <c r="BD172" s="360"/>
      <c r="BE172" s="360"/>
    </row>
    <row r="173" spans="8:57" x14ac:dyDescent="0.25">
      <c r="H173" s="548"/>
      <c r="I173" s="4"/>
      <c r="K173" s="4"/>
      <c r="L173" s="4"/>
      <c r="R173" s="360"/>
      <c r="S173" s="360"/>
      <c r="T173" s="360"/>
      <c r="U173" s="360"/>
      <c r="W173" s="360"/>
      <c r="X173" s="360"/>
      <c r="Y173" s="360"/>
      <c r="Z173" s="360"/>
      <c r="AA173" s="541"/>
      <c r="AB173" s="360"/>
      <c r="AC173" s="360"/>
      <c r="AD173" s="360"/>
      <c r="AE173" s="360"/>
      <c r="AG173" s="360"/>
      <c r="AH173" s="360"/>
      <c r="AI173" s="360"/>
      <c r="AJ173" s="360"/>
      <c r="AK173" s="360"/>
      <c r="AL173" s="360"/>
      <c r="AM173" s="360"/>
      <c r="AN173" s="360"/>
      <c r="AO173" s="360"/>
      <c r="AP173" s="360"/>
      <c r="AQ173" s="360"/>
      <c r="AR173" s="360"/>
      <c r="AS173" s="360"/>
      <c r="AT173" s="360"/>
      <c r="AV173" s="542"/>
      <c r="AW173" s="551"/>
      <c r="AX173" s="551"/>
      <c r="AY173" s="9"/>
      <c r="AZ173" s="48"/>
      <c r="BA173" s="360"/>
      <c r="BB173" s="360"/>
      <c r="BC173" s="360"/>
      <c r="BD173" s="360"/>
      <c r="BE173" s="360"/>
    </row>
    <row r="174" spans="8:57" x14ac:dyDescent="0.25">
      <c r="H174" s="548"/>
      <c r="I174" s="4"/>
      <c r="K174" s="4"/>
      <c r="L174" s="4"/>
      <c r="R174" s="360"/>
      <c r="S174" s="360"/>
      <c r="T174" s="360"/>
      <c r="U174" s="360"/>
      <c r="W174" s="360"/>
      <c r="X174" s="360"/>
      <c r="Y174" s="360"/>
      <c r="Z174" s="360"/>
      <c r="AA174" s="541"/>
      <c r="AB174" s="360"/>
      <c r="AC174" s="360"/>
      <c r="AD174" s="360"/>
      <c r="AE174" s="360"/>
      <c r="AG174" s="360"/>
      <c r="AH174" s="360"/>
      <c r="AI174" s="360"/>
      <c r="AJ174" s="360"/>
      <c r="AK174" s="360"/>
      <c r="AL174" s="360"/>
      <c r="AM174" s="360"/>
      <c r="AN174" s="360"/>
      <c r="AO174" s="360"/>
      <c r="AP174" s="360"/>
      <c r="AQ174" s="360"/>
      <c r="AR174" s="360"/>
      <c r="AS174" s="360"/>
      <c r="AT174" s="360"/>
      <c r="AV174" s="542"/>
      <c r="AW174" s="551"/>
      <c r="AX174" s="551"/>
      <c r="AY174" s="9"/>
      <c r="AZ174" s="48"/>
      <c r="BA174" s="360"/>
      <c r="BB174" s="360"/>
      <c r="BC174" s="360"/>
      <c r="BD174" s="360"/>
      <c r="BE174" s="360"/>
    </row>
    <row r="175" spans="8:57" x14ac:dyDescent="0.25">
      <c r="H175" s="548"/>
      <c r="I175" s="4"/>
      <c r="K175" s="4"/>
      <c r="L175" s="4"/>
      <c r="R175" s="360"/>
      <c r="S175" s="360"/>
      <c r="T175" s="360"/>
      <c r="U175" s="360"/>
      <c r="W175" s="360"/>
      <c r="X175" s="360"/>
      <c r="Y175" s="360"/>
      <c r="Z175" s="360"/>
      <c r="AA175" s="541"/>
      <c r="AB175" s="360"/>
      <c r="AC175" s="360"/>
      <c r="AD175" s="360"/>
      <c r="AE175" s="360"/>
      <c r="AG175" s="360"/>
      <c r="AH175" s="360"/>
      <c r="AI175" s="360"/>
      <c r="AJ175" s="360"/>
      <c r="AK175" s="360"/>
      <c r="AL175" s="360"/>
      <c r="AM175" s="360"/>
      <c r="AN175" s="360"/>
      <c r="AO175" s="360"/>
      <c r="AP175" s="360"/>
      <c r="AQ175" s="360"/>
      <c r="AR175" s="360"/>
      <c r="AS175" s="360"/>
      <c r="AT175" s="360"/>
      <c r="AV175" s="542"/>
      <c r="AW175" s="551"/>
      <c r="AX175" s="551"/>
      <c r="AY175" s="9"/>
      <c r="AZ175" s="48"/>
      <c r="BA175" s="360"/>
      <c r="BB175" s="360"/>
      <c r="BC175" s="360"/>
      <c r="BD175" s="360"/>
      <c r="BE175" s="360"/>
    </row>
    <row r="176" spans="8:57" x14ac:dyDescent="0.25">
      <c r="H176" s="548"/>
      <c r="I176" s="4"/>
      <c r="K176" s="4"/>
      <c r="L176" s="4"/>
      <c r="R176" s="360"/>
      <c r="S176" s="360"/>
      <c r="T176" s="360"/>
      <c r="U176" s="360"/>
      <c r="W176" s="360"/>
      <c r="X176" s="360"/>
      <c r="Y176" s="360"/>
      <c r="Z176" s="360"/>
      <c r="AA176" s="541"/>
      <c r="AB176" s="360"/>
      <c r="AC176" s="360"/>
      <c r="AD176" s="360"/>
      <c r="AE176" s="360"/>
      <c r="AG176" s="360"/>
      <c r="AH176" s="360"/>
      <c r="AI176" s="360"/>
      <c r="AJ176" s="360"/>
      <c r="AK176" s="360"/>
      <c r="AL176" s="360"/>
      <c r="AM176" s="360"/>
      <c r="AN176" s="360"/>
      <c r="AO176" s="360"/>
      <c r="AP176" s="360"/>
      <c r="AQ176" s="360"/>
      <c r="AR176" s="360"/>
      <c r="AS176" s="360"/>
      <c r="AT176" s="360"/>
      <c r="AV176" s="542"/>
      <c r="AW176" s="551"/>
      <c r="AX176" s="551"/>
      <c r="AY176" s="9"/>
      <c r="AZ176" s="48"/>
      <c r="BA176" s="360"/>
      <c r="BB176" s="360"/>
      <c r="BC176" s="360"/>
      <c r="BD176" s="360"/>
      <c r="BE176" s="360"/>
    </row>
    <row r="177" spans="8:57" x14ac:dyDescent="0.25">
      <c r="H177" s="548"/>
      <c r="I177" s="4"/>
      <c r="K177" s="4"/>
      <c r="L177" s="4"/>
      <c r="R177" s="360"/>
      <c r="S177" s="360"/>
      <c r="T177" s="360"/>
      <c r="U177" s="360"/>
      <c r="W177" s="360"/>
      <c r="X177" s="360"/>
      <c r="Y177" s="360"/>
      <c r="Z177" s="360"/>
      <c r="AA177" s="541"/>
      <c r="AB177" s="360"/>
      <c r="AC177" s="360"/>
      <c r="AD177" s="360"/>
      <c r="AE177" s="360"/>
      <c r="AG177" s="360"/>
      <c r="AH177" s="360"/>
      <c r="AI177" s="360"/>
      <c r="AJ177" s="360"/>
      <c r="AK177" s="360"/>
      <c r="AL177" s="360"/>
      <c r="AM177" s="360"/>
      <c r="AN177" s="360"/>
      <c r="AO177" s="360"/>
      <c r="AP177" s="360"/>
      <c r="AQ177" s="360"/>
      <c r="AR177" s="360"/>
      <c r="AS177" s="360"/>
      <c r="AT177" s="360"/>
      <c r="AV177" s="542"/>
      <c r="AW177" s="551"/>
      <c r="AX177" s="551"/>
      <c r="AY177" s="9"/>
      <c r="AZ177" s="48"/>
      <c r="BA177" s="360"/>
      <c r="BB177" s="360"/>
      <c r="BC177" s="360"/>
      <c r="BD177" s="360"/>
      <c r="BE177" s="360"/>
    </row>
    <row r="178" spans="8:57" x14ac:dyDescent="0.25">
      <c r="H178" s="548"/>
      <c r="I178" s="4"/>
      <c r="K178" s="4"/>
      <c r="L178" s="4"/>
      <c r="R178" s="360"/>
      <c r="S178" s="360"/>
      <c r="T178" s="360"/>
      <c r="U178" s="360"/>
      <c r="W178" s="360"/>
      <c r="X178" s="360"/>
      <c r="Y178" s="360"/>
      <c r="Z178" s="360"/>
      <c r="AA178" s="541"/>
      <c r="AB178" s="360"/>
      <c r="AC178" s="360"/>
      <c r="AD178" s="360"/>
      <c r="AE178" s="360"/>
      <c r="AG178" s="360"/>
      <c r="AH178" s="360"/>
      <c r="AI178" s="360"/>
      <c r="AJ178" s="360"/>
      <c r="AK178" s="360"/>
      <c r="AL178" s="360"/>
      <c r="AM178" s="360"/>
      <c r="AN178" s="360"/>
      <c r="AO178" s="360"/>
      <c r="AP178" s="360"/>
      <c r="AQ178" s="360"/>
      <c r="AR178" s="360"/>
      <c r="AS178" s="360"/>
      <c r="AT178" s="360"/>
      <c r="AV178" s="542"/>
      <c r="AW178" s="551"/>
      <c r="AX178" s="551"/>
      <c r="AY178" s="9"/>
      <c r="AZ178" s="48"/>
      <c r="BA178" s="360"/>
      <c r="BB178" s="360"/>
      <c r="BC178" s="360"/>
      <c r="BD178" s="360"/>
      <c r="BE178" s="360"/>
    </row>
    <row r="179" spans="8:57" x14ac:dyDescent="0.25">
      <c r="H179" s="548"/>
      <c r="I179" s="4"/>
      <c r="K179" s="4"/>
      <c r="L179" s="4"/>
      <c r="R179" s="360"/>
      <c r="S179" s="360"/>
      <c r="T179" s="360"/>
      <c r="U179" s="360"/>
      <c r="W179" s="360"/>
      <c r="X179" s="360"/>
      <c r="Y179" s="360"/>
      <c r="Z179" s="360"/>
      <c r="AA179" s="541"/>
      <c r="AB179" s="360"/>
      <c r="AC179" s="360"/>
      <c r="AD179" s="360"/>
      <c r="AE179" s="360"/>
      <c r="AG179" s="360"/>
      <c r="AH179" s="360"/>
      <c r="AI179" s="360"/>
      <c r="AJ179" s="360"/>
      <c r="AK179" s="360"/>
      <c r="AL179" s="360"/>
      <c r="AM179" s="360"/>
      <c r="AN179" s="360"/>
      <c r="AO179" s="360"/>
      <c r="AP179" s="360"/>
      <c r="AQ179" s="360"/>
      <c r="AR179" s="360"/>
      <c r="AS179" s="360"/>
      <c r="AT179" s="360"/>
      <c r="AV179" s="542"/>
      <c r="AW179" s="551"/>
      <c r="AX179" s="551"/>
      <c r="AY179" s="9"/>
      <c r="AZ179" s="48"/>
      <c r="BA179" s="360"/>
      <c r="BB179" s="360"/>
      <c r="BC179" s="360"/>
      <c r="BD179" s="360"/>
      <c r="BE179" s="360"/>
    </row>
    <row r="180" spans="8:57" x14ac:dyDescent="0.25">
      <c r="H180" s="548"/>
      <c r="I180" s="4"/>
      <c r="K180" s="4"/>
      <c r="L180" s="4"/>
      <c r="R180" s="360"/>
      <c r="S180" s="360"/>
      <c r="T180" s="360"/>
      <c r="U180" s="360"/>
      <c r="W180" s="360"/>
      <c r="X180" s="360"/>
      <c r="Y180" s="360"/>
      <c r="Z180" s="360"/>
      <c r="AA180" s="541"/>
      <c r="AB180" s="360"/>
      <c r="AC180" s="360"/>
      <c r="AD180" s="360"/>
      <c r="AE180" s="360"/>
      <c r="AG180" s="360"/>
      <c r="AH180" s="360"/>
      <c r="AI180" s="360"/>
      <c r="AJ180" s="360"/>
      <c r="AK180" s="360"/>
      <c r="AL180" s="360"/>
      <c r="AM180" s="360"/>
      <c r="AN180" s="360"/>
      <c r="AO180" s="360"/>
      <c r="AP180" s="360"/>
      <c r="AQ180" s="360"/>
      <c r="AR180" s="360"/>
      <c r="AS180" s="360"/>
      <c r="AT180" s="360"/>
      <c r="AV180" s="542"/>
      <c r="AW180" s="551"/>
      <c r="AX180" s="551"/>
      <c r="AY180" s="9"/>
      <c r="AZ180" s="48"/>
      <c r="BA180" s="360"/>
      <c r="BB180" s="360"/>
      <c r="BC180" s="360"/>
      <c r="BD180" s="360"/>
      <c r="BE180" s="360"/>
    </row>
    <row r="181" spans="8:57" x14ac:dyDescent="0.25">
      <c r="H181" s="548"/>
      <c r="I181" s="4"/>
      <c r="K181" s="4"/>
      <c r="L181" s="4"/>
      <c r="R181" s="360"/>
      <c r="S181" s="360"/>
      <c r="T181" s="360"/>
      <c r="U181" s="360"/>
      <c r="W181" s="360"/>
      <c r="X181" s="360"/>
      <c r="Y181" s="360"/>
      <c r="Z181" s="360"/>
      <c r="AA181" s="541"/>
      <c r="AB181" s="360"/>
      <c r="AC181" s="360"/>
      <c r="AD181" s="360"/>
      <c r="AE181" s="360"/>
      <c r="AG181" s="360"/>
      <c r="AH181" s="360"/>
      <c r="AI181" s="360"/>
      <c r="AJ181" s="360"/>
      <c r="AK181" s="360"/>
      <c r="AL181" s="360"/>
      <c r="AM181" s="360"/>
      <c r="AN181" s="360"/>
      <c r="AO181" s="360"/>
      <c r="AP181" s="360"/>
      <c r="AQ181" s="360"/>
      <c r="AR181" s="360"/>
      <c r="AS181" s="360"/>
      <c r="AT181" s="360"/>
      <c r="AV181" s="542"/>
      <c r="AW181" s="551"/>
      <c r="AX181" s="551"/>
      <c r="AY181" s="9"/>
      <c r="AZ181" s="48"/>
      <c r="BA181" s="360"/>
      <c r="BB181" s="360"/>
      <c r="BC181" s="360"/>
      <c r="BD181" s="360"/>
      <c r="BE181" s="360"/>
    </row>
    <row r="182" spans="8:57" x14ac:dyDescent="0.25">
      <c r="H182" s="548"/>
      <c r="I182" s="4"/>
      <c r="K182" s="4"/>
      <c r="L182" s="4"/>
      <c r="R182" s="360"/>
      <c r="S182" s="360"/>
      <c r="T182" s="360"/>
      <c r="U182" s="360"/>
      <c r="W182" s="360"/>
      <c r="X182" s="360"/>
      <c r="Y182" s="360"/>
      <c r="Z182" s="360"/>
      <c r="AA182" s="541"/>
      <c r="AB182" s="360"/>
      <c r="AC182" s="360"/>
      <c r="AD182" s="360"/>
      <c r="AE182" s="360"/>
      <c r="AG182" s="360"/>
      <c r="AH182" s="360"/>
      <c r="AI182" s="360"/>
      <c r="AJ182" s="360"/>
      <c r="AK182" s="360"/>
      <c r="AL182" s="360"/>
      <c r="AM182" s="360"/>
      <c r="AN182" s="360"/>
      <c r="AO182" s="360"/>
      <c r="AP182" s="360"/>
      <c r="AQ182" s="360"/>
      <c r="AR182" s="360"/>
      <c r="AS182" s="360"/>
      <c r="AT182" s="360"/>
      <c r="AV182" s="542"/>
      <c r="AW182" s="551"/>
      <c r="AX182" s="551"/>
      <c r="AY182" s="9"/>
      <c r="AZ182" s="48"/>
      <c r="BA182" s="360"/>
      <c r="BB182" s="360"/>
      <c r="BC182" s="360"/>
      <c r="BD182" s="360"/>
      <c r="BE182" s="360"/>
    </row>
    <row r="183" spans="8:57" x14ac:dyDescent="0.25">
      <c r="H183" s="548"/>
      <c r="I183" s="4"/>
      <c r="K183" s="4"/>
      <c r="L183" s="4"/>
      <c r="R183" s="360"/>
      <c r="S183" s="360"/>
      <c r="T183" s="360"/>
      <c r="U183" s="360"/>
      <c r="W183" s="360"/>
      <c r="X183" s="360"/>
      <c r="Y183" s="360"/>
      <c r="Z183" s="360"/>
      <c r="AA183" s="541"/>
      <c r="AB183" s="360"/>
      <c r="AC183" s="360"/>
      <c r="AD183" s="360"/>
      <c r="AE183" s="360"/>
      <c r="AG183" s="360"/>
      <c r="AH183" s="360"/>
      <c r="AI183" s="360"/>
      <c r="AJ183" s="360"/>
      <c r="AK183" s="360"/>
      <c r="AL183" s="360"/>
      <c r="AM183" s="360"/>
      <c r="AN183" s="360"/>
      <c r="AO183" s="360"/>
      <c r="AP183" s="360"/>
      <c r="AQ183" s="360"/>
      <c r="AR183" s="360"/>
      <c r="AS183" s="360"/>
      <c r="AT183" s="360"/>
      <c r="AV183" s="542"/>
      <c r="AW183" s="551"/>
      <c r="AX183" s="551"/>
      <c r="AY183" s="9"/>
      <c r="AZ183" s="48"/>
      <c r="BA183" s="360"/>
      <c r="BB183" s="360"/>
      <c r="BC183" s="360"/>
      <c r="BD183" s="360"/>
      <c r="BE183" s="360"/>
    </row>
    <row r="184" spans="8:57" x14ac:dyDescent="0.25">
      <c r="H184" s="548"/>
      <c r="I184" s="4"/>
      <c r="K184" s="4"/>
      <c r="L184" s="4"/>
      <c r="R184" s="360"/>
      <c r="S184" s="360"/>
      <c r="T184" s="360"/>
      <c r="U184" s="360"/>
      <c r="W184" s="360"/>
      <c r="X184" s="360"/>
      <c r="Y184" s="360"/>
      <c r="Z184" s="360"/>
      <c r="AA184" s="541"/>
      <c r="AB184" s="360"/>
      <c r="AC184" s="360"/>
      <c r="AD184" s="360"/>
      <c r="AE184" s="360"/>
      <c r="AG184" s="360"/>
      <c r="AH184" s="360"/>
      <c r="AI184" s="360"/>
      <c r="AJ184" s="360"/>
      <c r="AK184" s="360"/>
      <c r="AL184" s="360"/>
      <c r="AM184" s="360"/>
      <c r="AN184" s="360"/>
      <c r="AO184" s="360"/>
      <c r="AP184" s="360"/>
      <c r="AQ184" s="360"/>
      <c r="AR184" s="360"/>
      <c r="AS184" s="360"/>
      <c r="AT184" s="360"/>
      <c r="AV184" s="542"/>
      <c r="AW184" s="551"/>
      <c r="AX184" s="551"/>
      <c r="AY184" s="9"/>
      <c r="AZ184" s="48"/>
      <c r="BA184" s="360"/>
      <c r="BB184" s="360"/>
      <c r="BC184" s="360"/>
      <c r="BD184" s="360"/>
      <c r="BE184" s="360"/>
    </row>
    <row r="185" spans="8:57" x14ac:dyDescent="0.25">
      <c r="H185" s="548"/>
      <c r="I185" s="4"/>
      <c r="K185" s="4"/>
      <c r="L185" s="4"/>
      <c r="R185" s="360"/>
      <c r="S185" s="360"/>
      <c r="T185" s="360"/>
      <c r="U185" s="360"/>
      <c r="W185" s="360"/>
      <c r="X185" s="360"/>
      <c r="Y185" s="360"/>
      <c r="Z185" s="360"/>
      <c r="AA185" s="541"/>
      <c r="AB185" s="360"/>
      <c r="AC185" s="360"/>
      <c r="AD185" s="360"/>
      <c r="AE185" s="360"/>
      <c r="AG185" s="360"/>
      <c r="AH185" s="360"/>
      <c r="AI185" s="360"/>
      <c r="AJ185" s="360"/>
      <c r="AK185" s="360"/>
      <c r="AL185" s="360"/>
      <c r="AM185" s="360"/>
      <c r="AN185" s="360"/>
      <c r="AO185" s="360"/>
      <c r="AP185" s="360"/>
      <c r="AQ185" s="360"/>
      <c r="AR185" s="360"/>
      <c r="AS185" s="360"/>
      <c r="AT185" s="360"/>
      <c r="AV185" s="542"/>
      <c r="AW185" s="551"/>
      <c r="AX185" s="551"/>
      <c r="AY185" s="9"/>
      <c r="AZ185" s="48"/>
      <c r="BA185" s="360"/>
      <c r="BB185" s="360"/>
      <c r="BC185" s="360"/>
      <c r="BD185" s="360"/>
      <c r="BE185" s="360"/>
    </row>
    <row r="186" spans="8:57" x14ac:dyDescent="0.25">
      <c r="H186" s="548"/>
      <c r="I186" s="4"/>
      <c r="K186" s="4"/>
      <c r="L186" s="4"/>
      <c r="R186" s="360"/>
      <c r="S186" s="360"/>
      <c r="T186" s="360"/>
      <c r="U186" s="360"/>
      <c r="W186" s="360"/>
      <c r="X186" s="360"/>
      <c r="Y186" s="360"/>
      <c r="Z186" s="360"/>
      <c r="AA186" s="541"/>
      <c r="AB186" s="360"/>
      <c r="AC186" s="360"/>
      <c r="AD186" s="360"/>
      <c r="AE186" s="360"/>
      <c r="AG186" s="360"/>
      <c r="AH186" s="360"/>
      <c r="AI186" s="360"/>
      <c r="AJ186" s="360"/>
      <c r="AK186" s="360"/>
      <c r="AL186" s="360"/>
      <c r="AM186" s="360"/>
      <c r="AN186" s="360"/>
      <c r="AO186" s="360"/>
      <c r="AP186" s="360"/>
      <c r="AQ186" s="360"/>
      <c r="AR186" s="360"/>
      <c r="AS186" s="360"/>
      <c r="AT186" s="360"/>
      <c r="AV186" s="542"/>
      <c r="AW186" s="551"/>
      <c r="AX186" s="551"/>
      <c r="AY186" s="9"/>
      <c r="AZ186" s="48"/>
      <c r="BA186" s="360"/>
      <c r="BB186" s="360"/>
      <c r="BC186" s="360"/>
      <c r="BD186" s="360"/>
      <c r="BE186" s="360"/>
    </row>
    <row r="187" spans="8:57" x14ac:dyDescent="0.25">
      <c r="H187" s="548"/>
      <c r="I187" s="4"/>
      <c r="K187" s="4"/>
      <c r="L187" s="4"/>
      <c r="R187" s="360"/>
      <c r="S187" s="360"/>
      <c r="T187" s="360"/>
      <c r="U187" s="360"/>
      <c r="W187" s="360"/>
      <c r="X187" s="360"/>
      <c r="Y187" s="360"/>
      <c r="Z187" s="360"/>
      <c r="AA187" s="541"/>
      <c r="AB187" s="360"/>
      <c r="AC187" s="360"/>
      <c r="AD187" s="360"/>
      <c r="AE187" s="360"/>
      <c r="AG187" s="360"/>
      <c r="AH187" s="360"/>
      <c r="AI187" s="360"/>
      <c r="AJ187" s="360"/>
      <c r="AK187" s="360"/>
      <c r="AL187" s="360"/>
      <c r="AM187" s="360"/>
      <c r="AN187" s="360"/>
      <c r="AO187" s="360"/>
      <c r="AP187" s="360"/>
      <c r="AQ187" s="360"/>
      <c r="AR187" s="360"/>
      <c r="AS187" s="360"/>
      <c r="AT187" s="360"/>
      <c r="AV187" s="542"/>
      <c r="AW187" s="551"/>
      <c r="AX187" s="551"/>
      <c r="AY187" s="9"/>
      <c r="AZ187" s="48"/>
      <c r="BA187" s="360"/>
      <c r="BB187" s="360"/>
      <c r="BC187" s="360"/>
      <c r="BD187" s="360"/>
      <c r="BE187" s="360"/>
    </row>
    <row r="188" spans="8:57" x14ac:dyDescent="0.25">
      <c r="H188" s="548"/>
      <c r="I188" s="4"/>
      <c r="K188" s="4"/>
      <c r="L188" s="4"/>
      <c r="R188" s="360"/>
      <c r="S188" s="360"/>
      <c r="T188" s="360"/>
      <c r="U188" s="360"/>
      <c r="W188" s="360"/>
      <c r="X188" s="360"/>
      <c r="Y188" s="360"/>
      <c r="Z188" s="360"/>
      <c r="AA188" s="541"/>
      <c r="AB188" s="360"/>
      <c r="AC188" s="360"/>
      <c r="AD188" s="360"/>
      <c r="AE188" s="360"/>
      <c r="AG188" s="360"/>
      <c r="AH188" s="360"/>
      <c r="AI188" s="360"/>
      <c r="AJ188" s="360"/>
      <c r="AK188" s="360"/>
      <c r="AL188" s="360"/>
      <c r="AM188" s="360"/>
      <c r="AN188" s="360"/>
      <c r="AO188" s="360"/>
      <c r="AP188" s="360"/>
      <c r="AQ188" s="360"/>
      <c r="AR188" s="360"/>
      <c r="AS188" s="360"/>
      <c r="AT188" s="360"/>
      <c r="AV188" s="542"/>
      <c r="AW188" s="551"/>
      <c r="AX188" s="551"/>
      <c r="AY188" s="9"/>
      <c r="AZ188" s="48"/>
      <c r="BA188" s="360"/>
      <c r="BB188" s="360"/>
      <c r="BC188" s="360"/>
      <c r="BD188" s="360"/>
      <c r="BE188" s="360"/>
    </row>
    <row r="189" spans="8:57" x14ac:dyDescent="0.25">
      <c r="H189" s="548"/>
      <c r="I189" s="4"/>
      <c r="K189" s="4"/>
      <c r="L189" s="4"/>
      <c r="R189" s="360"/>
      <c r="S189" s="360"/>
      <c r="T189" s="360"/>
      <c r="U189" s="360"/>
      <c r="W189" s="360"/>
      <c r="X189" s="360"/>
      <c r="Y189" s="360"/>
      <c r="Z189" s="360"/>
      <c r="AA189" s="541"/>
      <c r="AB189" s="360"/>
      <c r="AC189" s="360"/>
      <c r="AD189" s="360"/>
      <c r="AE189" s="360"/>
      <c r="AG189" s="360"/>
      <c r="AH189" s="360"/>
      <c r="AI189" s="360"/>
      <c r="AJ189" s="360"/>
      <c r="AK189" s="360"/>
      <c r="AL189" s="360"/>
      <c r="AM189" s="360"/>
      <c r="AN189" s="360"/>
      <c r="AO189" s="360"/>
      <c r="AP189" s="360"/>
      <c r="AQ189" s="360"/>
      <c r="AR189" s="360"/>
      <c r="AS189" s="360"/>
      <c r="AT189" s="360"/>
      <c r="AV189" s="542"/>
      <c r="AW189" s="551"/>
      <c r="AX189" s="551"/>
      <c r="AY189" s="9"/>
      <c r="AZ189" s="48"/>
      <c r="BA189" s="360"/>
      <c r="BB189" s="360"/>
      <c r="BC189" s="360"/>
      <c r="BD189" s="360"/>
      <c r="BE189" s="360"/>
    </row>
    <row r="190" spans="8:57" x14ac:dyDescent="0.25">
      <c r="H190" s="548"/>
      <c r="I190" s="4"/>
      <c r="K190" s="4"/>
      <c r="L190" s="4"/>
      <c r="R190" s="360"/>
      <c r="S190" s="360"/>
      <c r="T190" s="360"/>
      <c r="U190" s="360"/>
      <c r="W190" s="360"/>
      <c r="X190" s="360"/>
      <c r="Y190" s="360"/>
      <c r="Z190" s="360"/>
      <c r="AA190" s="541"/>
      <c r="AB190" s="360"/>
      <c r="AC190" s="360"/>
      <c r="AD190" s="360"/>
      <c r="AE190" s="360"/>
      <c r="AG190" s="360"/>
      <c r="AH190" s="360"/>
      <c r="AI190" s="360"/>
      <c r="AJ190" s="360"/>
      <c r="AK190" s="360"/>
      <c r="AL190" s="360"/>
      <c r="AM190" s="360"/>
      <c r="AN190" s="360"/>
      <c r="AO190" s="360"/>
      <c r="AP190" s="360"/>
      <c r="AQ190" s="360"/>
      <c r="AR190" s="360"/>
      <c r="AS190" s="360"/>
      <c r="AT190" s="360"/>
      <c r="AV190" s="542"/>
      <c r="AW190" s="551"/>
      <c r="AX190" s="551"/>
      <c r="AY190" s="9"/>
      <c r="AZ190" s="48"/>
      <c r="BA190" s="360"/>
      <c r="BB190" s="360"/>
      <c r="BC190" s="360"/>
      <c r="BD190" s="360"/>
      <c r="BE190" s="360"/>
    </row>
    <row r="191" spans="8:57" x14ac:dyDescent="0.25">
      <c r="H191" s="548"/>
      <c r="I191" s="4"/>
      <c r="K191" s="4"/>
      <c r="L191" s="4"/>
      <c r="R191" s="360"/>
      <c r="S191" s="360"/>
      <c r="T191" s="360"/>
      <c r="U191" s="360"/>
      <c r="W191" s="360"/>
      <c r="X191" s="360"/>
      <c r="Y191" s="360"/>
      <c r="Z191" s="360"/>
      <c r="AA191" s="541"/>
      <c r="AB191" s="360"/>
      <c r="AC191" s="360"/>
      <c r="AD191" s="360"/>
      <c r="AE191" s="360"/>
      <c r="AG191" s="360"/>
      <c r="AH191" s="360"/>
      <c r="AI191" s="360"/>
      <c r="AJ191" s="360"/>
      <c r="AK191" s="360"/>
      <c r="AL191" s="360"/>
      <c r="AM191" s="360"/>
      <c r="AN191" s="360"/>
      <c r="AO191" s="360"/>
      <c r="AP191" s="360"/>
      <c r="AQ191" s="360"/>
      <c r="AR191" s="360"/>
      <c r="AS191" s="360"/>
      <c r="AT191" s="360"/>
      <c r="AV191" s="542"/>
      <c r="AW191" s="551"/>
      <c r="AX191" s="551"/>
      <c r="AY191" s="9"/>
      <c r="AZ191" s="48"/>
      <c r="BA191" s="360"/>
      <c r="BB191" s="360"/>
      <c r="BC191" s="360"/>
      <c r="BD191" s="360"/>
      <c r="BE191" s="360"/>
    </row>
    <row r="192" spans="8:57" x14ac:dyDescent="0.25">
      <c r="H192" s="548"/>
      <c r="I192" s="4"/>
      <c r="K192" s="4"/>
      <c r="L192" s="4"/>
      <c r="R192" s="360"/>
      <c r="S192" s="360"/>
      <c r="T192" s="360"/>
      <c r="U192" s="360"/>
      <c r="W192" s="360"/>
      <c r="X192" s="360"/>
      <c r="Y192" s="360"/>
      <c r="Z192" s="360"/>
      <c r="AA192" s="541"/>
      <c r="AB192" s="360"/>
      <c r="AC192" s="360"/>
      <c r="AD192" s="360"/>
      <c r="AE192" s="360"/>
      <c r="AG192" s="360"/>
      <c r="AH192" s="360"/>
      <c r="AI192" s="360"/>
      <c r="AJ192" s="360"/>
      <c r="AK192" s="360"/>
      <c r="AL192" s="360"/>
      <c r="AM192" s="360"/>
      <c r="AN192" s="360"/>
      <c r="AO192" s="360"/>
      <c r="AP192" s="360"/>
      <c r="AQ192" s="360"/>
      <c r="AR192" s="360"/>
      <c r="AS192" s="360"/>
      <c r="AT192" s="360"/>
      <c r="AV192" s="542"/>
      <c r="AW192" s="551"/>
      <c r="AX192" s="551"/>
      <c r="AY192" s="9"/>
      <c r="AZ192" s="48"/>
      <c r="BA192" s="360"/>
      <c r="BB192" s="360"/>
      <c r="BC192" s="360"/>
      <c r="BD192" s="360"/>
      <c r="BE192" s="360"/>
    </row>
    <row r="193" spans="8:57" x14ac:dyDescent="0.25">
      <c r="H193" s="548"/>
      <c r="I193" s="4"/>
      <c r="K193" s="4"/>
      <c r="L193" s="4"/>
      <c r="R193" s="360"/>
      <c r="S193" s="360"/>
      <c r="T193" s="360"/>
      <c r="U193" s="360"/>
      <c r="W193" s="360"/>
      <c r="X193" s="360"/>
      <c r="Y193" s="360"/>
      <c r="Z193" s="360"/>
      <c r="AA193" s="541"/>
      <c r="AB193" s="360"/>
      <c r="AC193" s="360"/>
      <c r="AD193" s="360"/>
      <c r="AE193" s="360"/>
      <c r="AG193" s="360"/>
      <c r="AH193" s="360"/>
      <c r="AI193" s="360"/>
      <c r="AJ193" s="360"/>
      <c r="AK193" s="360"/>
      <c r="AL193" s="360"/>
      <c r="AM193" s="360"/>
      <c r="AN193" s="360"/>
      <c r="AO193" s="360"/>
      <c r="AP193" s="360"/>
      <c r="AQ193" s="360"/>
      <c r="AR193" s="360"/>
      <c r="AS193" s="360"/>
      <c r="AT193" s="360"/>
      <c r="AV193" s="542"/>
      <c r="AW193" s="551"/>
      <c r="AX193" s="551"/>
      <c r="AY193" s="9"/>
      <c r="AZ193" s="48"/>
      <c r="BA193" s="360"/>
      <c r="BB193" s="360"/>
      <c r="BC193" s="360"/>
      <c r="BD193" s="360"/>
      <c r="BE193" s="360"/>
    </row>
    <row r="194" spans="8:57" x14ac:dyDescent="0.25">
      <c r="H194" s="548"/>
      <c r="I194" s="4"/>
      <c r="K194" s="4"/>
      <c r="L194" s="4"/>
      <c r="R194" s="360"/>
      <c r="S194" s="360"/>
      <c r="T194" s="360"/>
      <c r="U194" s="360"/>
      <c r="W194" s="360"/>
      <c r="X194" s="360"/>
      <c r="Y194" s="360"/>
      <c r="Z194" s="360"/>
      <c r="AA194" s="541"/>
      <c r="AB194" s="360"/>
      <c r="AC194" s="360"/>
      <c r="AD194" s="360"/>
      <c r="AE194" s="360"/>
      <c r="AG194" s="360"/>
      <c r="AH194" s="360"/>
      <c r="AI194" s="360"/>
      <c r="AJ194" s="360"/>
      <c r="AK194" s="360"/>
      <c r="AL194" s="360"/>
      <c r="AM194" s="360"/>
      <c r="AN194" s="360"/>
      <c r="AO194" s="360"/>
      <c r="AP194" s="360"/>
      <c r="AQ194" s="360"/>
      <c r="AR194" s="360"/>
      <c r="AS194" s="360"/>
      <c r="AT194" s="360"/>
      <c r="AV194" s="542"/>
      <c r="AW194" s="551"/>
      <c r="AX194" s="551"/>
      <c r="AY194" s="9"/>
      <c r="AZ194" s="48"/>
      <c r="BA194" s="360"/>
      <c r="BB194" s="360"/>
      <c r="BC194" s="360"/>
      <c r="BD194" s="360"/>
      <c r="BE194" s="360"/>
    </row>
    <row r="195" spans="8:57" x14ac:dyDescent="0.25">
      <c r="H195" s="548"/>
      <c r="I195" s="4"/>
      <c r="K195" s="4"/>
      <c r="L195" s="4"/>
      <c r="R195" s="360"/>
      <c r="S195" s="360"/>
      <c r="T195" s="360"/>
      <c r="U195" s="360"/>
      <c r="W195" s="360"/>
      <c r="X195" s="360"/>
      <c r="Y195" s="360"/>
      <c r="Z195" s="360"/>
      <c r="AA195" s="541"/>
      <c r="AB195" s="360"/>
      <c r="AC195" s="360"/>
      <c r="AD195" s="360"/>
      <c r="AE195" s="360"/>
      <c r="AG195" s="360"/>
      <c r="AH195" s="360"/>
      <c r="AI195" s="360"/>
      <c r="AJ195" s="360"/>
      <c r="AK195" s="360"/>
      <c r="AL195" s="360"/>
      <c r="AM195" s="360"/>
      <c r="AN195" s="360"/>
      <c r="AO195" s="360"/>
      <c r="AP195" s="360"/>
      <c r="AQ195" s="360"/>
      <c r="AR195" s="360"/>
      <c r="AS195" s="360"/>
      <c r="AT195" s="360"/>
      <c r="AV195" s="542"/>
      <c r="AW195" s="551"/>
      <c r="AX195" s="551"/>
      <c r="AY195" s="9"/>
      <c r="AZ195" s="48"/>
      <c r="BA195" s="360"/>
      <c r="BB195" s="360"/>
      <c r="BC195" s="360"/>
      <c r="BD195" s="360"/>
      <c r="BE195" s="360"/>
    </row>
    <row r="196" spans="8:57" x14ac:dyDescent="0.25">
      <c r="H196" s="548"/>
      <c r="I196" s="4"/>
      <c r="K196" s="4"/>
      <c r="L196" s="4"/>
      <c r="R196" s="360"/>
      <c r="S196" s="360"/>
      <c r="T196" s="360"/>
      <c r="U196" s="360"/>
      <c r="W196" s="360"/>
      <c r="X196" s="360"/>
      <c r="Y196" s="360"/>
      <c r="Z196" s="360"/>
      <c r="AA196" s="541"/>
      <c r="AB196" s="360"/>
      <c r="AC196" s="360"/>
      <c r="AD196" s="360"/>
      <c r="AE196" s="360"/>
      <c r="AG196" s="360"/>
      <c r="AH196" s="360"/>
      <c r="AI196" s="360"/>
      <c r="AJ196" s="360"/>
      <c r="AK196" s="360"/>
      <c r="AL196" s="360"/>
      <c r="AM196" s="360"/>
      <c r="AN196" s="360"/>
      <c r="AO196" s="360"/>
      <c r="AP196" s="360"/>
      <c r="AQ196" s="360"/>
      <c r="AR196" s="360"/>
      <c r="AS196" s="360"/>
      <c r="AT196" s="360"/>
      <c r="AV196" s="542"/>
      <c r="AW196" s="551"/>
      <c r="AX196" s="551"/>
      <c r="AY196" s="9"/>
      <c r="AZ196" s="48"/>
      <c r="BA196" s="360"/>
      <c r="BB196" s="360"/>
      <c r="BC196" s="360"/>
      <c r="BD196" s="360"/>
      <c r="BE196" s="360"/>
    </row>
    <row r="197" spans="8:57" x14ac:dyDescent="0.25">
      <c r="H197" s="548"/>
      <c r="I197" s="4"/>
      <c r="K197" s="4"/>
      <c r="L197" s="4"/>
      <c r="R197" s="360"/>
      <c r="S197" s="360"/>
      <c r="T197" s="360"/>
      <c r="U197" s="360"/>
      <c r="W197" s="360"/>
      <c r="X197" s="360"/>
      <c r="Y197" s="360"/>
      <c r="Z197" s="360"/>
      <c r="AA197" s="541"/>
      <c r="AB197" s="360"/>
      <c r="AC197" s="360"/>
      <c r="AD197" s="360"/>
      <c r="AE197" s="360"/>
      <c r="AG197" s="360"/>
      <c r="AH197" s="360"/>
      <c r="AI197" s="360"/>
      <c r="AJ197" s="360"/>
      <c r="AK197" s="360"/>
      <c r="AL197" s="360"/>
      <c r="AM197" s="360"/>
      <c r="AN197" s="360"/>
      <c r="AO197" s="360"/>
      <c r="AP197" s="360"/>
      <c r="AQ197" s="360"/>
      <c r="AR197" s="360"/>
      <c r="AS197" s="360"/>
      <c r="AT197" s="360"/>
      <c r="AV197" s="542"/>
      <c r="AW197" s="551"/>
      <c r="AX197" s="551"/>
      <c r="AY197" s="9"/>
      <c r="AZ197" s="48"/>
      <c r="BA197" s="360"/>
      <c r="BB197" s="360"/>
      <c r="BC197" s="360"/>
      <c r="BD197" s="360"/>
      <c r="BE197" s="360"/>
    </row>
    <row r="198" spans="8:57" x14ac:dyDescent="0.25">
      <c r="H198" s="548"/>
      <c r="I198" s="4"/>
      <c r="K198" s="4"/>
      <c r="L198" s="4"/>
      <c r="R198" s="360"/>
      <c r="S198" s="360"/>
      <c r="T198" s="360"/>
      <c r="U198" s="360"/>
      <c r="W198" s="360"/>
      <c r="X198" s="360"/>
      <c r="Y198" s="360"/>
      <c r="Z198" s="360"/>
      <c r="AA198" s="541"/>
      <c r="AB198" s="360"/>
      <c r="AC198" s="360"/>
      <c r="AD198" s="360"/>
      <c r="AE198" s="360"/>
      <c r="AG198" s="360"/>
      <c r="AH198" s="360"/>
      <c r="AI198" s="360"/>
      <c r="AJ198" s="360"/>
      <c r="AK198" s="360"/>
      <c r="AL198" s="360"/>
      <c r="AM198" s="360"/>
      <c r="AN198" s="360"/>
      <c r="AO198" s="360"/>
      <c r="AP198" s="360"/>
      <c r="AQ198" s="360"/>
      <c r="AR198" s="360"/>
      <c r="AS198" s="360"/>
      <c r="AT198" s="360"/>
      <c r="AV198" s="542"/>
      <c r="AW198" s="551"/>
      <c r="AX198" s="551"/>
      <c r="AY198" s="9"/>
      <c r="AZ198" s="48"/>
      <c r="BA198" s="360"/>
      <c r="BB198" s="360"/>
      <c r="BC198" s="360"/>
      <c r="BD198" s="360"/>
      <c r="BE198" s="360"/>
    </row>
    <row r="199" spans="8:57" x14ac:dyDescent="0.25">
      <c r="H199" s="548"/>
      <c r="I199" s="4"/>
      <c r="K199" s="4"/>
      <c r="L199" s="4"/>
      <c r="R199" s="360"/>
      <c r="S199" s="360"/>
      <c r="T199" s="360"/>
      <c r="U199" s="360"/>
      <c r="W199" s="360"/>
      <c r="X199" s="360"/>
      <c r="Y199" s="360"/>
      <c r="Z199" s="360"/>
      <c r="AA199" s="541"/>
      <c r="AB199" s="360"/>
      <c r="AC199" s="360"/>
      <c r="AD199" s="360"/>
      <c r="AE199" s="360"/>
      <c r="AG199" s="360"/>
      <c r="AH199" s="360"/>
      <c r="AI199" s="360"/>
      <c r="AJ199" s="360"/>
      <c r="AK199" s="360"/>
      <c r="AL199" s="360"/>
      <c r="AM199" s="360"/>
      <c r="AN199" s="360"/>
      <c r="AO199" s="360"/>
      <c r="AP199" s="360"/>
      <c r="AQ199" s="360"/>
      <c r="AR199" s="360"/>
      <c r="AS199" s="360"/>
      <c r="AT199" s="360"/>
      <c r="AV199" s="542"/>
      <c r="AW199" s="551"/>
      <c r="AX199" s="551"/>
      <c r="AY199" s="9"/>
      <c r="AZ199" s="48"/>
      <c r="BA199" s="360"/>
      <c r="BB199" s="360"/>
      <c r="BC199" s="360"/>
      <c r="BD199" s="360"/>
      <c r="BE199" s="360"/>
    </row>
    <row r="200" spans="8:57" x14ac:dyDescent="0.25">
      <c r="H200" s="548"/>
      <c r="I200" s="4"/>
      <c r="K200" s="4"/>
      <c r="L200" s="4"/>
      <c r="R200" s="360"/>
      <c r="S200" s="360"/>
      <c r="T200" s="360"/>
      <c r="U200" s="360"/>
      <c r="W200" s="360"/>
      <c r="X200" s="360"/>
      <c r="Y200" s="360"/>
      <c r="Z200" s="360"/>
      <c r="AA200" s="541"/>
      <c r="AB200" s="360"/>
      <c r="AC200" s="360"/>
      <c r="AD200" s="360"/>
      <c r="AE200" s="360"/>
      <c r="AG200" s="360"/>
      <c r="AH200" s="360"/>
      <c r="AI200" s="360"/>
      <c r="AJ200" s="360"/>
      <c r="AK200" s="360"/>
      <c r="AL200" s="360"/>
      <c r="AM200" s="360"/>
      <c r="AN200" s="360"/>
      <c r="AO200" s="360"/>
      <c r="AP200" s="360"/>
      <c r="AQ200" s="360"/>
      <c r="AR200" s="360"/>
      <c r="AS200" s="360"/>
      <c r="AT200" s="360"/>
      <c r="AV200" s="542"/>
      <c r="AW200" s="551"/>
      <c r="AX200" s="551"/>
      <c r="AY200" s="9"/>
      <c r="AZ200" s="48"/>
      <c r="BA200" s="360"/>
      <c r="BB200" s="360"/>
      <c r="BC200" s="360"/>
      <c r="BD200" s="360"/>
      <c r="BE200" s="360"/>
    </row>
    <row r="201" spans="8:57" x14ac:dyDescent="0.25">
      <c r="H201" s="548"/>
      <c r="I201" s="4"/>
      <c r="K201" s="4"/>
      <c r="L201" s="4"/>
      <c r="R201" s="360"/>
      <c r="S201" s="360"/>
      <c r="T201" s="360"/>
      <c r="U201" s="360"/>
      <c r="W201" s="360"/>
      <c r="X201" s="360"/>
      <c r="Y201" s="360"/>
      <c r="Z201" s="360"/>
      <c r="AA201" s="541"/>
      <c r="AB201" s="360"/>
      <c r="AC201" s="360"/>
      <c r="AD201" s="360"/>
      <c r="AE201" s="360"/>
      <c r="AG201" s="360"/>
      <c r="AH201" s="360"/>
      <c r="AI201" s="360"/>
      <c r="AJ201" s="360"/>
      <c r="AK201" s="360"/>
      <c r="AL201" s="360"/>
      <c r="AM201" s="360"/>
      <c r="AN201" s="360"/>
      <c r="AO201" s="360"/>
      <c r="AP201" s="360"/>
      <c r="AQ201" s="360"/>
      <c r="AR201" s="360"/>
      <c r="AS201" s="360"/>
      <c r="AT201" s="360"/>
      <c r="AV201" s="542"/>
      <c r="AW201" s="551"/>
      <c r="AX201" s="551"/>
      <c r="AY201" s="9"/>
      <c r="AZ201" s="48"/>
      <c r="BA201" s="360"/>
      <c r="BB201" s="360"/>
      <c r="BC201" s="360"/>
      <c r="BD201" s="360"/>
      <c r="BE201" s="360"/>
    </row>
    <row r="202" spans="8:57" x14ac:dyDescent="0.25">
      <c r="H202" s="548"/>
      <c r="I202" s="4"/>
      <c r="K202" s="4"/>
      <c r="L202" s="4"/>
      <c r="R202" s="360"/>
      <c r="S202" s="360"/>
      <c r="T202" s="360"/>
      <c r="U202" s="360"/>
      <c r="W202" s="360"/>
      <c r="X202" s="360"/>
      <c r="Y202" s="360"/>
      <c r="Z202" s="360"/>
      <c r="AA202" s="541"/>
      <c r="AB202" s="360"/>
      <c r="AC202" s="360"/>
      <c r="AD202" s="360"/>
      <c r="AE202" s="360"/>
      <c r="AG202" s="360"/>
      <c r="AH202" s="360"/>
      <c r="AI202" s="360"/>
      <c r="AJ202" s="360"/>
      <c r="AK202" s="360"/>
      <c r="AL202" s="360"/>
      <c r="AM202" s="360"/>
      <c r="AN202" s="360"/>
      <c r="AO202" s="360"/>
      <c r="AP202" s="360"/>
      <c r="AQ202" s="360"/>
      <c r="AR202" s="360"/>
      <c r="AS202" s="360"/>
      <c r="AT202" s="360"/>
      <c r="AV202" s="542"/>
      <c r="AW202" s="551"/>
      <c r="AX202" s="551"/>
      <c r="AY202" s="9"/>
      <c r="AZ202" s="48"/>
      <c r="BA202" s="360"/>
      <c r="BB202" s="360"/>
      <c r="BC202" s="360"/>
      <c r="BD202" s="360"/>
      <c r="BE202" s="360"/>
    </row>
    <row r="203" spans="8:57" x14ac:dyDescent="0.25">
      <c r="H203" s="548"/>
      <c r="I203" s="4"/>
      <c r="K203" s="4"/>
      <c r="L203" s="4"/>
      <c r="R203" s="360"/>
      <c r="S203" s="360"/>
      <c r="T203" s="360"/>
      <c r="U203" s="360"/>
      <c r="W203" s="360"/>
      <c r="X203" s="360"/>
      <c r="Y203" s="360"/>
      <c r="Z203" s="360"/>
      <c r="AA203" s="541"/>
      <c r="AB203" s="360"/>
      <c r="AC203" s="360"/>
      <c r="AD203" s="360"/>
      <c r="AE203" s="360"/>
      <c r="AG203" s="360"/>
      <c r="AH203" s="360"/>
      <c r="AI203" s="360"/>
      <c r="AJ203" s="360"/>
      <c r="AK203" s="360"/>
      <c r="AL203" s="360"/>
      <c r="AM203" s="360"/>
      <c r="AN203" s="360"/>
      <c r="AO203" s="360"/>
      <c r="AP203" s="360"/>
      <c r="AQ203" s="360"/>
      <c r="AR203" s="360"/>
      <c r="AS203" s="360"/>
      <c r="AT203" s="360"/>
      <c r="AV203" s="542"/>
      <c r="AW203" s="551"/>
      <c r="AX203" s="551"/>
      <c r="AY203" s="9"/>
      <c r="AZ203" s="48"/>
      <c r="BA203" s="360"/>
      <c r="BB203" s="360"/>
      <c r="BC203" s="360"/>
      <c r="BD203" s="360"/>
      <c r="BE203" s="360"/>
    </row>
    <row r="204" spans="8:57" x14ac:dyDescent="0.25">
      <c r="H204" s="548"/>
      <c r="I204" s="4"/>
      <c r="K204" s="4"/>
      <c r="L204" s="4"/>
      <c r="R204" s="360"/>
      <c r="S204" s="360"/>
      <c r="T204" s="360"/>
      <c r="U204" s="360"/>
      <c r="W204" s="360"/>
      <c r="X204" s="360"/>
      <c r="Y204" s="360"/>
      <c r="Z204" s="360"/>
      <c r="AA204" s="541"/>
      <c r="AB204" s="360"/>
      <c r="AC204" s="360"/>
      <c r="AD204" s="360"/>
      <c r="AE204" s="360"/>
      <c r="AG204" s="360"/>
      <c r="AH204" s="360"/>
      <c r="AI204" s="360"/>
      <c r="AJ204" s="360"/>
      <c r="AK204" s="360"/>
      <c r="AL204" s="360"/>
      <c r="AM204" s="360"/>
      <c r="AN204" s="360"/>
      <c r="AO204" s="360"/>
      <c r="AP204" s="360"/>
      <c r="AQ204" s="360"/>
      <c r="AR204" s="360"/>
      <c r="AS204" s="360"/>
      <c r="AT204" s="360"/>
      <c r="AV204" s="542"/>
      <c r="AW204" s="551"/>
      <c r="AX204" s="551"/>
      <c r="AY204" s="9"/>
      <c r="AZ204" s="48"/>
      <c r="BA204" s="360"/>
      <c r="BB204" s="360"/>
      <c r="BC204" s="360"/>
      <c r="BD204" s="360"/>
      <c r="BE204" s="360"/>
    </row>
    <row r="205" spans="8:57" x14ac:dyDescent="0.25">
      <c r="H205" s="548"/>
      <c r="I205" s="4"/>
      <c r="K205" s="4"/>
      <c r="L205" s="4"/>
      <c r="R205" s="360"/>
      <c r="S205" s="360"/>
      <c r="T205" s="360"/>
      <c r="U205" s="360"/>
      <c r="W205" s="360"/>
      <c r="X205" s="360"/>
      <c r="Y205" s="360"/>
      <c r="Z205" s="360"/>
      <c r="AA205" s="541"/>
      <c r="AB205" s="360"/>
      <c r="AC205" s="360"/>
      <c r="AD205" s="360"/>
      <c r="AE205" s="360"/>
      <c r="AG205" s="360"/>
      <c r="AH205" s="360"/>
      <c r="AI205" s="360"/>
      <c r="AJ205" s="360"/>
      <c r="AK205" s="360"/>
      <c r="AL205" s="360"/>
      <c r="AM205" s="360"/>
      <c r="AN205" s="360"/>
      <c r="AO205" s="360"/>
      <c r="AP205" s="360"/>
      <c r="AQ205" s="360"/>
      <c r="AR205" s="360"/>
      <c r="AS205" s="360"/>
      <c r="AT205" s="360"/>
      <c r="AV205" s="542"/>
      <c r="AW205" s="551"/>
      <c r="AX205" s="551"/>
      <c r="AY205" s="9"/>
      <c r="AZ205" s="48"/>
      <c r="BA205" s="360"/>
      <c r="BB205" s="360"/>
      <c r="BC205" s="360"/>
      <c r="BD205" s="360"/>
      <c r="BE205" s="360"/>
    </row>
    <row r="206" spans="8:57" x14ac:dyDescent="0.25">
      <c r="H206" s="548"/>
      <c r="I206" s="4"/>
      <c r="K206" s="4"/>
      <c r="L206" s="4"/>
      <c r="R206" s="360"/>
      <c r="S206" s="360"/>
      <c r="T206" s="360"/>
      <c r="U206" s="360"/>
      <c r="W206" s="360"/>
      <c r="X206" s="360"/>
      <c r="Y206" s="360"/>
      <c r="Z206" s="360"/>
      <c r="AA206" s="541"/>
      <c r="AB206" s="360"/>
      <c r="AC206" s="360"/>
      <c r="AD206" s="360"/>
      <c r="AE206" s="360"/>
      <c r="AG206" s="360"/>
      <c r="AH206" s="360"/>
      <c r="AI206" s="360"/>
      <c r="AJ206" s="360"/>
      <c r="AK206" s="360"/>
      <c r="AL206" s="360"/>
      <c r="AM206" s="360"/>
      <c r="AN206" s="360"/>
      <c r="AO206" s="360"/>
      <c r="AP206" s="360"/>
      <c r="AQ206" s="360"/>
      <c r="AR206" s="360"/>
      <c r="AS206" s="360"/>
      <c r="AT206" s="360"/>
      <c r="AV206" s="542"/>
      <c r="AW206" s="551"/>
      <c r="AX206" s="551"/>
      <c r="AY206" s="9"/>
      <c r="AZ206" s="48"/>
      <c r="BA206" s="360"/>
      <c r="BB206" s="360"/>
      <c r="BC206" s="360"/>
      <c r="BD206" s="360"/>
      <c r="BE206" s="360"/>
    </row>
    <row r="207" spans="8:57" x14ac:dyDescent="0.25">
      <c r="H207" s="548"/>
      <c r="I207" s="4"/>
      <c r="K207" s="4"/>
      <c r="L207" s="4"/>
      <c r="R207" s="360"/>
      <c r="S207" s="360"/>
      <c r="T207" s="360"/>
      <c r="U207" s="360"/>
      <c r="W207" s="360"/>
      <c r="X207" s="360"/>
      <c r="Y207" s="360"/>
      <c r="Z207" s="360"/>
      <c r="AA207" s="541"/>
      <c r="AB207" s="360"/>
      <c r="AC207" s="360"/>
      <c r="AD207" s="360"/>
      <c r="AE207" s="360"/>
      <c r="AG207" s="360"/>
      <c r="AH207" s="360"/>
      <c r="AI207" s="360"/>
      <c r="AJ207" s="360"/>
      <c r="AK207" s="360"/>
      <c r="AL207" s="360"/>
      <c r="AM207" s="360"/>
      <c r="AN207" s="360"/>
      <c r="AO207" s="360"/>
      <c r="AP207" s="360"/>
      <c r="AQ207" s="360"/>
      <c r="AR207" s="360"/>
      <c r="AS207" s="360"/>
      <c r="AT207" s="360"/>
      <c r="AV207" s="542"/>
      <c r="AW207" s="551"/>
      <c r="AX207" s="551"/>
      <c r="AY207" s="9"/>
      <c r="AZ207" s="48"/>
      <c r="BA207" s="360"/>
      <c r="BB207" s="360"/>
      <c r="BC207" s="360"/>
      <c r="BD207" s="360"/>
      <c r="BE207" s="360"/>
    </row>
    <row r="208" spans="8:57" x14ac:dyDescent="0.25">
      <c r="H208" s="548"/>
      <c r="I208" s="4"/>
      <c r="K208" s="4"/>
      <c r="L208" s="4"/>
      <c r="R208" s="360"/>
      <c r="S208" s="360"/>
      <c r="T208" s="360"/>
      <c r="U208" s="360"/>
      <c r="W208" s="360"/>
      <c r="X208" s="360"/>
      <c r="Y208" s="360"/>
      <c r="Z208" s="360"/>
      <c r="AA208" s="541"/>
      <c r="AB208" s="360"/>
      <c r="AC208" s="360"/>
      <c r="AD208" s="360"/>
      <c r="AE208" s="360"/>
      <c r="AG208" s="360"/>
      <c r="AH208" s="360"/>
      <c r="AI208" s="360"/>
      <c r="AJ208" s="360"/>
      <c r="AK208" s="360"/>
      <c r="AL208" s="360"/>
      <c r="AM208" s="360"/>
      <c r="AN208" s="360"/>
      <c r="AO208" s="360"/>
      <c r="AP208" s="360"/>
      <c r="AQ208" s="360"/>
      <c r="AR208" s="360"/>
      <c r="AS208" s="360"/>
      <c r="AT208" s="360"/>
      <c r="AV208" s="542"/>
      <c r="AW208" s="551"/>
      <c r="AX208" s="551"/>
      <c r="AY208" s="9"/>
      <c r="AZ208" s="48"/>
      <c r="BA208" s="360"/>
      <c r="BB208" s="360"/>
      <c r="BC208" s="360"/>
      <c r="BD208" s="360"/>
      <c r="BE208" s="360"/>
    </row>
    <row r="209" spans="8:57" x14ac:dyDescent="0.25">
      <c r="H209" s="548"/>
      <c r="I209" s="4"/>
      <c r="K209" s="4"/>
      <c r="L209" s="4"/>
      <c r="R209" s="360"/>
      <c r="S209" s="360"/>
      <c r="T209" s="360"/>
      <c r="U209" s="360"/>
      <c r="W209" s="360"/>
      <c r="X209" s="360"/>
      <c r="Y209" s="360"/>
      <c r="Z209" s="360"/>
      <c r="AA209" s="541"/>
      <c r="AB209" s="360"/>
      <c r="AC209" s="360"/>
      <c r="AD209" s="360"/>
      <c r="AE209" s="360"/>
      <c r="AG209" s="360"/>
      <c r="AH209" s="360"/>
      <c r="AI209" s="360"/>
      <c r="AJ209" s="360"/>
      <c r="AK209" s="360"/>
      <c r="AL209" s="360"/>
      <c r="AM209" s="360"/>
      <c r="AN209" s="360"/>
      <c r="AO209" s="360"/>
      <c r="AP209" s="360"/>
      <c r="AQ209" s="360"/>
      <c r="AR209" s="360"/>
      <c r="AS209" s="360"/>
      <c r="AT209" s="360"/>
      <c r="AV209" s="542"/>
      <c r="AW209" s="551"/>
      <c r="AX209" s="551"/>
      <c r="AY209" s="9"/>
      <c r="AZ209" s="48"/>
      <c r="BA209" s="360"/>
      <c r="BB209" s="360"/>
      <c r="BC209" s="360"/>
      <c r="BD209" s="360"/>
      <c r="BE209" s="360"/>
    </row>
  </sheetData>
  <sheetProtection selectLockedCells="1"/>
  <mergeCells count="11">
    <mergeCell ref="AB7:AG7"/>
    <mergeCell ref="AH7:AK7"/>
    <mergeCell ref="AO7:AS7"/>
    <mergeCell ref="AT7:AX7"/>
    <mergeCell ref="AZ7:BE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2:B7"/>
  <sheetViews>
    <sheetView zoomScaleNormal="100" workbookViewId="0">
      <selection activeCell="F5" sqref="F5"/>
    </sheetView>
  </sheetViews>
  <sheetFormatPr defaultRowHeight="12.5" x14ac:dyDescent="0.25"/>
  <cols>
    <col min="1" max="1" width="10.54296875" customWidth="1"/>
    <col min="2" max="2" width="126" customWidth="1"/>
  </cols>
  <sheetData>
    <row r="2" spans="1:2" x14ac:dyDescent="0.25">
      <c r="A2" t="str">
        <f>IF(PLOT_TYPE=1, "EFF_Ch1", "EFF_Ch2")</f>
        <v>EFF_Ch1</v>
      </c>
    </row>
    <row r="5" spans="1:2" ht="409.5" customHeight="1" x14ac:dyDescent="0.25">
      <c r="B5" s="537"/>
    </row>
    <row r="7" spans="1:2" ht="409.5" customHeight="1" x14ac:dyDescent="0.25">
      <c r="B7" s="53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N10"/>
  <sheetViews>
    <sheetView topLeftCell="A10" zoomScaleNormal="100" workbookViewId="0">
      <selection activeCell="B14" sqref="B14"/>
    </sheetView>
  </sheetViews>
  <sheetFormatPr defaultRowHeight="12.5" x14ac:dyDescent="0.25"/>
  <cols>
    <col min="1" max="1" width="10.54296875" customWidth="1"/>
    <col min="2" max="2" width="129.36328125" customWidth="1"/>
  </cols>
  <sheetData>
    <row r="1" spans="1:14" x14ac:dyDescent="0.25">
      <c r="J1" s="114" t="s">
        <v>621</v>
      </c>
      <c r="N1" s="114" t="s">
        <v>623</v>
      </c>
    </row>
    <row r="2" spans="1:14" x14ac:dyDescent="0.25">
      <c r="A2" t="str">
        <f>CHOOSE(SCH_MODE, "SCH_DUAL", "SCH_SINGLE", "SCH_MULTIPHASE", "SCH_MULTIPHASE")</f>
        <v>SCH_SINGLE</v>
      </c>
      <c r="J2" s="114" t="s">
        <v>622</v>
      </c>
      <c r="N2" s="114" t="s">
        <v>777</v>
      </c>
    </row>
    <row r="3" spans="1:14" x14ac:dyDescent="0.25">
      <c r="J3" s="114" t="s">
        <v>620</v>
      </c>
    </row>
    <row r="4" spans="1:14" x14ac:dyDescent="0.25">
      <c r="J4" s="114" t="s">
        <v>619</v>
      </c>
    </row>
    <row r="5" spans="1:14" ht="409.5" customHeight="1" x14ac:dyDescent="0.25">
      <c r="B5" s="537"/>
    </row>
    <row r="6" spans="1:14" ht="12" customHeight="1" x14ac:dyDescent="0.25">
      <c r="B6" s="537"/>
    </row>
    <row r="7" spans="1:14" ht="34.5" customHeight="1" x14ac:dyDescent="0.25"/>
    <row r="8" spans="1:14" ht="409.5" customHeight="1" x14ac:dyDescent="0.25">
      <c r="B8" s="537"/>
    </row>
    <row r="9" spans="1:14" x14ac:dyDescent="0.25">
      <c r="B9" s="537"/>
    </row>
    <row r="10" spans="1:14" ht="409.5" customHeight="1" x14ac:dyDescent="0.25">
      <c r="B10" s="537"/>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2:P159"/>
  <sheetViews>
    <sheetView workbookViewId="0">
      <selection activeCell="L45" sqref="L44:L45"/>
    </sheetView>
  </sheetViews>
  <sheetFormatPr defaultRowHeight="12.5" x14ac:dyDescent="0.25"/>
  <cols>
    <col min="1" max="1" width="17.36328125" customWidth="1"/>
    <col min="2" max="2" width="12" bestFit="1" customWidth="1"/>
    <col min="3" max="4" width="12.453125" bestFit="1" customWidth="1"/>
    <col min="7" max="9" width="12.453125" bestFit="1" customWidth="1"/>
    <col min="10" max="10" width="11.453125" bestFit="1" customWidth="1"/>
    <col min="13" max="13" width="12.08984375" customWidth="1"/>
    <col min="14" max="14" width="12.453125" bestFit="1" customWidth="1"/>
    <col min="15" max="15" width="15.453125" customWidth="1"/>
  </cols>
  <sheetData>
    <row r="2" spans="1:16" x14ac:dyDescent="0.25">
      <c r="A2" t="s">
        <v>160</v>
      </c>
      <c r="B2" t="s">
        <v>152</v>
      </c>
      <c r="C2" t="s">
        <v>31</v>
      </c>
      <c r="D2" t="s">
        <v>32</v>
      </c>
      <c r="E2" t="s">
        <v>25</v>
      </c>
      <c r="F2" t="s">
        <v>57</v>
      </c>
      <c r="G2" s="114" t="s">
        <v>682</v>
      </c>
      <c r="H2" s="114" t="s">
        <v>323</v>
      </c>
      <c r="I2" s="114" t="s">
        <v>734</v>
      </c>
      <c r="J2" s="114" t="s">
        <v>735</v>
      </c>
    </row>
    <row r="3" spans="1:16" ht="13" x14ac:dyDescent="0.3">
      <c r="A3" t="s">
        <v>163</v>
      </c>
      <c r="B3">
        <f>Css</f>
        <v>1.0000000000000002E-7</v>
      </c>
      <c r="C3">
        <f>Cc1ea</f>
        <v>5.8305840295131847E-9</v>
      </c>
      <c r="D3">
        <f>Cc2ea</f>
        <v>1.1024548285931344E-10</v>
      </c>
      <c r="E3">
        <f>Cout</f>
        <v>2.04E-4</v>
      </c>
      <c r="F3">
        <f>Cin</f>
        <v>1.328E-3</v>
      </c>
      <c r="G3">
        <f>Cres</f>
        <v>5.0000000000000008E-7</v>
      </c>
      <c r="H3">
        <f>Cdither_init</f>
        <v>9.2592592592592591E-9</v>
      </c>
      <c r="I3">
        <f>Cc3ea</f>
        <v>1.4537589513586208E-9</v>
      </c>
      <c r="J3">
        <f>Cc4ea</f>
        <v>8.0859339350566981E-11</v>
      </c>
      <c r="M3" t="s">
        <v>165</v>
      </c>
      <c r="N3" t="s">
        <v>166</v>
      </c>
      <c r="O3" s="2" t="s">
        <v>162</v>
      </c>
    </row>
    <row r="4" spans="1:16" ht="13" x14ac:dyDescent="0.3">
      <c r="A4" s="7" t="s">
        <v>162</v>
      </c>
      <c r="B4" s="7">
        <f>SUM(B6:B158)/1000000000000</f>
        <v>9.9999999999999995E-8</v>
      </c>
      <c r="C4" s="7">
        <f>IF(C3="OPEN","OPEN",SUM(C6:C158)/1000000000000)</f>
        <v>5.5999999999999997E-9</v>
      </c>
      <c r="D4" s="7">
        <f>SUM(D6:D158)/1000000000000</f>
        <v>1.2E-10</v>
      </c>
      <c r="E4" s="7">
        <f>SUM(E6:E158)/1000000000000</f>
        <v>2.2000000000000001E-4</v>
      </c>
      <c r="F4" s="7">
        <f>SUM(F6:F158)/1000000000000</f>
        <v>1.1999999999999999E-3</v>
      </c>
      <c r="G4" s="7">
        <f>SUM(G6:G158)/1000000000000</f>
        <v>4.7E-7</v>
      </c>
      <c r="H4" s="7">
        <f t="shared" ref="H4:J4" si="0">IF(H3="OPEN","OPEN",SUM(H6:H158)/1000000000000)</f>
        <v>1E-8</v>
      </c>
      <c r="I4" s="7">
        <f t="shared" si="0"/>
        <v>1.5E-9</v>
      </c>
      <c r="J4" s="7">
        <f t="shared" si="0"/>
        <v>8.2000000000000001E-11</v>
      </c>
      <c r="M4" s="114" t="s">
        <v>280</v>
      </c>
      <c r="N4">
        <f>Rfadj</f>
        <v>100000</v>
      </c>
      <c r="O4" s="2">
        <f t="shared" ref="O4:O7" si="1">IF(N4&gt;(INT(0.5+100*POWER(10,IF(96*(LOG(N4)-INT(LOG(N4)))-ROUND(96*(LOG(N4)-INT(LOG(N4))),0)&lt;0,ROUND(96*(LOG(N4)-INT(LOG(N4))),0)-1,ROUND(96*(LOG(N4)-INT(LOG(N4))),0))/96))*POWER(10,INT(LOG(N4))-2)+INT(0.5+100*POWER(10,(IF(96*(LOG(N4)-INT(LOG(N4)))-ROUND(96*(LOG(N4)-INT(LOG(N4))),0)&lt;0,ROUND(96*(LOG(N4)-INT(LOG(N4))),0)-1,ROUND(96*(LOG(N4)-INT(LOG(N4))),0))+1)/96))*POWER(10,INT(LOG(N4))-2))/2,INT(0.5+100*POWER(10,(IF(96*(LOG(N4)-INT(LOG(N4)))-ROUND(96*(LOG(N4)-INT(LOG(N4))),0)&lt;0,ROUND(96*(LOG(N4)-INT(LOG(N4))),0)-1,ROUND(96*(LOG(N4)-INT(LOG(N4))),0))+1)/96))*POWER(10,INT(LOG(N4))-2),INT(0.5+100*POWER(10,IF(96*(LOG(N4)-INT(LOG(N4)))-ROUND(96*(LOG(N4)-INT(LOG(N4))),0)&lt;0,ROUND(96*(LOG(N4)-INT(LOG(N4))),0)-1,ROUND(96*(LOG(N4)-INT(LOG(N4))),0))/96))*POWER(10,INT(LOG(N4))-2))</f>
        <v>100000</v>
      </c>
      <c r="P4" s="45" t="s">
        <v>268</v>
      </c>
    </row>
    <row r="5" spans="1:16" ht="13" x14ac:dyDescent="0.3">
      <c r="A5" t="s">
        <v>161</v>
      </c>
      <c r="O5" s="2"/>
      <c r="P5" s="45"/>
    </row>
    <row r="6" spans="1:16" ht="13" x14ac:dyDescent="0.3">
      <c r="A6">
        <v>0.47</v>
      </c>
      <c r="B6">
        <f t="shared" ref="B6:J6" si="2">IF(IF((B$3*10^12-$A7)*(B$3*10^12-$A6)*-1&lt;0,0,1)*IF(ABS(B$3*10^12-$A7)&gt;(B$3*10^12-$A6),$A6,$A7)=B7,0,IF((B$3*10^12-$A7)*(B$3*10^12-$A6)*-1&lt;0,0,1)*IF(ABS(B$3*10^12-$A7)&gt;(B$3*10^12-$A6),$A6,$A7))</f>
        <v>0</v>
      </c>
      <c r="C6">
        <f t="shared" si="2"/>
        <v>0</v>
      </c>
      <c r="D6">
        <f t="shared" si="2"/>
        <v>0</v>
      </c>
      <c r="E6">
        <f t="shared" si="2"/>
        <v>0</v>
      </c>
      <c r="F6">
        <f t="shared" si="2"/>
        <v>0</v>
      </c>
      <c r="G6">
        <f t="shared" si="2"/>
        <v>0</v>
      </c>
      <c r="H6">
        <f t="shared" si="2"/>
        <v>0</v>
      </c>
      <c r="I6">
        <f t="shared" si="2"/>
        <v>0</v>
      </c>
      <c r="J6">
        <f t="shared" si="2"/>
        <v>0</v>
      </c>
      <c r="M6" s="114"/>
      <c r="N6" s="53"/>
      <c r="O6" s="2"/>
      <c r="P6" s="45"/>
    </row>
    <row r="7" spans="1:16" ht="13" x14ac:dyDescent="0.3">
      <c r="A7">
        <v>0.56000000000000005</v>
      </c>
      <c r="B7">
        <f t="shared" ref="B7:B70" si="3">IF(IF((B$3*10^12-$A8)*(B$3*10^12-$A7)*-1&lt;0,0,1)*IF(ABS(B$3*10^12-$A8)&gt;(B$3*10^12-$A7),$A7,$A8)=B8,0,IF((B$3*10^12-$A8)*(B$3*10^12-$A7)*-1&lt;0,0,1)*IF(ABS(B$3*10^12-$A8)&gt;(B$3*10^12-$A7),$A7,$A8))</f>
        <v>0</v>
      </c>
      <c r="C7">
        <f t="shared" ref="C7:C38" si="4">IF(IF((C$3*10^12-$A8)*(C$3*10^12-$A7)*-1&lt;0,0,1)*IF(ABS(C$3*10^12-$A8)&gt;(C$3*10^12-$A7),$A7,$A8)=C8,0,IF((C$3*10^12-$A8)*(C$3*10^12-$A7)*-1&lt;0,0,1)*IF(ABS(C$3*10^12-$A8)&gt;(C$3*10^12-$A7),$A7,$A8))</f>
        <v>0</v>
      </c>
      <c r="D7">
        <f t="shared" ref="D7:D69" si="5">IF(IF((D$3*10^12-$A8)*(D$3*10^12-$A7)*-1&lt;0,0,1)*IF(ABS(D$3*10^12-$A8)&gt;(D$3*10^12-$A7),$A7,$A8)=D8,0,IF((D$3*10^12-$A8)*(D$3*10^12-$A7)*-1&lt;0,0,1)*IF(ABS(D$3*10^12-$A8)&gt;(D$3*10^12-$A7),$A7,$A8))</f>
        <v>0</v>
      </c>
      <c r="E7">
        <f t="shared" ref="E7:E69" si="6">IF(IF((E$3*10^12-$A8)*(E$3*10^12-$A7)*-1&lt;0,0,1)*IF(ABS(E$3*10^12-$A8)&gt;(E$3*10^12-$A7),$A7,$A8)=E8,0,IF((E$3*10^12-$A8)*(E$3*10^12-$A7)*-1&lt;0,0,1)*IF(ABS(E$3*10^12-$A8)&gt;(E$3*10^12-$A7),$A7,$A8))</f>
        <v>0</v>
      </c>
      <c r="F7">
        <f t="shared" ref="F7:F69" si="7">IF(IF((F$3*10^12-$A8)*(F$3*10^12-$A7)*-1&lt;0,0,1)*IF(ABS(F$3*10^12-$A8)&gt;(F$3*10^12-$A7),$A7,$A8)=F8,0,IF((F$3*10^12-$A8)*(F$3*10^12-$A7)*-1&lt;0,0,1)*IF(ABS(F$3*10^12-$A8)&gt;(F$3*10^12-$A7),$A7,$A8))</f>
        <v>0</v>
      </c>
      <c r="G7">
        <f t="shared" ref="G7:J69" si="8">IF(IF((G$3*10^12-$A8)*(G$3*10^12-$A7)*-1&lt;0,0,1)*IF(ABS(G$3*10^12-$A8)&gt;(G$3*10^12-$A7),$A7,$A8)=G8,0,IF((G$3*10^12-$A8)*(G$3*10^12-$A7)*-1&lt;0,0,1)*IF(ABS(G$3*10^12-$A8)&gt;(G$3*10^12-$A7),$A7,$A8))</f>
        <v>0</v>
      </c>
      <c r="H7">
        <f t="shared" si="8"/>
        <v>0</v>
      </c>
      <c r="I7">
        <f t="shared" si="8"/>
        <v>0</v>
      </c>
      <c r="J7">
        <f t="shared" si="8"/>
        <v>0</v>
      </c>
      <c r="M7" t="s">
        <v>179</v>
      </c>
      <c r="N7">
        <f>Rcea1</f>
        <v>12407.531675616003</v>
      </c>
      <c r="O7" s="2">
        <f t="shared" si="1"/>
        <v>12400</v>
      </c>
      <c r="P7" s="45" t="s">
        <v>268</v>
      </c>
    </row>
    <row r="8" spans="1:16" ht="13" x14ac:dyDescent="0.3">
      <c r="A8">
        <v>0.68</v>
      </c>
      <c r="B8">
        <f t="shared" si="3"/>
        <v>0</v>
      </c>
      <c r="C8">
        <f t="shared" si="4"/>
        <v>0</v>
      </c>
      <c r="D8">
        <f t="shared" si="5"/>
        <v>0</v>
      </c>
      <c r="E8">
        <f t="shared" si="6"/>
        <v>0</v>
      </c>
      <c r="F8">
        <f t="shared" si="7"/>
        <v>0</v>
      </c>
      <c r="G8">
        <f t="shared" si="8"/>
        <v>0</v>
      </c>
      <c r="H8">
        <f t="shared" si="8"/>
        <v>0</v>
      </c>
      <c r="I8">
        <f t="shared" si="8"/>
        <v>0</v>
      </c>
      <c r="J8">
        <f t="shared" si="8"/>
        <v>0</v>
      </c>
      <c r="M8" t="s">
        <v>179</v>
      </c>
      <c r="N8">
        <f>Rcea2</f>
        <v>16587.609192000004</v>
      </c>
      <c r="O8" s="2">
        <f t="shared" ref="O8" si="9">IF(N8&gt;(INT(0.5+100*POWER(10,IF(96*(LOG(N8)-INT(LOG(N8)))-ROUND(96*(LOG(N8)-INT(LOG(N8))),0)&lt;0,ROUND(96*(LOG(N8)-INT(LOG(N8))),0)-1,ROUND(96*(LOG(N8)-INT(LOG(N8))),0))/96))*POWER(10,INT(LOG(N8))-2)+INT(0.5+100*POWER(10,(IF(96*(LOG(N8)-INT(LOG(N8)))-ROUND(96*(LOG(N8)-INT(LOG(N8))),0)&lt;0,ROUND(96*(LOG(N8)-INT(LOG(N8))),0)-1,ROUND(96*(LOG(N8)-INT(LOG(N8))),0))+1)/96))*POWER(10,INT(LOG(N8))-2))/2,INT(0.5+100*POWER(10,(IF(96*(LOG(N8)-INT(LOG(N8)))-ROUND(96*(LOG(N8)-INT(LOG(N8))),0)&lt;0,ROUND(96*(LOG(N8)-INT(LOG(N8))),0)-1,ROUND(96*(LOG(N8)-INT(LOG(N8))),0))+1)/96))*POWER(10,INT(LOG(N8))-2),INT(0.5+100*POWER(10,IF(96*(LOG(N8)-INT(LOG(N8)))-ROUND(96*(LOG(N8)-INT(LOG(N8))),0)&lt;0,ROUND(96*(LOG(N8)-INT(LOG(N8))),0)-1,ROUND(96*(LOG(N8)-INT(LOG(N8))),0))/96))*POWER(10,INT(LOG(N8))-2))</f>
        <v>16500</v>
      </c>
      <c r="P8" s="45" t="s">
        <v>268</v>
      </c>
    </row>
    <row r="9" spans="1:16" x14ac:dyDescent="0.25">
      <c r="A9">
        <v>0.82</v>
      </c>
      <c r="B9">
        <f t="shared" si="3"/>
        <v>0</v>
      </c>
      <c r="C9">
        <f t="shared" si="4"/>
        <v>0</v>
      </c>
      <c r="D9">
        <f t="shared" si="5"/>
        <v>0</v>
      </c>
      <c r="E9">
        <f t="shared" si="6"/>
        <v>0</v>
      </c>
      <c r="F9">
        <f t="shared" si="7"/>
        <v>0</v>
      </c>
      <c r="G9">
        <f t="shared" si="8"/>
        <v>0</v>
      </c>
      <c r="H9">
        <f t="shared" si="8"/>
        <v>0</v>
      </c>
      <c r="I9">
        <f t="shared" si="8"/>
        <v>0</v>
      </c>
      <c r="J9">
        <f t="shared" si="8"/>
        <v>0</v>
      </c>
    </row>
    <row r="10" spans="1:16" ht="13" x14ac:dyDescent="0.3">
      <c r="A10">
        <v>1</v>
      </c>
      <c r="B10">
        <f t="shared" si="3"/>
        <v>0</v>
      </c>
      <c r="C10">
        <f t="shared" si="4"/>
        <v>0</v>
      </c>
      <c r="D10">
        <f t="shared" si="5"/>
        <v>0</v>
      </c>
      <c r="E10">
        <f t="shared" si="6"/>
        <v>0</v>
      </c>
      <c r="F10">
        <f t="shared" si="7"/>
        <v>0</v>
      </c>
      <c r="G10">
        <f t="shared" si="8"/>
        <v>0</v>
      </c>
      <c r="H10">
        <f t="shared" si="8"/>
        <v>0</v>
      </c>
      <c r="I10">
        <f t="shared" si="8"/>
        <v>0</v>
      </c>
      <c r="J10">
        <f t="shared" si="8"/>
        <v>0</v>
      </c>
      <c r="M10" t="s">
        <v>29</v>
      </c>
      <c r="N10">
        <f>Rfb1_</f>
        <v>390000</v>
      </c>
      <c r="O10" s="2">
        <f>IF(N10&gt;(INT(0.5+100*POWER(10,IF(96*(LOG(N10)-INT(LOG(N10)))-ROUND(96*(LOG(N10)-INT(LOG(N10))),0)&lt;0,ROUND(96*(LOG(N10)-INT(LOG(N10))),0)-1,ROUND(96*(LOG(N10)-INT(LOG(N10))),0))/96))*POWER(10,INT(LOG(N10))-2)+INT(0.5+100*POWER(10,(IF(96*(LOG(N10)-INT(LOG(N10)))-ROUND(96*(LOG(N10)-INT(LOG(N10))),0)&lt;0,ROUND(96*(LOG(N10)-INT(LOG(N10))),0)-1,ROUND(96*(LOG(N10)-INT(LOG(N10))),0))+1)/96))*POWER(10,INT(LOG(N10))-2))/2,INT(0.5+100*POWER(10,(IF(96*(LOG(N10)-INT(LOG(N10)))-ROUND(96*(LOG(N10)-INT(LOG(N10))),0)&lt;0,ROUND(96*(LOG(N10)-INT(LOG(N10))),0)-1,ROUND(96*(LOG(N10)-INT(LOG(N10))),0))+1)/96))*POWER(10,INT(LOG(N10))-2),INT(0.5+100*POWER(10,IF(96*(LOG(N10)-INT(LOG(N10)))-ROUND(96*(LOG(N10)-INT(LOG(N10))),0)&lt;0,ROUND(96*(LOG(N10)-INT(LOG(N10))),0)-1,ROUND(96*(LOG(N10)-INT(LOG(N10))),0))/96))*POWER(10,INT(LOG(N10))-2))</f>
        <v>392000</v>
      </c>
      <c r="P10" s="45" t="s">
        <v>268</v>
      </c>
    </row>
    <row r="11" spans="1:16" ht="13" x14ac:dyDescent="0.3">
      <c r="A11">
        <v>1.2</v>
      </c>
      <c r="B11">
        <f t="shared" si="3"/>
        <v>0</v>
      </c>
      <c r="C11">
        <f t="shared" si="4"/>
        <v>0</v>
      </c>
      <c r="D11">
        <f t="shared" si="5"/>
        <v>0</v>
      </c>
      <c r="E11">
        <f t="shared" si="6"/>
        <v>0</v>
      </c>
      <c r="F11">
        <f t="shared" si="7"/>
        <v>0</v>
      </c>
      <c r="G11">
        <f t="shared" si="8"/>
        <v>0</v>
      </c>
      <c r="H11">
        <f t="shared" si="8"/>
        <v>0</v>
      </c>
      <c r="I11">
        <f t="shared" si="8"/>
        <v>0</v>
      </c>
      <c r="J11">
        <f t="shared" si="8"/>
        <v>0</v>
      </c>
      <c r="M11" t="s">
        <v>40</v>
      </c>
      <c r="N11" s="48">
        <f>Rfb2_</f>
        <v>10000</v>
      </c>
      <c r="O11" s="2">
        <f>IF(N11="OPEN","OPEN",IF(N11&gt;(INT(0.5+100*POWER(10,IF(96*(LOG(N11)-INT(LOG(N11)))-ROUND(96*(LOG(N11)-INT(LOG(N11))),0)&lt;0,ROUND(96*(LOG(N11)-INT(LOG(N11))),0)-1,ROUND(96*(LOG(N11)-INT(LOG(N11))),0))/96))*POWER(10,INT(LOG(N11))-2)+INT(0.5+100*POWER(10,(IF(96*(LOG(N11)-INT(LOG(N11)))-ROUND(96*(LOG(N11)-INT(LOG(N11))),0)&lt;0,ROUND(96*(LOG(N11)-INT(LOG(N11))),0)-1,ROUND(96*(LOG(N11)-INT(LOG(N11))),0))+1)/96))*POWER(10,INT(LOG(N11))-2))/2,INT(0.5+100*POWER(10,(IF(96*(LOG(N11)-INT(LOG(N11)))-ROUND(96*(LOG(N11)-INT(LOG(N11))),0)&lt;0,ROUND(96*(LOG(N11)-INT(LOG(N11))),0)-1,ROUND(96*(LOG(N11)-INT(LOG(N11))),0))+1)/96))*POWER(10,INT(LOG(N11))-2),INT(0.5+100*POWER(10,IF(96*(LOG(N11)-INT(LOG(N11)))-ROUND(96*(LOG(N11)-INT(LOG(N11))),0)&lt;0,ROUND(96*(LOG(N11)-INT(LOG(N11))),0)-1,ROUND(96*(LOG(N11)-INT(LOG(N11))),0))/96))*POWER(10,INT(LOG(N11))-2)))</f>
        <v>10000</v>
      </c>
      <c r="P11" s="45" t="s">
        <v>268</v>
      </c>
    </row>
    <row r="12" spans="1:16" ht="13" x14ac:dyDescent="0.3">
      <c r="A12">
        <v>1.5</v>
      </c>
      <c r="B12">
        <f t="shared" si="3"/>
        <v>0</v>
      </c>
      <c r="C12">
        <f t="shared" si="4"/>
        <v>0</v>
      </c>
      <c r="D12">
        <f t="shared" si="5"/>
        <v>0</v>
      </c>
      <c r="E12">
        <f t="shared" si="6"/>
        <v>0</v>
      </c>
      <c r="F12">
        <f t="shared" si="7"/>
        <v>0</v>
      </c>
      <c r="G12">
        <f t="shared" si="8"/>
        <v>0</v>
      </c>
      <c r="H12">
        <f t="shared" si="8"/>
        <v>0</v>
      </c>
      <c r="I12">
        <f t="shared" si="8"/>
        <v>0</v>
      </c>
      <c r="J12">
        <f t="shared" si="8"/>
        <v>0</v>
      </c>
      <c r="M12" s="114" t="s">
        <v>736</v>
      </c>
      <c r="N12">
        <f>Rfb3_</f>
        <v>115000</v>
      </c>
      <c r="O12" s="2">
        <f>IF(N12&gt;(INT(0.5+100*POWER(10,IF(96*(LOG(N12)-INT(LOG(N12)))-ROUND(96*(LOG(N12)-INT(LOG(N12))),0)&lt;0,ROUND(96*(LOG(N12)-INT(LOG(N12))),0)-1,ROUND(96*(LOG(N12)-INT(LOG(N12))),0))/96))*POWER(10,INT(LOG(N12))-2)+INT(0.5+100*POWER(10,(IF(96*(LOG(N12)-INT(LOG(N12)))-ROUND(96*(LOG(N12)-INT(LOG(N12))),0)&lt;0,ROUND(96*(LOG(N12)-INT(LOG(N12))),0)-1,ROUND(96*(LOG(N12)-INT(LOG(N12))),0))+1)/96))*POWER(10,INT(LOG(N12))-2))/2,INT(0.5+100*POWER(10,(IF(96*(LOG(N12)-INT(LOG(N12)))-ROUND(96*(LOG(N12)-INT(LOG(N12))),0)&lt;0,ROUND(96*(LOG(N12)-INT(LOG(N12))),0)-1,ROUND(96*(LOG(N12)-INT(LOG(N12))),0))+1)/96))*POWER(10,INT(LOG(N12))-2),INT(0.5+100*POWER(10,IF(96*(LOG(N12)-INT(LOG(N12)))-ROUND(96*(LOG(N12)-INT(LOG(N12))),0)&lt;0,ROUND(96*(LOG(N12)-INT(LOG(N12))),0)-1,ROUND(96*(LOG(N12)-INT(LOG(N12))),0))/96))*POWER(10,INT(LOG(N12))-2))</f>
        <v>115000</v>
      </c>
      <c r="P12" s="45" t="s">
        <v>268</v>
      </c>
    </row>
    <row r="13" spans="1:16" ht="13" x14ac:dyDescent="0.3">
      <c r="A13">
        <v>1.8</v>
      </c>
      <c r="B13">
        <f t="shared" si="3"/>
        <v>0</v>
      </c>
      <c r="C13">
        <f t="shared" si="4"/>
        <v>0</v>
      </c>
      <c r="D13">
        <f t="shared" si="5"/>
        <v>0</v>
      </c>
      <c r="E13">
        <f t="shared" si="6"/>
        <v>0</v>
      </c>
      <c r="F13">
        <f t="shared" si="7"/>
        <v>0</v>
      </c>
      <c r="G13">
        <f t="shared" si="8"/>
        <v>0</v>
      </c>
      <c r="H13">
        <f t="shared" si="8"/>
        <v>0</v>
      </c>
      <c r="I13">
        <f t="shared" si="8"/>
        <v>0</v>
      </c>
      <c r="J13">
        <f t="shared" si="8"/>
        <v>0</v>
      </c>
      <c r="M13" s="114" t="s">
        <v>737</v>
      </c>
      <c r="N13" s="48">
        <f>Rfb4_</f>
        <v>15681.81818181818</v>
      </c>
      <c r="O13" s="2">
        <f>IF(N13="OPEN","OPEN",IF(N13&gt;(INT(0.5+100*POWER(10,IF(96*(LOG(N13)-INT(LOG(N13)))-ROUND(96*(LOG(N13)-INT(LOG(N13))),0)&lt;0,ROUND(96*(LOG(N13)-INT(LOG(N13))),0)-1,ROUND(96*(LOG(N13)-INT(LOG(N13))),0))/96))*POWER(10,INT(LOG(N13))-2)+INT(0.5+100*POWER(10,(IF(96*(LOG(N13)-INT(LOG(N13)))-ROUND(96*(LOG(N13)-INT(LOG(N13))),0)&lt;0,ROUND(96*(LOG(N13)-INT(LOG(N13))),0)-1,ROUND(96*(LOG(N13)-INT(LOG(N13))),0))+1)/96))*POWER(10,INT(LOG(N13))-2))/2,INT(0.5+100*POWER(10,(IF(96*(LOG(N13)-INT(LOG(N13)))-ROUND(96*(LOG(N13)-INT(LOG(N13))),0)&lt;0,ROUND(96*(LOG(N13)-INT(LOG(N13))),0)-1,ROUND(96*(LOG(N13)-INT(LOG(N13))),0))+1)/96))*POWER(10,INT(LOG(N13))-2),INT(0.5+100*POWER(10,IF(96*(LOG(N13)-INT(LOG(N13)))-ROUND(96*(LOG(N13)-INT(LOG(N13))),0)&lt;0,ROUND(96*(LOG(N13)-INT(LOG(N13))),0)-1,ROUND(96*(LOG(N13)-INT(LOG(N13))),0))/96))*POWER(10,INT(LOG(N13))-2)))</f>
        <v>15800</v>
      </c>
      <c r="P13" s="45" t="s">
        <v>268</v>
      </c>
    </row>
    <row r="14" spans="1:16" x14ac:dyDescent="0.25">
      <c r="A14">
        <v>2.2000000000000002</v>
      </c>
      <c r="B14">
        <f t="shared" ref="B14:J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row>
    <row r="15" spans="1:16" x14ac:dyDescent="0.25">
      <c r="A15">
        <v>2.7</v>
      </c>
      <c r="B15">
        <f t="shared" si="3"/>
        <v>0</v>
      </c>
      <c r="C15">
        <f t="shared" si="4"/>
        <v>0</v>
      </c>
      <c r="D15">
        <f t="shared" si="5"/>
        <v>0</v>
      </c>
      <c r="E15">
        <f t="shared" si="6"/>
        <v>0</v>
      </c>
      <c r="F15">
        <f t="shared" si="7"/>
        <v>0</v>
      </c>
      <c r="G15">
        <f t="shared" si="8"/>
        <v>0</v>
      </c>
      <c r="H15">
        <f t="shared" si="8"/>
        <v>0</v>
      </c>
      <c r="I15">
        <f t="shared" si="8"/>
        <v>0</v>
      </c>
      <c r="J15">
        <f t="shared" si="8"/>
        <v>0</v>
      </c>
    </row>
    <row r="16" spans="1:16" ht="13" x14ac:dyDescent="0.3">
      <c r="A16">
        <v>3.3</v>
      </c>
      <c r="B16">
        <f t="shared" si="3"/>
        <v>0</v>
      </c>
      <c r="C16">
        <f t="shared" si="4"/>
        <v>0</v>
      </c>
      <c r="D16">
        <f t="shared" si="5"/>
        <v>0</v>
      </c>
      <c r="E16">
        <f t="shared" si="6"/>
        <v>0</v>
      </c>
      <c r="F16">
        <f t="shared" si="7"/>
        <v>0</v>
      </c>
      <c r="G16">
        <f t="shared" si="8"/>
        <v>0</v>
      </c>
      <c r="H16">
        <f t="shared" si="8"/>
        <v>0</v>
      </c>
      <c r="I16">
        <f t="shared" si="8"/>
        <v>0</v>
      </c>
      <c r="J16">
        <f t="shared" si="8"/>
        <v>0</v>
      </c>
      <c r="M16" s="114" t="s">
        <v>167</v>
      </c>
      <c r="N16" s="360">
        <f>Rs_ideal*1000</f>
        <v>2.2424855228056479</v>
      </c>
      <c r="O16" s="2">
        <f>IF(N16=0,0,IF(N16&gt;(INT(0.5+100*POWER(10,IF(96*(LOG(N16)-INT(LOG(N16)))-ROUND(96*(LOG(N16)-INT(LOG(N16))),0)&lt;0,ROUND(96*(LOG(N16)-INT(LOG(N16))),0)-1,ROUND(96*(LOG(N16)-INT(LOG(N16))),0))/96))*POWER(10,INT(LOG(N16))-2)+INT(0.5+100*POWER(10,(IF(96*(LOG(N16)-INT(LOG(N16)))-ROUND(96*(LOG(N16)-INT(LOG(N16))),0)&lt;0,ROUND(96*(LOG(N16)-INT(LOG(N16))),0)-1,ROUND(96*(LOG(N16)-INT(LOG(N16))),0))+1)/96))*POWER(10,INT(LOG(N16))-2))/2,INT(0.5+100*POWER(10,(IF(96*(LOG(N16)-INT(LOG(N16)))-ROUND(96*(LOG(N16)-INT(LOG(N16))),0)&lt;0,ROUND(96*(LOG(N16)-INT(LOG(N16))),0)-1,ROUND(96*(LOG(N16)-INT(LOG(N16))),0))+1)/96))*POWER(10,INT(LOG(N16))-2),INT(0.5+100*POWER(10,IF(96*(LOG(N16)-INT(LOG(N16)))-ROUND(96*(LOG(N16)-INT(LOG(N16))),0)&lt;0,ROUND(96*(LOG(N16)-INT(LOG(N16))),0)-1,ROUND(96*(LOG(N16)-INT(LOG(N16))),0))/96))*POWER(10,INT(LOG(N16))-2)))</f>
        <v>2.2600000000000002</v>
      </c>
      <c r="P16" s="45" t="s">
        <v>318</v>
      </c>
    </row>
    <row r="17" spans="1:16" x14ac:dyDescent="0.25">
      <c r="A17">
        <v>3.9</v>
      </c>
      <c r="B17">
        <f t="shared" si="3"/>
        <v>0</v>
      </c>
      <c r="C17">
        <f t="shared" si="4"/>
        <v>0</v>
      </c>
      <c r="D17">
        <f t="shared" si="5"/>
        <v>0</v>
      </c>
      <c r="E17">
        <f t="shared" si="6"/>
        <v>0</v>
      </c>
      <c r="F17">
        <f t="shared" si="7"/>
        <v>0</v>
      </c>
      <c r="G17">
        <f t="shared" si="8"/>
        <v>0</v>
      </c>
      <c r="H17">
        <f t="shared" si="8"/>
        <v>0</v>
      </c>
      <c r="I17">
        <f t="shared" si="8"/>
        <v>0</v>
      </c>
      <c r="J17">
        <f t="shared" si="8"/>
        <v>0</v>
      </c>
      <c r="M17" s="114" t="s">
        <v>682</v>
      </c>
      <c r="N17">
        <f>Cres</f>
        <v>5.0000000000000008E-7</v>
      </c>
      <c r="O17">
        <f>G4*1000000000000</f>
        <v>470000</v>
      </c>
      <c r="P17" s="114" t="s">
        <v>30</v>
      </c>
    </row>
    <row r="18" spans="1:16" x14ac:dyDescent="0.25">
      <c r="A18">
        <v>4.7</v>
      </c>
      <c r="B18">
        <f t="shared" si="3"/>
        <v>0</v>
      </c>
      <c r="C18">
        <f t="shared" si="4"/>
        <v>0</v>
      </c>
      <c r="D18">
        <f t="shared" si="5"/>
        <v>0</v>
      </c>
      <c r="E18">
        <f t="shared" si="6"/>
        <v>0</v>
      </c>
      <c r="F18">
        <f t="shared" si="7"/>
        <v>0</v>
      </c>
      <c r="G18">
        <f t="shared" si="8"/>
        <v>0</v>
      </c>
      <c r="H18">
        <f t="shared" si="8"/>
        <v>0</v>
      </c>
      <c r="I18">
        <f t="shared" si="8"/>
        <v>0</v>
      </c>
      <c r="J18">
        <f t="shared" si="8"/>
        <v>0</v>
      </c>
    </row>
    <row r="19" spans="1:16" ht="13" x14ac:dyDescent="0.3">
      <c r="A19">
        <v>5.6</v>
      </c>
      <c r="B19">
        <f t="shared" si="3"/>
        <v>0</v>
      </c>
      <c r="C19">
        <f t="shared" si="4"/>
        <v>0</v>
      </c>
      <c r="D19">
        <f t="shared" si="5"/>
        <v>0</v>
      </c>
      <c r="E19">
        <f t="shared" si="6"/>
        <v>0</v>
      </c>
      <c r="F19">
        <f t="shared" si="7"/>
        <v>0</v>
      </c>
      <c r="G19">
        <f t="shared" si="8"/>
        <v>0</v>
      </c>
      <c r="H19">
        <f t="shared" si="8"/>
        <v>0</v>
      </c>
      <c r="I19">
        <f t="shared" si="8"/>
        <v>0</v>
      </c>
      <c r="J19">
        <f t="shared" si="8"/>
        <v>0</v>
      </c>
      <c r="M19" s="114"/>
      <c r="O19" s="2"/>
      <c r="P19" s="45"/>
    </row>
    <row r="20" spans="1:16" ht="13" x14ac:dyDescent="0.3">
      <c r="A20">
        <v>6.8</v>
      </c>
      <c r="B20">
        <f t="shared" si="3"/>
        <v>0</v>
      </c>
      <c r="C20">
        <f t="shared" si="4"/>
        <v>0</v>
      </c>
      <c r="D20">
        <f t="shared" si="5"/>
        <v>0</v>
      </c>
      <c r="E20">
        <f t="shared" si="6"/>
        <v>0</v>
      </c>
      <c r="F20">
        <f t="shared" si="7"/>
        <v>0</v>
      </c>
      <c r="G20">
        <f t="shared" si="8"/>
        <v>0</v>
      </c>
      <c r="H20">
        <f t="shared" si="8"/>
        <v>0</v>
      </c>
      <c r="I20">
        <f t="shared" si="8"/>
        <v>0</v>
      </c>
      <c r="J20">
        <f t="shared" si="8"/>
        <v>0</v>
      </c>
      <c r="M20" s="114"/>
      <c r="O20" s="2"/>
      <c r="P20" s="45"/>
    </row>
    <row r="21" spans="1:16" ht="13" x14ac:dyDescent="0.3">
      <c r="A21">
        <v>8.1999999999999993</v>
      </c>
      <c r="B21">
        <f t="shared" si="3"/>
        <v>0</v>
      </c>
      <c r="C21">
        <f t="shared" si="4"/>
        <v>0</v>
      </c>
      <c r="D21">
        <f t="shared" si="5"/>
        <v>0</v>
      </c>
      <c r="E21">
        <f t="shared" si="6"/>
        <v>0</v>
      </c>
      <c r="F21">
        <f t="shared" si="7"/>
        <v>0</v>
      </c>
      <c r="G21">
        <f t="shared" si="8"/>
        <v>0</v>
      </c>
      <c r="H21">
        <f t="shared" si="8"/>
        <v>0</v>
      </c>
      <c r="I21">
        <f t="shared" si="8"/>
        <v>0</v>
      </c>
      <c r="J21">
        <f t="shared" si="8"/>
        <v>0</v>
      </c>
      <c r="O21" s="2"/>
    </row>
    <row r="22" spans="1:16" ht="13" x14ac:dyDescent="0.3">
      <c r="A22">
        <v>10</v>
      </c>
      <c r="B22">
        <f t="shared" si="3"/>
        <v>0</v>
      </c>
      <c r="C22">
        <f t="shared" si="4"/>
        <v>0</v>
      </c>
      <c r="D22">
        <f t="shared" si="5"/>
        <v>0</v>
      </c>
      <c r="E22">
        <f t="shared" si="6"/>
        <v>0</v>
      </c>
      <c r="F22">
        <f t="shared" si="7"/>
        <v>0</v>
      </c>
      <c r="G22">
        <f t="shared" si="8"/>
        <v>0</v>
      </c>
      <c r="H22">
        <f t="shared" si="8"/>
        <v>0</v>
      </c>
      <c r="I22">
        <f t="shared" si="8"/>
        <v>0</v>
      </c>
      <c r="J22">
        <f t="shared" si="8"/>
        <v>0</v>
      </c>
      <c r="M22" s="114" t="s">
        <v>323</v>
      </c>
      <c r="N22">
        <f>Cdither_init</f>
        <v>9.2592592592592591E-9</v>
      </c>
      <c r="O22" s="2">
        <f>H4</f>
        <v>1E-8</v>
      </c>
    </row>
    <row r="23" spans="1:16" ht="13" x14ac:dyDescent="0.3">
      <c r="A23">
        <v>12</v>
      </c>
      <c r="B23">
        <f t="shared" si="3"/>
        <v>0</v>
      </c>
      <c r="C23">
        <f t="shared" si="4"/>
        <v>0</v>
      </c>
      <c r="D23">
        <f t="shared" si="5"/>
        <v>0</v>
      </c>
      <c r="E23">
        <f t="shared" si="6"/>
        <v>0</v>
      </c>
      <c r="F23">
        <f t="shared" si="7"/>
        <v>0</v>
      </c>
      <c r="G23">
        <f t="shared" si="8"/>
        <v>0</v>
      </c>
      <c r="H23">
        <f t="shared" si="8"/>
        <v>0</v>
      </c>
      <c r="I23">
        <f t="shared" si="8"/>
        <v>0</v>
      </c>
      <c r="J23">
        <f t="shared" si="8"/>
        <v>0</v>
      </c>
      <c r="O23" s="2"/>
    </row>
    <row r="24" spans="1:16" ht="13" x14ac:dyDescent="0.3">
      <c r="A24">
        <v>15</v>
      </c>
      <c r="B24">
        <f t="shared" si="3"/>
        <v>0</v>
      </c>
      <c r="C24">
        <f t="shared" si="4"/>
        <v>0</v>
      </c>
      <c r="D24">
        <f t="shared" si="5"/>
        <v>0</v>
      </c>
      <c r="E24">
        <f t="shared" si="6"/>
        <v>0</v>
      </c>
      <c r="F24">
        <f t="shared" si="7"/>
        <v>0</v>
      </c>
      <c r="G24">
        <f t="shared" si="8"/>
        <v>0</v>
      </c>
      <c r="H24">
        <f t="shared" si="8"/>
        <v>0</v>
      </c>
      <c r="I24">
        <f t="shared" si="8"/>
        <v>0</v>
      </c>
      <c r="J24">
        <f t="shared" si="8"/>
        <v>0</v>
      </c>
      <c r="M24" s="114"/>
      <c r="N24" s="311"/>
      <c r="O24" s="2"/>
      <c r="P24" s="45"/>
    </row>
    <row r="25" spans="1:16" x14ac:dyDescent="0.25">
      <c r="A25">
        <v>18</v>
      </c>
      <c r="B25">
        <f t="shared" si="3"/>
        <v>0</v>
      </c>
      <c r="C25">
        <f t="shared" si="4"/>
        <v>0</v>
      </c>
      <c r="D25">
        <f t="shared" si="5"/>
        <v>0</v>
      </c>
      <c r="E25">
        <f t="shared" si="6"/>
        <v>0</v>
      </c>
      <c r="F25">
        <f t="shared" si="7"/>
        <v>0</v>
      </c>
      <c r="G25">
        <f t="shared" si="8"/>
        <v>0</v>
      </c>
      <c r="H25">
        <f t="shared" si="8"/>
        <v>0</v>
      </c>
      <c r="I25">
        <f t="shared" si="8"/>
        <v>0</v>
      </c>
      <c r="J25">
        <f t="shared" si="8"/>
        <v>0</v>
      </c>
    </row>
    <row r="26" spans="1:16" ht="13" x14ac:dyDescent="0.3">
      <c r="A26">
        <v>22</v>
      </c>
      <c r="B26">
        <f t="shared" si="3"/>
        <v>0</v>
      </c>
      <c r="C26">
        <f t="shared" si="4"/>
        <v>0</v>
      </c>
      <c r="D26">
        <f t="shared" si="5"/>
        <v>0</v>
      </c>
      <c r="E26">
        <f t="shared" si="6"/>
        <v>0</v>
      </c>
      <c r="F26">
        <f t="shared" si="7"/>
        <v>0</v>
      </c>
      <c r="G26">
        <f t="shared" si="8"/>
        <v>0</v>
      </c>
      <c r="H26">
        <f t="shared" si="8"/>
        <v>0</v>
      </c>
      <c r="I26">
        <f t="shared" si="8"/>
        <v>0</v>
      </c>
      <c r="J26">
        <f t="shared" si="8"/>
        <v>0</v>
      </c>
      <c r="O26" s="2"/>
    </row>
    <row r="27" spans="1:16" ht="13" x14ac:dyDescent="0.3">
      <c r="A27">
        <v>27</v>
      </c>
      <c r="B27">
        <f t="shared" si="3"/>
        <v>0</v>
      </c>
      <c r="C27">
        <f t="shared" si="4"/>
        <v>0</v>
      </c>
      <c r="D27">
        <f t="shared" si="5"/>
        <v>0</v>
      </c>
      <c r="E27">
        <f t="shared" si="6"/>
        <v>0</v>
      </c>
      <c r="F27">
        <f t="shared" si="7"/>
        <v>0</v>
      </c>
      <c r="G27">
        <f t="shared" si="8"/>
        <v>0</v>
      </c>
      <c r="H27">
        <f t="shared" si="8"/>
        <v>0</v>
      </c>
      <c r="I27">
        <f t="shared" si="8"/>
        <v>0</v>
      </c>
      <c r="J27">
        <f t="shared" si="8"/>
        <v>0</v>
      </c>
      <c r="M27" s="114"/>
      <c r="O27" s="2"/>
      <c r="P27" s="45"/>
    </row>
    <row r="28" spans="1:16" x14ac:dyDescent="0.25">
      <c r="A28">
        <v>33</v>
      </c>
      <c r="B28">
        <f t="shared" si="3"/>
        <v>0</v>
      </c>
      <c r="C28">
        <f t="shared" si="4"/>
        <v>0</v>
      </c>
      <c r="D28">
        <f t="shared" si="5"/>
        <v>0</v>
      </c>
      <c r="E28">
        <f t="shared" si="6"/>
        <v>0</v>
      </c>
      <c r="F28">
        <f t="shared" si="7"/>
        <v>0</v>
      </c>
      <c r="G28">
        <f t="shared" si="8"/>
        <v>0</v>
      </c>
      <c r="H28">
        <f t="shared" si="8"/>
        <v>0</v>
      </c>
      <c r="I28">
        <f t="shared" si="8"/>
        <v>0</v>
      </c>
      <c r="J28">
        <f t="shared" si="8"/>
        <v>0</v>
      </c>
    </row>
    <row r="29" spans="1:16" x14ac:dyDescent="0.25">
      <c r="A29">
        <v>39</v>
      </c>
      <c r="B29">
        <f t="shared" si="3"/>
        <v>0</v>
      </c>
      <c r="C29">
        <f t="shared" si="4"/>
        <v>0</v>
      </c>
      <c r="D29">
        <f t="shared" si="5"/>
        <v>0</v>
      </c>
      <c r="E29">
        <f t="shared" si="6"/>
        <v>0</v>
      </c>
      <c r="F29">
        <f t="shared" si="7"/>
        <v>0</v>
      </c>
      <c r="G29">
        <f t="shared" si="8"/>
        <v>0</v>
      </c>
      <c r="H29">
        <f t="shared" si="8"/>
        <v>0</v>
      </c>
      <c r="I29">
        <f t="shared" si="8"/>
        <v>0</v>
      </c>
      <c r="J29">
        <f t="shared" si="8"/>
        <v>0</v>
      </c>
    </row>
    <row r="30" spans="1:16" ht="13" x14ac:dyDescent="0.3">
      <c r="A30">
        <v>47</v>
      </c>
      <c r="B30">
        <f t="shared" si="3"/>
        <v>0</v>
      </c>
      <c r="C30">
        <f t="shared" si="4"/>
        <v>0</v>
      </c>
      <c r="D30">
        <f t="shared" si="5"/>
        <v>0</v>
      </c>
      <c r="E30">
        <f t="shared" si="6"/>
        <v>0</v>
      </c>
      <c r="F30">
        <f t="shared" si="7"/>
        <v>0</v>
      </c>
      <c r="G30">
        <f t="shared" si="8"/>
        <v>0</v>
      </c>
      <c r="H30">
        <f t="shared" si="8"/>
        <v>0</v>
      </c>
      <c r="I30">
        <f t="shared" si="8"/>
        <v>0</v>
      </c>
      <c r="J30">
        <f t="shared" si="8"/>
        <v>0</v>
      </c>
      <c r="M30" s="3" t="s">
        <v>171</v>
      </c>
      <c r="N30" t="str">
        <f>O7/1000&amp;" kΩ"</f>
        <v>12.4 kΩ</v>
      </c>
      <c r="O30">
        <f>O7/1000</f>
        <v>12.4</v>
      </c>
      <c r="P30" s="45" t="s">
        <v>242</v>
      </c>
    </row>
    <row r="31" spans="1:16" x14ac:dyDescent="0.25">
      <c r="A31">
        <v>56</v>
      </c>
      <c r="B31">
        <f t="shared" si="3"/>
        <v>0</v>
      </c>
      <c r="C31">
        <f t="shared" si="4"/>
        <v>0</v>
      </c>
      <c r="D31">
        <f t="shared" si="5"/>
        <v>0</v>
      </c>
      <c r="E31">
        <f t="shared" si="6"/>
        <v>0</v>
      </c>
      <c r="F31">
        <f t="shared" si="7"/>
        <v>0</v>
      </c>
      <c r="G31">
        <f t="shared" si="8"/>
        <v>0</v>
      </c>
      <c r="H31">
        <f t="shared" si="8"/>
        <v>0</v>
      </c>
      <c r="I31">
        <f t="shared" si="8"/>
        <v>0</v>
      </c>
      <c r="J31">
        <f t="shared" si="8"/>
        <v>0</v>
      </c>
      <c r="M31" s="3" t="s">
        <v>169</v>
      </c>
      <c r="N31" t="str">
        <f>C4*1000000000&amp;" nF"</f>
        <v>5.6 nF</v>
      </c>
      <c r="O31">
        <f>C4*1000000000</f>
        <v>5.6</v>
      </c>
      <c r="P31" s="114" t="s">
        <v>141</v>
      </c>
    </row>
    <row r="32" spans="1:16" x14ac:dyDescent="0.25">
      <c r="A32">
        <v>68</v>
      </c>
      <c r="B32">
        <f t="shared" si="3"/>
        <v>0</v>
      </c>
      <c r="C32">
        <f t="shared" si="4"/>
        <v>0</v>
      </c>
      <c r="D32">
        <f t="shared" si="5"/>
        <v>0</v>
      </c>
      <c r="E32">
        <f t="shared" si="6"/>
        <v>0</v>
      </c>
      <c r="F32">
        <f t="shared" si="7"/>
        <v>0</v>
      </c>
      <c r="G32">
        <f t="shared" si="8"/>
        <v>0</v>
      </c>
      <c r="H32">
        <f t="shared" si="8"/>
        <v>0</v>
      </c>
      <c r="I32">
        <f t="shared" si="8"/>
        <v>0</v>
      </c>
      <c r="J32">
        <f t="shared" si="8"/>
        <v>82</v>
      </c>
      <c r="M32" s="3" t="s">
        <v>170</v>
      </c>
      <c r="N32" t="str">
        <f>D4*1000000000000&amp;" pF"</f>
        <v>120 pF</v>
      </c>
      <c r="O32">
        <f>D4*1000000000000</f>
        <v>120</v>
      </c>
      <c r="P32" s="114" t="s">
        <v>30</v>
      </c>
    </row>
    <row r="33" spans="1:16" ht="13" x14ac:dyDescent="0.3">
      <c r="A33">
        <v>82</v>
      </c>
      <c r="B33">
        <f t="shared" si="3"/>
        <v>0</v>
      </c>
      <c r="C33">
        <f t="shared" si="4"/>
        <v>0</v>
      </c>
      <c r="D33">
        <f t="shared" si="5"/>
        <v>0</v>
      </c>
      <c r="E33">
        <f t="shared" si="6"/>
        <v>0</v>
      </c>
      <c r="F33">
        <f t="shared" si="7"/>
        <v>0</v>
      </c>
      <c r="G33">
        <f t="shared" si="8"/>
        <v>0</v>
      </c>
      <c r="H33">
        <f t="shared" si="8"/>
        <v>0</v>
      </c>
      <c r="I33">
        <f t="shared" si="8"/>
        <v>0</v>
      </c>
      <c r="J33">
        <f t="shared" si="8"/>
        <v>0</v>
      </c>
      <c r="M33" s="3"/>
      <c r="P33" s="45"/>
    </row>
    <row r="34" spans="1:16" ht="13" x14ac:dyDescent="0.3">
      <c r="A34">
        <f>A22*10</f>
        <v>100</v>
      </c>
      <c r="B34">
        <f t="shared" si="3"/>
        <v>0</v>
      </c>
      <c r="C34">
        <f t="shared" si="4"/>
        <v>0</v>
      </c>
      <c r="D34">
        <f t="shared" si="5"/>
        <v>120</v>
      </c>
      <c r="E34">
        <f t="shared" si="6"/>
        <v>0</v>
      </c>
      <c r="F34">
        <f t="shared" si="7"/>
        <v>0</v>
      </c>
      <c r="G34">
        <f t="shared" si="8"/>
        <v>0</v>
      </c>
      <c r="H34">
        <f t="shared" si="8"/>
        <v>0</v>
      </c>
      <c r="I34">
        <f t="shared" si="8"/>
        <v>0</v>
      </c>
      <c r="J34">
        <f t="shared" si="8"/>
        <v>0</v>
      </c>
      <c r="M34" s="114" t="s">
        <v>731</v>
      </c>
      <c r="N34" t="str">
        <f>O8/1000&amp;" kΩ"</f>
        <v>16.5 kΩ</v>
      </c>
      <c r="O34">
        <f>O8/1000</f>
        <v>16.5</v>
      </c>
      <c r="P34" s="45" t="s">
        <v>242</v>
      </c>
    </row>
    <row r="35" spans="1:16" x14ac:dyDescent="0.25">
      <c r="A35">
        <f t="shared" ref="A35:A98" si="11">A23*10</f>
        <v>120</v>
      </c>
      <c r="B35">
        <f t="shared" si="3"/>
        <v>0</v>
      </c>
      <c r="C35">
        <f t="shared" si="4"/>
        <v>0</v>
      </c>
      <c r="D35">
        <f t="shared" si="5"/>
        <v>0</v>
      </c>
      <c r="E35">
        <f t="shared" si="6"/>
        <v>0</v>
      </c>
      <c r="F35">
        <f t="shared" si="7"/>
        <v>0</v>
      </c>
      <c r="G35">
        <f t="shared" si="8"/>
        <v>0</v>
      </c>
      <c r="H35">
        <f t="shared" si="8"/>
        <v>0</v>
      </c>
      <c r="I35">
        <f t="shared" si="8"/>
        <v>0</v>
      </c>
      <c r="J35">
        <f t="shared" si="8"/>
        <v>0</v>
      </c>
      <c r="M35" s="114" t="s">
        <v>732</v>
      </c>
      <c r="N35" t="str">
        <f>I4*1000000000&amp;" nF"</f>
        <v>1.5 nF</v>
      </c>
      <c r="O35">
        <f>I4*1000000000</f>
        <v>1.5</v>
      </c>
      <c r="P35" s="114" t="s">
        <v>141</v>
      </c>
    </row>
    <row r="36" spans="1:16" x14ac:dyDescent="0.25">
      <c r="A36">
        <f t="shared" si="11"/>
        <v>150</v>
      </c>
      <c r="B36">
        <f t="shared" si="3"/>
        <v>0</v>
      </c>
      <c r="C36">
        <f t="shared" si="4"/>
        <v>0</v>
      </c>
      <c r="D36">
        <f t="shared" si="5"/>
        <v>0</v>
      </c>
      <c r="E36">
        <f t="shared" si="6"/>
        <v>0</v>
      </c>
      <c r="F36">
        <f t="shared" si="7"/>
        <v>0</v>
      </c>
      <c r="G36">
        <f t="shared" si="8"/>
        <v>0</v>
      </c>
      <c r="H36">
        <f t="shared" si="8"/>
        <v>0</v>
      </c>
      <c r="I36">
        <f t="shared" si="8"/>
        <v>0</v>
      </c>
      <c r="J36">
        <f t="shared" si="8"/>
        <v>0</v>
      </c>
      <c r="M36" s="114" t="s">
        <v>733</v>
      </c>
      <c r="N36" t="str">
        <f>J4*1000000000000&amp;" pF"</f>
        <v>82 pF</v>
      </c>
      <c r="O36">
        <f>J4*1000000000000</f>
        <v>82</v>
      </c>
      <c r="P36" s="114" t="s">
        <v>30</v>
      </c>
    </row>
    <row r="37" spans="1:16" x14ac:dyDescent="0.25">
      <c r="A37">
        <f t="shared" si="11"/>
        <v>180</v>
      </c>
      <c r="B37">
        <f t="shared" si="3"/>
        <v>0</v>
      </c>
      <c r="C37">
        <f t="shared" si="4"/>
        <v>0</v>
      </c>
      <c r="D37">
        <f t="shared" si="5"/>
        <v>0</v>
      </c>
      <c r="E37">
        <f t="shared" si="6"/>
        <v>0</v>
      </c>
      <c r="F37">
        <f t="shared" si="7"/>
        <v>0</v>
      </c>
      <c r="G37">
        <f t="shared" si="8"/>
        <v>0</v>
      </c>
      <c r="H37">
        <f t="shared" si="8"/>
        <v>0</v>
      </c>
      <c r="I37">
        <f t="shared" si="8"/>
        <v>0</v>
      </c>
      <c r="J37">
        <f t="shared" si="8"/>
        <v>0</v>
      </c>
    </row>
    <row r="38" spans="1:16" x14ac:dyDescent="0.25">
      <c r="A38">
        <f t="shared" si="11"/>
        <v>220</v>
      </c>
      <c r="B38">
        <f t="shared" si="3"/>
        <v>0</v>
      </c>
      <c r="C38">
        <f t="shared" si="4"/>
        <v>0</v>
      </c>
      <c r="D38">
        <f t="shared" si="5"/>
        <v>0</v>
      </c>
      <c r="E38">
        <f t="shared" si="6"/>
        <v>0</v>
      </c>
      <c r="F38">
        <f t="shared" si="7"/>
        <v>0</v>
      </c>
      <c r="G38">
        <f t="shared" si="8"/>
        <v>0</v>
      </c>
      <c r="H38">
        <f t="shared" si="8"/>
        <v>0</v>
      </c>
      <c r="I38">
        <f t="shared" si="8"/>
        <v>0</v>
      </c>
      <c r="J38">
        <f t="shared" si="8"/>
        <v>0</v>
      </c>
    </row>
    <row r="39" spans="1:16" x14ac:dyDescent="0.25">
      <c r="A39">
        <f t="shared" si="11"/>
        <v>270</v>
      </c>
      <c r="B39">
        <f t="shared" si="3"/>
        <v>0</v>
      </c>
      <c r="C39">
        <f t="shared" ref="C39:C70" si="12">IF(IF((C$3*10^12-$A40)*(C$3*10^12-$A39)*-1&lt;0,0,1)*IF(ABS(C$3*10^12-$A40)&gt;(C$3*10^12-$A39),$A39,$A40)=C40,0,IF((C$3*10^12-$A40)*(C$3*10^12-$A39)*-1&lt;0,0,1)*IF(ABS(C$3*10^12-$A40)&gt;(C$3*10^12-$A39),$A39,$A40))</f>
        <v>0</v>
      </c>
      <c r="D39">
        <f t="shared" si="5"/>
        <v>0</v>
      </c>
      <c r="E39">
        <f t="shared" si="6"/>
        <v>0</v>
      </c>
      <c r="F39">
        <f t="shared" si="7"/>
        <v>0</v>
      </c>
      <c r="G39">
        <f t="shared" si="8"/>
        <v>0</v>
      </c>
      <c r="H39">
        <f t="shared" si="8"/>
        <v>0</v>
      </c>
      <c r="I39">
        <f t="shared" si="8"/>
        <v>0</v>
      </c>
      <c r="J39">
        <f t="shared" si="8"/>
        <v>0</v>
      </c>
    </row>
    <row r="40" spans="1:16" x14ac:dyDescent="0.25">
      <c r="A40">
        <f t="shared" si="11"/>
        <v>330</v>
      </c>
      <c r="B40">
        <f t="shared" si="3"/>
        <v>0</v>
      </c>
      <c r="C40">
        <f t="shared" si="12"/>
        <v>0</v>
      </c>
      <c r="D40">
        <f t="shared" si="5"/>
        <v>0</v>
      </c>
      <c r="E40">
        <f t="shared" si="6"/>
        <v>0</v>
      </c>
      <c r="F40">
        <f t="shared" si="7"/>
        <v>0</v>
      </c>
      <c r="G40">
        <f t="shared" si="8"/>
        <v>0</v>
      </c>
      <c r="H40">
        <f t="shared" si="8"/>
        <v>0</v>
      </c>
      <c r="I40">
        <f t="shared" si="8"/>
        <v>0</v>
      </c>
      <c r="J40">
        <f t="shared" si="8"/>
        <v>0</v>
      </c>
    </row>
    <row r="41" spans="1:16" x14ac:dyDescent="0.25">
      <c r="A41">
        <f t="shared" si="11"/>
        <v>390</v>
      </c>
      <c r="B41">
        <f t="shared" si="3"/>
        <v>0</v>
      </c>
      <c r="C41">
        <f t="shared" si="12"/>
        <v>0</v>
      </c>
      <c r="D41">
        <f t="shared" si="5"/>
        <v>0</v>
      </c>
      <c r="E41">
        <f t="shared" si="6"/>
        <v>0</v>
      </c>
      <c r="F41">
        <f t="shared" si="7"/>
        <v>0</v>
      </c>
      <c r="G41">
        <f t="shared" si="8"/>
        <v>0</v>
      </c>
      <c r="H41">
        <f t="shared" si="8"/>
        <v>0</v>
      </c>
      <c r="I41">
        <f t="shared" si="8"/>
        <v>0</v>
      </c>
      <c r="J41">
        <f t="shared" si="8"/>
        <v>0</v>
      </c>
    </row>
    <row r="42" spans="1:16" x14ac:dyDescent="0.25">
      <c r="A42">
        <f t="shared" si="11"/>
        <v>470</v>
      </c>
      <c r="B42">
        <f t="shared" si="3"/>
        <v>0</v>
      </c>
      <c r="C42">
        <f t="shared" si="12"/>
        <v>0</v>
      </c>
      <c r="D42">
        <f t="shared" si="5"/>
        <v>0</v>
      </c>
      <c r="E42">
        <f t="shared" si="6"/>
        <v>0</v>
      </c>
      <c r="F42">
        <f t="shared" si="7"/>
        <v>0</v>
      </c>
      <c r="G42">
        <f t="shared" si="8"/>
        <v>0</v>
      </c>
      <c r="H42">
        <f t="shared" si="8"/>
        <v>0</v>
      </c>
      <c r="I42">
        <f t="shared" si="8"/>
        <v>0</v>
      </c>
      <c r="J42">
        <f t="shared" si="8"/>
        <v>0</v>
      </c>
    </row>
    <row r="43" spans="1:16" x14ac:dyDescent="0.25">
      <c r="A43">
        <f t="shared" si="11"/>
        <v>560</v>
      </c>
      <c r="B43">
        <f t="shared" si="3"/>
        <v>0</v>
      </c>
      <c r="C43">
        <f t="shared" si="12"/>
        <v>0</v>
      </c>
      <c r="D43">
        <f t="shared" si="5"/>
        <v>0</v>
      </c>
      <c r="E43">
        <f t="shared" si="6"/>
        <v>0</v>
      </c>
      <c r="F43">
        <f t="shared" si="7"/>
        <v>0</v>
      </c>
      <c r="G43">
        <f t="shared" si="8"/>
        <v>0</v>
      </c>
      <c r="H43">
        <f t="shared" si="8"/>
        <v>0</v>
      </c>
      <c r="I43">
        <f t="shared" si="8"/>
        <v>0</v>
      </c>
      <c r="J43">
        <f t="shared" si="8"/>
        <v>0</v>
      </c>
    </row>
    <row r="44" spans="1:16" x14ac:dyDescent="0.25">
      <c r="A44">
        <f t="shared" si="11"/>
        <v>680</v>
      </c>
      <c r="B44">
        <f t="shared" si="3"/>
        <v>0</v>
      </c>
      <c r="C44">
        <f t="shared" si="12"/>
        <v>0</v>
      </c>
      <c r="D44">
        <f t="shared" si="5"/>
        <v>0</v>
      </c>
      <c r="E44">
        <f t="shared" si="6"/>
        <v>0</v>
      </c>
      <c r="F44">
        <f t="shared" si="7"/>
        <v>0</v>
      </c>
      <c r="G44">
        <f t="shared" si="8"/>
        <v>0</v>
      </c>
      <c r="H44">
        <f t="shared" si="8"/>
        <v>0</v>
      </c>
      <c r="I44">
        <f t="shared" si="8"/>
        <v>0</v>
      </c>
      <c r="J44">
        <f t="shared" si="8"/>
        <v>0</v>
      </c>
    </row>
    <row r="45" spans="1:16" x14ac:dyDescent="0.25">
      <c r="A45">
        <f>A33*10</f>
        <v>820</v>
      </c>
      <c r="B45">
        <f t="shared" si="3"/>
        <v>0</v>
      </c>
      <c r="C45">
        <f t="shared" si="12"/>
        <v>0</v>
      </c>
      <c r="D45">
        <f t="shared" si="5"/>
        <v>0</v>
      </c>
      <c r="E45">
        <f t="shared" si="6"/>
        <v>0</v>
      </c>
      <c r="F45">
        <f t="shared" si="7"/>
        <v>0</v>
      </c>
      <c r="G45">
        <f t="shared" si="8"/>
        <v>0</v>
      </c>
      <c r="H45">
        <f t="shared" si="8"/>
        <v>0</v>
      </c>
      <c r="I45">
        <f t="shared" si="8"/>
        <v>0</v>
      </c>
      <c r="J45">
        <f t="shared" si="8"/>
        <v>0</v>
      </c>
    </row>
    <row r="46" spans="1:16" x14ac:dyDescent="0.25">
      <c r="A46">
        <f t="shared" si="11"/>
        <v>1000</v>
      </c>
      <c r="B46">
        <f t="shared" si="3"/>
        <v>0</v>
      </c>
      <c r="C46">
        <f t="shared" si="12"/>
        <v>0</v>
      </c>
      <c r="D46">
        <f t="shared" si="5"/>
        <v>0</v>
      </c>
      <c r="E46">
        <f t="shared" si="6"/>
        <v>0</v>
      </c>
      <c r="F46">
        <f t="shared" si="7"/>
        <v>0</v>
      </c>
      <c r="G46">
        <f t="shared" si="8"/>
        <v>0</v>
      </c>
      <c r="H46">
        <f t="shared" si="8"/>
        <v>0</v>
      </c>
      <c r="I46">
        <f t="shared" si="8"/>
        <v>0</v>
      </c>
      <c r="J46">
        <f t="shared" si="8"/>
        <v>0</v>
      </c>
    </row>
    <row r="47" spans="1:16" x14ac:dyDescent="0.25">
      <c r="A47">
        <f t="shared" si="11"/>
        <v>1200</v>
      </c>
      <c r="B47">
        <f t="shared" si="3"/>
        <v>0</v>
      </c>
      <c r="C47">
        <f t="shared" si="12"/>
        <v>0</v>
      </c>
      <c r="D47">
        <f t="shared" si="5"/>
        <v>0</v>
      </c>
      <c r="E47">
        <f t="shared" si="6"/>
        <v>0</v>
      </c>
      <c r="F47">
        <f t="shared" si="7"/>
        <v>0</v>
      </c>
      <c r="G47">
        <f t="shared" si="8"/>
        <v>0</v>
      </c>
      <c r="H47">
        <f t="shared" si="8"/>
        <v>0</v>
      </c>
      <c r="I47">
        <f t="shared" si="8"/>
        <v>1500</v>
      </c>
      <c r="J47">
        <f t="shared" si="8"/>
        <v>0</v>
      </c>
    </row>
    <row r="48" spans="1:16" x14ac:dyDescent="0.25">
      <c r="A48">
        <f t="shared" si="11"/>
        <v>1500</v>
      </c>
      <c r="B48">
        <f t="shared" si="3"/>
        <v>0</v>
      </c>
      <c r="C48">
        <f t="shared" si="12"/>
        <v>0</v>
      </c>
      <c r="D48">
        <f t="shared" si="5"/>
        <v>0</v>
      </c>
      <c r="E48">
        <f t="shared" si="6"/>
        <v>0</v>
      </c>
      <c r="F48">
        <f t="shared" si="7"/>
        <v>0</v>
      </c>
      <c r="G48">
        <f t="shared" si="8"/>
        <v>0</v>
      </c>
      <c r="H48">
        <f t="shared" si="8"/>
        <v>0</v>
      </c>
      <c r="I48">
        <f t="shared" si="8"/>
        <v>0</v>
      </c>
      <c r="J48">
        <f t="shared" si="8"/>
        <v>0</v>
      </c>
    </row>
    <row r="49" spans="1:10" x14ac:dyDescent="0.25">
      <c r="A49">
        <f t="shared" si="11"/>
        <v>1800</v>
      </c>
      <c r="B49">
        <f t="shared" si="3"/>
        <v>0</v>
      </c>
      <c r="C49">
        <f t="shared" si="12"/>
        <v>0</v>
      </c>
      <c r="D49">
        <f t="shared" si="5"/>
        <v>0</v>
      </c>
      <c r="E49">
        <f t="shared" si="6"/>
        <v>0</v>
      </c>
      <c r="F49">
        <f t="shared" si="7"/>
        <v>0</v>
      </c>
      <c r="G49">
        <f t="shared" si="8"/>
        <v>0</v>
      </c>
      <c r="H49">
        <f t="shared" si="8"/>
        <v>0</v>
      </c>
      <c r="I49">
        <f t="shared" si="8"/>
        <v>0</v>
      </c>
      <c r="J49">
        <f t="shared" si="8"/>
        <v>0</v>
      </c>
    </row>
    <row r="50" spans="1:10" x14ac:dyDescent="0.25">
      <c r="A50">
        <f t="shared" si="11"/>
        <v>2200</v>
      </c>
      <c r="B50">
        <f t="shared" si="3"/>
        <v>0</v>
      </c>
      <c r="C50">
        <f t="shared" si="12"/>
        <v>0</v>
      </c>
      <c r="D50">
        <f t="shared" si="5"/>
        <v>0</v>
      </c>
      <c r="E50">
        <f t="shared" si="6"/>
        <v>0</v>
      </c>
      <c r="F50">
        <f t="shared" si="7"/>
        <v>0</v>
      </c>
      <c r="G50">
        <f t="shared" si="8"/>
        <v>0</v>
      </c>
      <c r="H50">
        <f t="shared" si="8"/>
        <v>0</v>
      </c>
      <c r="I50">
        <f t="shared" si="8"/>
        <v>0</v>
      </c>
      <c r="J50">
        <f t="shared" si="8"/>
        <v>0</v>
      </c>
    </row>
    <row r="51" spans="1:10" x14ac:dyDescent="0.25">
      <c r="A51">
        <f t="shared" si="11"/>
        <v>2700</v>
      </c>
      <c r="B51">
        <f t="shared" si="3"/>
        <v>0</v>
      </c>
      <c r="C51">
        <f t="shared" si="12"/>
        <v>0</v>
      </c>
      <c r="D51">
        <f t="shared" si="5"/>
        <v>0</v>
      </c>
      <c r="E51">
        <f t="shared" si="6"/>
        <v>0</v>
      </c>
      <c r="F51">
        <f t="shared" si="7"/>
        <v>0</v>
      </c>
      <c r="G51">
        <f t="shared" si="8"/>
        <v>0</v>
      </c>
      <c r="H51">
        <f t="shared" si="8"/>
        <v>0</v>
      </c>
      <c r="I51">
        <f t="shared" si="8"/>
        <v>0</v>
      </c>
      <c r="J51">
        <f t="shared" si="8"/>
        <v>0</v>
      </c>
    </row>
    <row r="52" spans="1:10" x14ac:dyDescent="0.25">
      <c r="A52">
        <f t="shared" si="11"/>
        <v>3300</v>
      </c>
      <c r="B52">
        <f t="shared" si="3"/>
        <v>0</v>
      </c>
      <c r="C52">
        <f t="shared" si="12"/>
        <v>0</v>
      </c>
      <c r="D52">
        <f t="shared" si="5"/>
        <v>0</v>
      </c>
      <c r="E52">
        <f t="shared" si="6"/>
        <v>0</v>
      </c>
      <c r="F52">
        <f t="shared" si="7"/>
        <v>0</v>
      </c>
      <c r="G52">
        <f t="shared" si="8"/>
        <v>0</v>
      </c>
      <c r="H52">
        <f t="shared" si="8"/>
        <v>0</v>
      </c>
      <c r="I52">
        <f t="shared" si="8"/>
        <v>0</v>
      </c>
      <c r="J52">
        <f t="shared" si="8"/>
        <v>0</v>
      </c>
    </row>
    <row r="53" spans="1:10" x14ac:dyDescent="0.25">
      <c r="A53">
        <f t="shared" si="11"/>
        <v>3900</v>
      </c>
      <c r="B53">
        <f t="shared" si="3"/>
        <v>0</v>
      </c>
      <c r="C53">
        <f t="shared" si="12"/>
        <v>0</v>
      </c>
      <c r="D53">
        <f t="shared" si="5"/>
        <v>0</v>
      </c>
      <c r="E53">
        <f t="shared" si="6"/>
        <v>0</v>
      </c>
      <c r="F53">
        <f t="shared" si="7"/>
        <v>0</v>
      </c>
      <c r="G53">
        <f t="shared" si="8"/>
        <v>0</v>
      </c>
      <c r="H53">
        <f t="shared" si="8"/>
        <v>0</v>
      </c>
      <c r="I53">
        <f t="shared" si="8"/>
        <v>0</v>
      </c>
      <c r="J53">
        <f t="shared" si="8"/>
        <v>0</v>
      </c>
    </row>
    <row r="54" spans="1:10" x14ac:dyDescent="0.25">
      <c r="A54">
        <f t="shared" si="11"/>
        <v>4700</v>
      </c>
      <c r="B54">
        <f t="shared" si="3"/>
        <v>0</v>
      </c>
      <c r="C54">
        <f t="shared" si="12"/>
        <v>0</v>
      </c>
      <c r="D54">
        <f t="shared" si="5"/>
        <v>0</v>
      </c>
      <c r="E54">
        <f t="shared" si="6"/>
        <v>0</v>
      </c>
      <c r="F54">
        <f t="shared" si="7"/>
        <v>0</v>
      </c>
      <c r="G54">
        <f t="shared" si="8"/>
        <v>0</v>
      </c>
      <c r="H54">
        <f t="shared" si="8"/>
        <v>0</v>
      </c>
      <c r="I54">
        <f t="shared" si="8"/>
        <v>0</v>
      </c>
      <c r="J54">
        <f t="shared" si="8"/>
        <v>0</v>
      </c>
    </row>
    <row r="55" spans="1:10" x14ac:dyDescent="0.25">
      <c r="A55">
        <f t="shared" si="11"/>
        <v>5600</v>
      </c>
      <c r="B55">
        <f t="shared" si="3"/>
        <v>0</v>
      </c>
      <c r="C55">
        <f t="shared" si="12"/>
        <v>5600</v>
      </c>
      <c r="D55">
        <f t="shared" si="5"/>
        <v>0</v>
      </c>
      <c r="E55">
        <f t="shared" si="6"/>
        <v>0</v>
      </c>
      <c r="F55">
        <f t="shared" si="7"/>
        <v>0</v>
      </c>
      <c r="G55">
        <f t="shared" si="8"/>
        <v>0</v>
      </c>
      <c r="H55">
        <f t="shared" si="8"/>
        <v>0</v>
      </c>
      <c r="I55">
        <f t="shared" si="8"/>
        <v>0</v>
      </c>
      <c r="J55">
        <f t="shared" si="8"/>
        <v>0</v>
      </c>
    </row>
    <row r="56" spans="1:10" x14ac:dyDescent="0.25">
      <c r="A56">
        <f t="shared" si="11"/>
        <v>6800</v>
      </c>
      <c r="B56">
        <f t="shared" si="3"/>
        <v>0</v>
      </c>
      <c r="C56">
        <f t="shared" si="12"/>
        <v>0</v>
      </c>
      <c r="D56">
        <f t="shared" si="5"/>
        <v>0</v>
      </c>
      <c r="E56">
        <f t="shared" si="6"/>
        <v>0</v>
      </c>
      <c r="F56">
        <f t="shared" si="7"/>
        <v>0</v>
      </c>
      <c r="G56">
        <f t="shared" si="8"/>
        <v>0</v>
      </c>
      <c r="H56">
        <f t="shared" si="8"/>
        <v>0</v>
      </c>
      <c r="I56">
        <f t="shared" si="8"/>
        <v>0</v>
      </c>
      <c r="J56">
        <f t="shared" si="8"/>
        <v>0</v>
      </c>
    </row>
    <row r="57" spans="1:10" x14ac:dyDescent="0.25">
      <c r="A57">
        <f t="shared" si="11"/>
        <v>8200</v>
      </c>
      <c r="B57">
        <f t="shared" si="3"/>
        <v>0</v>
      </c>
      <c r="C57">
        <f t="shared" si="12"/>
        <v>0</v>
      </c>
      <c r="D57">
        <f t="shared" si="5"/>
        <v>0</v>
      </c>
      <c r="E57">
        <f t="shared" si="6"/>
        <v>0</v>
      </c>
      <c r="F57">
        <f t="shared" si="7"/>
        <v>0</v>
      </c>
      <c r="G57">
        <f t="shared" si="8"/>
        <v>0</v>
      </c>
      <c r="H57">
        <f t="shared" si="8"/>
        <v>10000</v>
      </c>
      <c r="I57">
        <f t="shared" si="8"/>
        <v>0</v>
      </c>
      <c r="J57">
        <f t="shared" si="8"/>
        <v>0</v>
      </c>
    </row>
    <row r="58" spans="1:10" x14ac:dyDescent="0.25">
      <c r="A58">
        <f t="shared" si="11"/>
        <v>10000</v>
      </c>
      <c r="B58">
        <f t="shared" si="3"/>
        <v>0</v>
      </c>
      <c r="C58">
        <f t="shared" si="12"/>
        <v>0</v>
      </c>
      <c r="D58">
        <f t="shared" si="5"/>
        <v>0</v>
      </c>
      <c r="E58">
        <f t="shared" si="6"/>
        <v>0</v>
      </c>
      <c r="F58">
        <f t="shared" si="7"/>
        <v>0</v>
      </c>
      <c r="G58">
        <f t="shared" si="8"/>
        <v>0</v>
      </c>
      <c r="H58">
        <f t="shared" si="8"/>
        <v>0</v>
      </c>
      <c r="I58">
        <f t="shared" si="8"/>
        <v>0</v>
      </c>
      <c r="J58">
        <f t="shared" si="8"/>
        <v>0</v>
      </c>
    </row>
    <row r="59" spans="1:10" x14ac:dyDescent="0.25">
      <c r="A59">
        <f t="shared" si="11"/>
        <v>12000</v>
      </c>
      <c r="B59">
        <f t="shared" si="3"/>
        <v>0</v>
      </c>
      <c r="C59">
        <f t="shared" si="12"/>
        <v>0</v>
      </c>
      <c r="D59">
        <f t="shared" si="5"/>
        <v>0</v>
      </c>
      <c r="E59">
        <f t="shared" si="6"/>
        <v>0</v>
      </c>
      <c r="F59">
        <f t="shared" si="7"/>
        <v>0</v>
      </c>
      <c r="G59">
        <f t="shared" si="8"/>
        <v>0</v>
      </c>
      <c r="H59">
        <f t="shared" si="8"/>
        <v>0</v>
      </c>
      <c r="I59">
        <f t="shared" si="8"/>
        <v>0</v>
      </c>
      <c r="J59">
        <f t="shared" si="8"/>
        <v>0</v>
      </c>
    </row>
    <row r="60" spans="1:10" x14ac:dyDescent="0.25">
      <c r="A60">
        <f t="shared" si="11"/>
        <v>15000</v>
      </c>
      <c r="B60">
        <f t="shared" si="3"/>
        <v>0</v>
      </c>
      <c r="C60">
        <f t="shared" si="12"/>
        <v>0</v>
      </c>
      <c r="D60">
        <f t="shared" si="5"/>
        <v>0</v>
      </c>
      <c r="E60">
        <f t="shared" si="6"/>
        <v>0</v>
      </c>
      <c r="F60">
        <f t="shared" si="7"/>
        <v>0</v>
      </c>
      <c r="G60">
        <f t="shared" si="8"/>
        <v>0</v>
      </c>
      <c r="H60">
        <f t="shared" si="8"/>
        <v>0</v>
      </c>
      <c r="I60">
        <f t="shared" si="8"/>
        <v>0</v>
      </c>
      <c r="J60">
        <f t="shared" si="8"/>
        <v>0</v>
      </c>
    </row>
    <row r="61" spans="1:10" x14ac:dyDescent="0.25">
      <c r="A61">
        <f t="shared" si="11"/>
        <v>18000</v>
      </c>
      <c r="B61">
        <f t="shared" si="3"/>
        <v>0</v>
      </c>
      <c r="C61">
        <f t="shared" si="12"/>
        <v>0</v>
      </c>
      <c r="D61">
        <f t="shared" si="5"/>
        <v>0</v>
      </c>
      <c r="E61">
        <f t="shared" si="6"/>
        <v>0</v>
      </c>
      <c r="F61">
        <f t="shared" si="7"/>
        <v>0</v>
      </c>
      <c r="G61">
        <f t="shared" si="8"/>
        <v>0</v>
      </c>
      <c r="H61">
        <f t="shared" si="8"/>
        <v>0</v>
      </c>
      <c r="I61">
        <f t="shared" si="8"/>
        <v>0</v>
      </c>
      <c r="J61">
        <f t="shared" si="8"/>
        <v>0</v>
      </c>
    </row>
    <row r="62" spans="1:10" x14ac:dyDescent="0.25">
      <c r="A62">
        <f t="shared" si="11"/>
        <v>22000</v>
      </c>
      <c r="B62">
        <f t="shared" si="3"/>
        <v>0</v>
      </c>
      <c r="C62">
        <f t="shared" si="12"/>
        <v>0</v>
      </c>
      <c r="D62">
        <f t="shared" si="5"/>
        <v>0</v>
      </c>
      <c r="E62">
        <f t="shared" si="6"/>
        <v>0</v>
      </c>
      <c r="F62">
        <f t="shared" si="7"/>
        <v>0</v>
      </c>
      <c r="G62">
        <f t="shared" si="8"/>
        <v>0</v>
      </c>
      <c r="H62">
        <f t="shared" si="8"/>
        <v>0</v>
      </c>
      <c r="I62">
        <f t="shared" si="8"/>
        <v>0</v>
      </c>
      <c r="J62">
        <f t="shared" si="8"/>
        <v>0</v>
      </c>
    </row>
    <row r="63" spans="1:10" x14ac:dyDescent="0.25">
      <c r="A63">
        <f t="shared" si="11"/>
        <v>27000</v>
      </c>
      <c r="B63">
        <f t="shared" si="3"/>
        <v>0</v>
      </c>
      <c r="C63">
        <f t="shared" si="12"/>
        <v>0</v>
      </c>
      <c r="D63">
        <f t="shared" si="5"/>
        <v>0</v>
      </c>
      <c r="E63">
        <f t="shared" si="6"/>
        <v>0</v>
      </c>
      <c r="F63">
        <f t="shared" si="7"/>
        <v>0</v>
      </c>
      <c r="G63">
        <f t="shared" si="8"/>
        <v>0</v>
      </c>
      <c r="H63">
        <f t="shared" si="8"/>
        <v>0</v>
      </c>
      <c r="I63">
        <f t="shared" si="8"/>
        <v>0</v>
      </c>
      <c r="J63">
        <f t="shared" si="8"/>
        <v>0</v>
      </c>
    </row>
    <row r="64" spans="1:10" x14ac:dyDescent="0.25">
      <c r="A64">
        <f t="shared" si="11"/>
        <v>33000</v>
      </c>
      <c r="B64">
        <f t="shared" si="3"/>
        <v>0</v>
      </c>
      <c r="C64">
        <f t="shared" si="12"/>
        <v>0</v>
      </c>
      <c r="D64">
        <f t="shared" si="5"/>
        <v>0</v>
      </c>
      <c r="E64">
        <f t="shared" si="6"/>
        <v>0</v>
      </c>
      <c r="F64">
        <f t="shared" si="7"/>
        <v>0</v>
      </c>
      <c r="G64">
        <f t="shared" si="8"/>
        <v>0</v>
      </c>
      <c r="H64">
        <f t="shared" si="8"/>
        <v>0</v>
      </c>
      <c r="I64">
        <f t="shared" si="8"/>
        <v>0</v>
      </c>
      <c r="J64">
        <f t="shared" si="8"/>
        <v>0</v>
      </c>
    </row>
    <row r="65" spans="1:10" x14ac:dyDescent="0.25">
      <c r="A65">
        <f t="shared" si="11"/>
        <v>39000</v>
      </c>
      <c r="B65">
        <f t="shared" si="3"/>
        <v>0</v>
      </c>
      <c r="C65">
        <f t="shared" si="12"/>
        <v>0</v>
      </c>
      <c r="D65">
        <f t="shared" si="5"/>
        <v>0</v>
      </c>
      <c r="E65">
        <f t="shared" si="6"/>
        <v>0</v>
      </c>
      <c r="F65">
        <f t="shared" si="7"/>
        <v>0</v>
      </c>
      <c r="G65">
        <f t="shared" si="8"/>
        <v>0</v>
      </c>
      <c r="H65">
        <f t="shared" si="8"/>
        <v>0</v>
      </c>
      <c r="I65">
        <f t="shared" si="8"/>
        <v>0</v>
      </c>
      <c r="J65">
        <f t="shared" si="8"/>
        <v>0</v>
      </c>
    </row>
    <row r="66" spans="1:10" x14ac:dyDescent="0.25">
      <c r="A66">
        <f t="shared" si="11"/>
        <v>47000</v>
      </c>
      <c r="B66">
        <f t="shared" si="3"/>
        <v>0</v>
      </c>
      <c r="C66">
        <f t="shared" si="12"/>
        <v>0</v>
      </c>
      <c r="D66">
        <f t="shared" si="5"/>
        <v>0</v>
      </c>
      <c r="E66">
        <f t="shared" si="6"/>
        <v>0</v>
      </c>
      <c r="F66">
        <f t="shared" si="7"/>
        <v>0</v>
      </c>
      <c r="G66">
        <f t="shared" si="8"/>
        <v>0</v>
      </c>
      <c r="H66">
        <f t="shared" si="8"/>
        <v>0</v>
      </c>
      <c r="I66">
        <f t="shared" si="8"/>
        <v>0</v>
      </c>
      <c r="J66">
        <f t="shared" si="8"/>
        <v>0</v>
      </c>
    </row>
    <row r="67" spans="1:10" x14ac:dyDescent="0.25">
      <c r="A67">
        <f t="shared" si="11"/>
        <v>56000</v>
      </c>
      <c r="B67">
        <f t="shared" si="3"/>
        <v>0</v>
      </c>
      <c r="C67">
        <f t="shared" si="12"/>
        <v>0</v>
      </c>
      <c r="D67">
        <f t="shared" si="5"/>
        <v>0</v>
      </c>
      <c r="E67">
        <f t="shared" si="6"/>
        <v>0</v>
      </c>
      <c r="F67">
        <f t="shared" si="7"/>
        <v>0</v>
      </c>
      <c r="G67">
        <f t="shared" si="8"/>
        <v>0</v>
      </c>
      <c r="H67">
        <f t="shared" si="8"/>
        <v>0</v>
      </c>
      <c r="I67">
        <f t="shared" si="8"/>
        <v>0</v>
      </c>
      <c r="J67">
        <f t="shared" si="8"/>
        <v>0</v>
      </c>
    </row>
    <row r="68" spans="1:10" x14ac:dyDescent="0.25">
      <c r="A68">
        <f t="shared" si="11"/>
        <v>68000</v>
      </c>
      <c r="B68">
        <f t="shared" si="3"/>
        <v>0</v>
      </c>
      <c r="C68">
        <f t="shared" si="12"/>
        <v>0</v>
      </c>
      <c r="D68">
        <f t="shared" si="5"/>
        <v>0</v>
      </c>
      <c r="E68">
        <f t="shared" si="6"/>
        <v>0</v>
      </c>
      <c r="F68">
        <f t="shared" si="7"/>
        <v>0</v>
      </c>
      <c r="G68">
        <f t="shared" si="8"/>
        <v>0</v>
      </c>
      <c r="H68">
        <f t="shared" si="8"/>
        <v>0</v>
      </c>
      <c r="I68">
        <f t="shared" si="8"/>
        <v>0</v>
      </c>
      <c r="J68">
        <f t="shared" si="8"/>
        <v>0</v>
      </c>
    </row>
    <row r="69" spans="1:10" x14ac:dyDescent="0.25">
      <c r="A69">
        <f t="shared" si="11"/>
        <v>82000</v>
      </c>
      <c r="B69">
        <f t="shared" si="3"/>
        <v>0</v>
      </c>
      <c r="C69">
        <f t="shared" si="12"/>
        <v>0</v>
      </c>
      <c r="D69">
        <f t="shared" si="5"/>
        <v>0</v>
      </c>
      <c r="E69">
        <f t="shared" si="6"/>
        <v>0</v>
      </c>
      <c r="F69">
        <f t="shared" si="7"/>
        <v>0</v>
      </c>
      <c r="G69">
        <f t="shared" si="8"/>
        <v>0</v>
      </c>
      <c r="H69">
        <f t="shared" si="8"/>
        <v>0</v>
      </c>
      <c r="I69">
        <f t="shared" si="8"/>
        <v>0</v>
      </c>
      <c r="J69">
        <f t="shared" ref="J69:J132" si="13">IF(IF((J$3*10^12-$A70)*(J$3*10^12-$A69)*-1&lt;0,0,1)*IF(ABS(J$3*10^12-$A70)&gt;(J$3*10^12-$A69),$A69,$A70)=J70,0,IF((J$3*10^12-$A70)*(J$3*10^12-$A69)*-1&lt;0,0,1)*IF(ABS(J$3*10^12-$A70)&gt;(J$3*10^12-$A69),$A69,$A70))</f>
        <v>0</v>
      </c>
    </row>
    <row r="70" spans="1:10" x14ac:dyDescent="0.25">
      <c r="A70">
        <f t="shared" si="11"/>
        <v>100000</v>
      </c>
      <c r="B70">
        <f t="shared" si="3"/>
        <v>100000</v>
      </c>
      <c r="C70">
        <f t="shared" si="12"/>
        <v>0</v>
      </c>
      <c r="D70">
        <f t="shared" ref="D70:I70" si="14">IF(IF((D$3*10^12-$A71)*(D$3*10^12-$A70)*-1&lt;0,0,1)*IF(ABS(D$3*10^12-$A71)&gt;(D$3*10^12-$A70),$A70,$A71)=D71,0,IF((D$3*10^12-$A71)*(D$3*10^12-$A70)*-1&lt;0,0,1)*IF(ABS(D$3*10^12-$A71)&gt;(D$3*10^12-$A70),$A70,$A71))</f>
        <v>0</v>
      </c>
      <c r="E70">
        <f t="shared" si="14"/>
        <v>0</v>
      </c>
      <c r="F70">
        <f t="shared" si="14"/>
        <v>0</v>
      </c>
      <c r="G70">
        <f t="shared" si="14"/>
        <v>0</v>
      </c>
      <c r="H70">
        <f t="shared" si="14"/>
        <v>0</v>
      </c>
      <c r="I70">
        <f t="shared" si="14"/>
        <v>0</v>
      </c>
      <c r="J70">
        <f t="shared" si="13"/>
        <v>0</v>
      </c>
    </row>
    <row r="71" spans="1:10" x14ac:dyDescent="0.25">
      <c r="A71">
        <f t="shared" si="11"/>
        <v>120000</v>
      </c>
      <c r="B71">
        <f t="shared" ref="B71:B134" si="15">IF(IF((B$3*10^12-$A72)*(B$3*10^12-$A71)*-1&lt;0,0,1)*IF(ABS(B$3*10^12-$A72)&gt;(B$3*10^12-$A71),$A71,$A72)=B72,0,IF((B$3*10^12-$A72)*(B$3*10^12-$A71)*-1&lt;0,0,1)*IF(ABS(B$3*10^12-$A72)&gt;(B$3*10^12-$A71),$A71,$A72))</f>
        <v>0</v>
      </c>
      <c r="C71">
        <f t="shared" ref="C71:E134" si="16">IF(IF((C$3*10^12-$A72)*(C$3*10^12-$A71)*-1&lt;0,0,1)*IF(ABS(C$3*10^12-$A72)&gt;(C$3*10^12-$A71),$A71,$A72)=C72,0,IF((C$3*10^12-$A72)*(C$3*10^12-$A71)*-1&lt;0,0,1)*IF(ABS(C$3*10^12-$A72)&gt;(C$3*10^12-$A71),$A71,$A72))</f>
        <v>0</v>
      </c>
      <c r="D71">
        <f t="shared" si="16"/>
        <v>0</v>
      </c>
      <c r="E71">
        <f t="shared" si="16"/>
        <v>0</v>
      </c>
      <c r="F71">
        <f t="shared" ref="F71:F102" si="17">IF(IF((F$3*10^12-$A72)*(F$3*10^12-$A71)*-1&lt;0,0,1)*IF(ABS(F$3*10^12-$A72)&gt;(F$3*10^12-$A71),$A71,$A72)=F72,0,IF((F$3*10^12-$A72)*(F$3*10^12-$A71)*-1&lt;0,0,1)*IF(ABS(F$3*10^12-$A72)&gt;(F$3*10^12-$A71),$A71,$A72))</f>
        <v>0</v>
      </c>
      <c r="G71">
        <f t="shared" ref="G71:G102" si="18">IF(IF((G$3*10^12-$A72)*(G$3*10^12-$A71)*-1&lt;0,0,1)*IF(ABS(G$3*10^12-$A72)&gt;(G$3*10^12-$A71),$A71,$A72)=G72,0,IF((G$3*10^12-$A72)*(G$3*10^12-$A71)*-1&lt;0,0,1)*IF(ABS(G$3*10^12-$A72)&gt;(G$3*10^12-$A71),$A71,$A72))</f>
        <v>0</v>
      </c>
      <c r="H71">
        <f t="shared" ref="H71:H102" si="19">IF(IF((H$3*10^12-$A72)*(H$3*10^12-$A71)*-1&lt;0,0,1)*IF(ABS(H$3*10^12-$A72)&gt;(H$3*10^12-$A71),$A71,$A72)=H72,0,IF((H$3*10^12-$A72)*(H$3*10^12-$A71)*-1&lt;0,0,1)*IF(ABS(H$3*10^12-$A72)&gt;(H$3*10^12-$A71),$A71,$A72))</f>
        <v>0</v>
      </c>
      <c r="I71">
        <f t="shared" ref="I71:I102" si="20">IF(IF((I$3*10^12-$A72)*(I$3*10^12-$A71)*-1&lt;0,0,1)*IF(ABS(I$3*10^12-$A72)&gt;(I$3*10^12-$A71),$A71,$A72)=I72,0,IF((I$3*10^12-$A72)*(I$3*10^12-$A71)*-1&lt;0,0,1)*IF(ABS(I$3*10^12-$A72)&gt;(I$3*10^12-$A71),$A71,$A72))</f>
        <v>0</v>
      </c>
      <c r="J71">
        <f t="shared" si="13"/>
        <v>0</v>
      </c>
    </row>
    <row r="72" spans="1:10" x14ac:dyDescent="0.25">
      <c r="A72">
        <f t="shared" si="11"/>
        <v>150000</v>
      </c>
      <c r="B72">
        <f t="shared" si="15"/>
        <v>0</v>
      </c>
      <c r="C72">
        <f t="shared" si="16"/>
        <v>0</v>
      </c>
      <c r="D72">
        <f t="shared" si="16"/>
        <v>0</v>
      </c>
      <c r="E72">
        <f t="shared" si="16"/>
        <v>0</v>
      </c>
      <c r="F72">
        <f t="shared" si="17"/>
        <v>0</v>
      </c>
      <c r="G72">
        <f t="shared" si="18"/>
        <v>0</v>
      </c>
      <c r="H72">
        <f t="shared" si="19"/>
        <v>0</v>
      </c>
      <c r="I72">
        <f t="shared" si="20"/>
        <v>0</v>
      </c>
      <c r="J72">
        <f t="shared" si="13"/>
        <v>0</v>
      </c>
    </row>
    <row r="73" spans="1:10" x14ac:dyDescent="0.25">
      <c r="A73">
        <f t="shared" si="11"/>
        <v>180000</v>
      </c>
      <c r="B73">
        <f t="shared" si="15"/>
        <v>0</v>
      </c>
      <c r="C73">
        <f t="shared" si="16"/>
        <v>0</v>
      </c>
      <c r="D73">
        <f t="shared" si="16"/>
        <v>0</v>
      </c>
      <c r="E73">
        <f t="shared" si="16"/>
        <v>0</v>
      </c>
      <c r="F73">
        <f t="shared" si="17"/>
        <v>0</v>
      </c>
      <c r="G73">
        <f t="shared" si="18"/>
        <v>0</v>
      </c>
      <c r="H73">
        <f t="shared" si="19"/>
        <v>0</v>
      </c>
      <c r="I73">
        <f t="shared" si="20"/>
        <v>0</v>
      </c>
      <c r="J73">
        <f t="shared" si="13"/>
        <v>0</v>
      </c>
    </row>
    <row r="74" spans="1:10" x14ac:dyDescent="0.25">
      <c r="A74">
        <f t="shared" si="11"/>
        <v>220000</v>
      </c>
      <c r="B74">
        <f t="shared" si="15"/>
        <v>0</v>
      </c>
      <c r="C74">
        <f t="shared" si="16"/>
        <v>0</v>
      </c>
      <c r="D74">
        <f t="shared" si="16"/>
        <v>0</v>
      </c>
      <c r="E74">
        <f t="shared" si="16"/>
        <v>0</v>
      </c>
      <c r="F74">
        <f t="shared" si="17"/>
        <v>0</v>
      </c>
      <c r="G74">
        <f t="shared" si="18"/>
        <v>0</v>
      </c>
      <c r="H74">
        <f t="shared" si="19"/>
        <v>0</v>
      </c>
      <c r="I74">
        <f t="shared" si="20"/>
        <v>0</v>
      </c>
      <c r="J74">
        <f t="shared" si="13"/>
        <v>0</v>
      </c>
    </row>
    <row r="75" spans="1:10" x14ac:dyDescent="0.25">
      <c r="A75">
        <f t="shared" si="11"/>
        <v>270000</v>
      </c>
      <c r="B75">
        <f t="shared" si="15"/>
        <v>0</v>
      </c>
      <c r="C75">
        <f t="shared" si="16"/>
        <v>0</v>
      </c>
      <c r="D75">
        <f t="shared" si="16"/>
        <v>0</v>
      </c>
      <c r="E75">
        <f t="shared" si="16"/>
        <v>0</v>
      </c>
      <c r="F75">
        <f t="shared" si="17"/>
        <v>0</v>
      </c>
      <c r="G75">
        <f t="shared" si="18"/>
        <v>0</v>
      </c>
      <c r="H75">
        <f t="shared" si="19"/>
        <v>0</v>
      </c>
      <c r="I75">
        <f t="shared" si="20"/>
        <v>0</v>
      </c>
      <c r="J75">
        <f t="shared" si="13"/>
        <v>0</v>
      </c>
    </row>
    <row r="76" spans="1:10" x14ac:dyDescent="0.25">
      <c r="A76">
        <f t="shared" si="11"/>
        <v>330000</v>
      </c>
      <c r="B76">
        <f t="shared" si="15"/>
        <v>0</v>
      </c>
      <c r="C76">
        <f t="shared" si="16"/>
        <v>0</v>
      </c>
      <c r="D76">
        <f t="shared" si="16"/>
        <v>0</v>
      </c>
      <c r="E76">
        <f t="shared" si="16"/>
        <v>0</v>
      </c>
      <c r="F76">
        <f t="shared" si="17"/>
        <v>0</v>
      </c>
      <c r="G76">
        <f t="shared" si="18"/>
        <v>0</v>
      </c>
      <c r="H76">
        <f t="shared" si="19"/>
        <v>0</v>
      </c>
      <c r="I76">
        <f t="shared" si="20"/>
        <v>0</v>
      </c>
      <c r="J76">
        <f t="shared" si="13"/>
        <v>0</v>
      </c>
    </row>
    <row r="77" spans="1:10" x14ac:dyDescent="0.25">
      <c r="A77">
        <f t="shared" si="11"/>
        <v>390000</v>
      </c>
      <c r="B77">
        <f t="shared" si="15"/>
        <v>0</v>
      </c>
      <c r="C77">
        <f t="shared" si="16"/>
        <v>0</v>
      </c>
      <c r="D77">
        <f t="shared" si="16"/>
        <v>0</v>
      </c>
      <c r="E77">
        <f t="shared" si="16"/>
        <v>0</v>
      </c>
      <c r="F77">
        <f t="shared" si="17"/>
        <v>0</v>
      </c>
      <c r="G77">
        <f t="shared" si="18"/>
        <v>0</v>
      </c>
      <c r="H77">
        <f t="shared" si="19"/>
        <v>0</v>
      </c>
      <c r="I77">
        <f t="shared" si="20"/>
        <v>0</v>
      </c>
      <c r="J77">
        <f t="shared" si="13"/>
        <v>0</v>
      </c>
    </row>
    <row r="78" spans="1:10" x14ac:dyDescent="0.25">
      <c r="A78">
        <f t="shared" si="11"/>
        <v>470000</v>
      </c>
      <c r="B78">
        <f t="shared" si="15"/>
        <v>0</v>
      </c>
      <c r="C78">
        <f t="shared" si="16"/>
        <v>0</v>
      </c>
      <c r="D78">
        <f t="shared" si="16"/>
        <v>0</v>
      </c>
      <c r="E78">
        <f t="shared" si="16"/>
        <v>0</v>
      </c>
      <c r="F78">
        <f t="shared" si="17"/>
        <v>0</v>
      </c>
      <c r="G78">
        <f t="shared" si="18"/>
        <v>470000</v>
      </c>
      <c r="H78">
        <f t="shared" si="19"/>
        <v>0</v>
      </c>
      <c r="I78">
        <f t="shared" si="20"/>
        <v>0</v>
      </c>
      <c r="J78">
        <f t="shared" si="13"/>
        <v>0</v>
      </c>
    </row>
    <row r="79" spans="1:10" x14ac:dyDescent="0.25">
      <c r="A79">
        <f t="shared" si="11"/>
        <v>560000</v>
      </c>
      <c r="B79">
        <f t="shared" si="15"/>
        <v>0</v>
      </c>
      <c r="C79">
        <f t="shared" si="16"/>
        <v>0</v>
      </c>
      <c r="D79">
        <f t="shared" si="16"/>
        <v>0</v>
      </c>
      <c r="E79">
        <f t="shared" si="16"/>
        <v>0</v>
      </c>
      <c r="F79">
        <f t="shared" si="17"/>
        <v>0</v>
      </c>
      <c r="G79">
        <f t="shared" si="18"/>
        <v>0</v>
      </c>
      <c r="H79">
        <f t="shared" si="19"/>
        <v>0</v>
      </c>
      <c r="I79">
        <f t="shared" si="20"/>
        <v>0</v>
      </c>
      <c r="J79">
        <f t="shared" si="13"/>
        <v>0</v>
      </c>
    </row>
    <row r="80" spans="1:10" x14ac:dyDescent="0.25">
      <c r="A80">
        <f t="shared" si="11"/>
        <v>680000</v>
      </c>
      <c r="B80">
        <f t="shared" si="15"/>
        <v>0</v>
      </c>
      <c r="C80">
        <f t="shared" si="16"/>
        <v>0</v>
      </c>
      <c r="D80">
        <f t="shared" si="16"/>
        <v>0</v>
      </c>
      <c r="E80">
        <f t="shared" si="16"/>
        <v>0</v>
      </c>
      <c r="F80">
        <f t="shared" si="17"/>
        <v>0</v>
      </c>
      <c r="G80">
        <f t="shared" si="18"/>
        <v>0</v>
      </c>
      <c r="H80">
        <f t="shared" si="19"/>
        <v>0</v>
      </c>
      <c r="I80">
        <f t="shared" si="20"/>
        <v>0</v>
      </c>
      <c r="J80">
        <f t="shared" si="13"/>
        <v>0</v>
      </c>
    </row>
    <row r="81" spans="1:10" x14ac:dyDescent="0.25">
      <c r="A81">
        <f t="shared" si="11"/>
        <v>820000</v>
      </c>
      <c r="B81">
        <f t="shared" si="15"/>
        <v>0</v>
      </c>
      <c r="C81">
        <f t="shared" si="16"/>
        <v>0</v>
      </c>
      <c r="D81">
        <f t="shared" si="16"/>
        <v>0</v>
      </c>
      <c r="E81">
        <f t="shared" si="16"/>
        <v>0</v>
      </c>
      <c r="F81">
        <f t="shared" si="17"/>
        <v>0</v>
      </c>
      <c r="G81">
        <f t="shared" si="18"/>
        <v>0</v>
      </c>
      <c r="H81">
        <f t="shared" si="19"/>
        <v>0</v>
      </c>
      <c r="I81">
        <f t="shared" si="20"/>
        <v>0</v>
      </c>
      <c r="J81">
        <f t="shared" si="13"/>
        <v>0</v>
      </c>
    </row>
    <row r="82" spans="1:10" x14ac:dyDescent="0.25">
      <c r="A82">
        <f t="shared" si="11"/>
        <v>1000000</v>
      </c>
      <c r="B82">
        <f t="shared" si="15"/>
        <v>0</v>
      </c>
      <c r="C82">
        <f t="shared" si="16"/>
        <v>0</v>
      </c>
      <c r="D82">
        <f t="shared" si="16"/>
        <v>0</v>
      </c>
      <c r="E82">
        <f t="shared" si="16"/>
        <v>0</v>
      </c>
      <c r="F82">
        <f t="shared" si="17"/>
        <v>0</v>
      </c>
      <c r="G82">
        <f t="shared" si="18"/>
        <v>0</v>
      </c>
      <c r="H82">
        <f t="shared" si="19"/>
        <v>0</v>
      </c>
      <c r="I82">
        <f t="shared" si="20"/>
        <v>0</v>
      </c>
      <c r="J82">
        <f t="shared" si="13"/>
        <v>0</v>
      </c>
    </row>
    <row r="83" spans="1:10" x14ac:dyDescent="0.25">
      <c r="A83">
        <f t="shared" si="11"/>
        <v>1200000</v>
      </c>
      <c r="B83">
        <f t="shared" si="15"/>
        <v>0</v>
      </c>
      <c r="C83">
        <f t="shared" si="16"/>
        <v>0</v>
      </c>
      <c r="D83">
        <f t="shared" si="16"/>
        <v>0</v>
      </c>
      <c r="E83">
        <f t="shared" si="16"/>
        <v>0</v>
      </c>
      <c r="F83">
        <f t="shared" si="17"/>
        <v>0</v>
      </c>
      <c r="G83">
        <f t="shared" si="18"/>
        <v>0</v>
      </c>
      <c r="H83">
        <f t="shared" si="19"/>
        <v>0</v>
      </c>
      <c r="I83">
        <f t="shared" si="20"/>
        <v>0</v>
      </c>
      <c r="J83">
        <f t="shared" si="13"/>
        <v>0</v>
      </c>
    </row>
    <row r="84" spans="1:10" x14ac:dyDescent="0.25">
      <c r="A84">
        <f t="shared" si="11"/>
        <v>1500000</v>
      </c>
      <c r="B84">
        <f t="shared" si="15"/>
        <v>0</v>
      </c>
      <c r="C84">
        <f t="shared" si="16"/>
        <v>0</v>
      </c>
      <c r="D84">
        <f t="shared" si="16"/>
        <v>0</v>
      </c>
      <c r="E84">
        <f t="shared" si="16"/>
        <v>0</v>
      </c>
      <c r="F84">
        <f t="shared" si="17"/>
        <v>0</v>
      </c>
      <c r="G84">
        <f t="shared" si="18"/>
        <v>0</v>
      </c>
      <c r="H84">
        <f t="shared" si="19"/>
        <v>0</v>
      </c>
      <c r="I84">
        <f t="shared" si="20"/>
        <v>0</v>
      </c>
      <c r="J84">
        <f t="shared" si="13"/>
        <v>0</v>
      </c>
    </row>
    <row r="85" spans="1:10" x14ac:dyDescent="0.25">
      <c r="A85">
        <f t="shared" si="11"/>
        <v>1800000</v>
      </c>
      <c r="B85">
        <f t="shared" si="15"/>
        <v>0</v>
      </c>
      <c r="C85">
        <f t="shared" si="16"/>
        <v>0</v>
      </c>
      <c r="D85">
        <f t="shared" si="16"/>
        <v>0</v>
      </c>
      <c r="E85">
        <f t="shared" si="16"/>
        <v>0</v>
      </c>
      <c r="F85">
        <f t="shared" si="17"/>
        <v>0</v>
      </c>
      <c r="G85">
        <f t="shared" si="18"/>
        <v>0</v>
      </c>
      <c r="H85">
        <f t="shared" si="19"/>
        <v>0</v>
      </c>
      <c r="I85">
        <f t="shared" si="20"/>
        <v>0</v>
      </c>
      <c r="J85">
        <f t="shared" si="13"/>
        <v>0</v>
      </c>
    </row>
    <row r="86" spans="1:10" x14ac:dyDescent="0.25">
      <c r="A86">
        <f t="shared" si="11"/>
        <v>2200000</v>
      </c>
      <c r="B86">
        <f t="shared" si="15"/>
        <v>0</v>
      </c>
      <c r="C86">
        <f t="shared" si="16"/>
        <v>0</v>
      </c>
      <c r="D86">
        <f t="shared" si="16"/>
        <v>0</v>
      </c>
      <c r="E86">
        <f t="shared" si="16"/>
        <v>0</v>
      </c>
      <c r="F86">
        <f t="shared" si="17"/>
        <v>0</v>
      </c>
      <c r="G86">
        <f t="shared" si="18"/>
        <v>0</v>
      </c>
      <c r="H86">
        <f t="shared" si="19"/>
        <v>0</v>
      </c>
      <c r="I86">
        <f t="shared" si="20"/>
        <v>0</v>
      </c>
      <c r="J86">
        <f t="shared" si="13"/>
        <v>0</v>
      </c>
    </row>
    <row r="87" spans="1:10" x14ac:dyDescent="0.25">
      <c r="A87">
        <f t="shared" si="11"/>
        <v>2700000</v>
      </c>
      <c r="B87">
        <f t="shared" si="15"/>
        <v>0</v>
      </c>
      <c r="C87">
        <f t="shared" si="16"/>
        <v>0</v>
      </c>
      <c r="D87">
        <f t="shared" si="16"/>
        <v>0</v>
      </c>
      <c r="E87">
        <f t="shared" si="16"/>
        <v>0</v>
      </c>
      <c r="F87">
        <f t="shared" si="17"/>
        <v>0</v>
      </c>
      <c r="G87">
        <f t="shared" si="18"/>
        <v>0</v>
      </c>
      <c r="H87">
        <f t="shared" si="19"/>
        <v>0</v>
      </c>
      <c r="I87">
        <f t="shared" si="20"/>
        <v>0</v>
      </c>
      <c r="J87">
        <f t="shared" si="13"/>
        <v>0</v>
      </c>
    </row>
    <row r="88" spans="1:10" x14ac:dyDescent="0.25">
      <c r="A88">
        <f t="shared" si="11"/>
        <v>3300000</v>
      </c>
      <c r="B88">
        <f t="shared" si="15"/>
        <v>0</v>
      </c>
      <c r="C88">
        <f t="shared" si="16"/>
        <v>0</v>
      </c>
      <c r="D88">
        <f t="shared" si="16"/>
        <v>0</v>
      </c>
      <c r="E88">
        <f t="shared" si="16"/>
        <v>0</v>
      </c>
      <c r="F88">
        <f t="shared" si="17"/>
        <v>0</v>
      </c>
      <c r="G88">
        <f t="shared" si="18"/>
        <v>0</v>
      </c>
      <c r="H88">
        <f t="shared" si="19"/>
        <v>0</v>
      </c>
      <c r="I88">
        <f t="shared" si="20"/>
        <v>0</v>
      </c>
      <c r="J88">
        <f t="shared" si="13"/>
        <v>0</v>
      </c>
    </row>
    <row r="89" spans="1:10" x14ac:dyDescent="0.25">
      <c r="A89">
        <f t="shared" si="11"/>
        <v>3900000</v>
      </c>
      <c r="B89">
        <f t="shared" si="15"/>
        <v>0</v>
      </c>
      <c r="C89">
        <f t="shared" si="16"/>
        <v>0</v>
      </c>
      <c r="D89">
        <f t="shared" si="16"/>
        <v>0</v>
      </c>
      <c r="E89">
        <f t="shared" si="16"/>
        <v>0</v>
      </c>
      <c r="F89">
        <f t="shared" si="17"/>
        <v>0</v>
      </c>
      <c r="G89">
        <f t="shared" si="18"/>
        <v>0</v>
      </c>
      <c r="H89">
        <f t="shared" si="19"/>
        <v>0</v>
      </c>
      <c r="I89">
        <f t="shared" si="20"/>
        <v>0</v>
      </c>
      <c r="J89">
        <f t="shared" si="13"/>
        <v>0</v>
      </c>
    </row>
    <row r="90" spans="1:10" x14ac:dyDescent="0.25">
      <c r="A90">
        <f t="shared" si="11"/>
        <v>4700000</v>
      </c>
      <c r="B90">
        <f t="shared" si="15"/>
        <v>0</v>
      </c>
      <c r="C90">
        <f t="shared" si="16"/>
        <v>0</v>
      </c>
      <c r="D90">
        <f t="shared" si="16"/>
        <v>0</v>
      </c>
      <c r="E90">
        <f t="shared" si="16"/>
        <v>0</v>
      </c>
      <c r="F90">
        <f t="shared" si="17"/>
        <v>0</v>
      </c>
      <c r="G90">
        <f t="shared" si="18"/>
        <v>0</v>
      </c>
      <c r="H90">
        <f t="shared" si="19"/>
        <v>0</v>
      </c>
      <c r="I90">
        <f t="shared" si="20"/>
        <v>0</v>
      </c>
      <c r="J90">
        <f t="shared" si="13"/>
        <v>0</v>
      </c>
    </row>
    <row r="91" spans="1:10" x14ac:dyDescent="0.25">
      <c r="A91">
        <f t="shared" si="11"/>
        <v>5600000</v>
      </c>
      <c r="B91">
        <f t="shared" si="15"/>
        <v>0</v>
      </c>
      <c r="C91">
        <f t="shared" si="16"/>
        <v>0</v>
      </c>
      <c r="D91">
        <f t="shared" si="16"/>
        <v>0</v>
      </c>
      <c r="E91">
        <f t="shared" si="16"/>
        <v>0</v>
      </c>
      <c r="F91">
        <f t="shared" si="17"/>
        <v>0</v>
      </c>
      <c r="G91">
        <f t="shared" si="18"/>
        <v>0</v>
      </c>
      <c r="H91">
        <f t="shared" si="19"/>
        <v>0</v>
      </c>
      <c r="I91">
        <f t="shared" si="20"/>
        <v>0</v>
      </c>
      <c r="J91">
        <f t="shared" si="13"/>
        <v>0</v>
      </c>
    </row>
    <row r="92" spans="1:10" x14ac:dyDescent="0.25">
      <c r="A92">
        <f t="shared" si="11"/>
        <v>6800000</v>
      </c>
      <c r="B92">
        <f t="shared" si="15"/>
        <v>0</v>
      </c>
      <c r="C92">
        <f t="shared" si="16"/>
        <v>0</v>
      </c>
      <c r="D92">
        <f t="shared" si="16"/>
        <v>0</v>
      </c>
      <c r="E92">
        <f t="shared" si="16"/>
        <v>0</v>
      </c>
      <c r="F92">
        <f t="shared" si="17"/>
        <v>0</v>
      </c>
      <c r="G92">
        <f t="shared" si="18"/>
        <v>0</v>
      </c>
      <c r="H92">
        <f t="shared" si="19"/>
        <v>0</v>
      </c>
      <c r="I92">
        <f t="shared" si="20"/>
        <v>0</v>
      </c>
      <c r="J92">
        <f t="shared" si="13"/>
        <v>0</v>
      </c>
    </row>
    <row r="93" spans="1:10" x14ac:dyDescent="0.25">
      <c r="A93">
        <f t="shared" si="11"/>
        <v>8200000</v>
      </c>
      <c r="B93">
        <f t="shared" si="15"/>
        <v>0</v>
      </c>
      <c r="C93">
        <f t="shared" si="16"/>
        <v>0</v>
      </c>
      <c r="D93">
        <f t="shared" si="16"/>
        <v>0</v>
      </c>
      <c r="E93">
        <f t="shared" si="16"/>
        <v>0</v>
      </c>
      <c r="F93">
        <f t="shared" si="17"/>
        <v>0</v>
      </c>
      <c r="G93">
        <f t="shared" si="18"/>
        <v>0</v>
      </c>
      <c r="H93">
        <f t="shared" si="19"/>
        <v>0</v>
      </c>
      <c r="I93">
        <f t="shared" si="20"/>
        <v>0</v>
      </c>
      <c r="J93">
        <f t="shared" si="13"/>
        <v>0</v>
      </c>
    </row>
    <row r="94" spans="1:10" x14ac:dyDescent="0.25">
      <c r="A94">
        <f t="shared" si="11"/>
        <v>10000000</v>
      </c>
      <c r="B94">
        <f t="shared" si="15"/>
        <v>0</v>
      </c>
      <c r="C94">
        <f t="shared" si="16"/>
        <v>0</v>
      </c>
      <c r="D94">
        <f t="shared" si="16"/>
        <v>0</v>
      </c>
      <c r="E94">
        <f t="shared" si="16"/>
        <v>0</v>
      </c>
      <c r="F94">
        <f t="shared" si="17"/>
        <v>0</v>
      </c>
      <c r="G94">
        <f t="shared" si="18"/>
        <v>0</v>
      </c>
      <c r="H94">
        <f t="shared" si="19"/>
        <v>0</v>
      </c>
      <c r="I94">
        <f t="shared" si="20"/>
        <v>0</v>
      </c>
      <c r="J94">
        <f t="shared" si="13"/>
        <v>0</v>
      </c>
    </row>
    <row r="95" spans="1:10" x14ac:dyDescent="0.25">
      <c r="A95">
        <f t="shared" si="11"/>
        <v>12000000</v>
      </c>
      <c r="B95">
        <f t="shared" si="15"/>
        <v>0</v>
      </c>
      <c r="C95">
        <f t="shared" si="16"/>
        <v>0</v>
      </c>
      <c r="D95">
        <f t="shared" si="16"/>
        <v>0</v>
      </c>
      <c r="E95">
        <f t="shared" si="16"/>
        <v>0</v>
      </c>
      <c r="F95">
        <f t="shared" si="17"/>
        <v>0</v>
      </c>
      <c r="G95">
        <f t="shared" si="18"/>
        <v>0</v>
      </c>
      <c r="H95">
        <f t="shared" si="19"/>
        <v>0</v>
      </c>
      <c r="I95">
        <f t="shared" si="20"/>
        <v>0</v>
      </c>
      <c r="J95">
        <f t="shared" si="13"/>
        <v>0</v>
      </c>
    </row>
    <row r="96" spans="1:10" x14ac:dyDescent="0.25">
      <c r="A96">
        <f t="shared" si="11"/>
        <v>15000000</v>
      </c>
      <c r="B96">
        <f t="shared" si="15"/>
        <v>0</v>
      </c>
      <c r="C96">
        <f t="shared" si="16"/>
        <v>0</v>
      </c>
      <c r="D96">
        <f t="shared" si="16"/>
        <v>0</v>
      </c>
      <c r="E96">
        <f t="shared" si="16"/>
        <v>0</v>
      </c>
      <c r="F96">
        <f t="shared" si="17"/>
        <v>0</v>
      </c>
      <c r="G96">
        <f t="shared" si="18"/>
        <v>0</v>
      </c>
      <c r="H96">
        <f t="shared" si="19"/>
        <v>0</v>
      </c>
      <c r="I96">
        <f t="shared" si="20"/>
        <v>0</v>
      </c>
      <c r="J96">
        <f t="shared" si="13"/>
        <v>0</v>
      </c>
    </row>
    <row r="97" spans="1:10" x14ac:dyDescent="0.25">
      <c r="A97">
        <f t="shared" si="11"/>
        <v>18000000</v>
      </c>
      <c r="B97">
        <f t="shared" si="15"/>
        <v>0</v>
      </c>
      <c r="C97">
        <f t="shared" si="16"/>
        <v>0</v>
      </c>
      <c r="D97">
        <f t="shared" si="16"/>
        <v>0</v>
      </c>
      <c r="E97">
        <f t="shared" si="16"/>
        <v>0</v>
      </c>
      <c r="F97">
        <f t="shared" si="17"/>
        <v>0</v>
      </c>
      <c r="G97">
        <f t="shared" si="18"/>
        <v>0</v>
      </c>
      <c r="H97">
        <f t="shared" si="19"/>
        <v>0</v>
      </c>
      <c r="I97">
        <f t="shared" si="20"/>
        <v>0</v>
      </c>
      <c r="J97">
        <f t="shared" si="13"/>
        <v>0</v>
      </c>
    </row>
    <row r="98" spans="1:10" x14ac:dyDescent="0.25">
      <c r="A98">
        <f t="shared" si="11"/>
        <v>22000000</v>
      </c>
      <c r="B98">
        <f t="shared" si="15"/>
        <v>0</v>
      </c>
      <c r="C98">
        <f t="shared" si="16"/>
        <v>0</v>
      </c>
      <c r="D98">
        <f t="shared" si="16"/>
        <v>0</v>
      </c>
      <c r="E98">
        <f t="shared" si="16"/>
        <v>0</v>
      </c>
      <c r="F98">
        <f t="shared" si="17"/>
        <v>0</v>
      </c>
      <c r="G98">
        <f t="shared" si="18"/>
        <v>0</v>
      </c>
      <c r="H98">
        <f t="shared" si="19"/>
        <v>0</v>
      </c>
      <c r="I98">
        <f t="shared" si="20"/>
        <v>0</v>
      </c>
      <c r="J98">
        <f t="shared" si="13"/>
        <v>0</v>
      </c>
    </row>
    <row r="99" spans="1:10" x14ac:dyDescent="0.25">
      <c r="A99">
        <f t="shared" ref="A99:A159" si="21">A87*10</f>
        <v>27000000</v>
      </c>
      <c r="B99">
        <f t="shared" si="15"/>
        <v>0</v>
      </c>
      <c r="C99">
        <f t="shared" si="16"/>
        <v>0</v>
      </c>
      <c r="D99">
        <f t="shared" si="16"/>
        <v>0</v>
      </c>
      <c r="E99">
        <f t="shared" si="16"/>
        <v>0</v>
      </c>
      <c r="F99">
        <f t="shared" si="17"/>
        <v>0</v>
      </c>
      <c r="G99">
        <f t="shared" si="18"/>
        <v>0</v>
      </c>
      <c r="H99">
        <f t="shared" si="19"/>
        <v>0</v>
      </c>
      <c r="I99">
        <f t="shared" si="20"/>
        <v>0</v>
      </c>
      <c r="J99">
        <f t="shared" si="13"/>
        <v>0</v>
      </c>
    </row>
    <row r="100" spans="1:10" x14ac:dyDescent="0.25">
      <c r="A100">
        <f t="shared" si="21"/>
        <v>33000000</v>
      </c>
      <c r="B100">
        <f t="shared" si="15"/>
        <v>0</v>
      </c>
      <c r="C100">
        <f t="shared" si="16"/>
        <v>0</v>
      </c>
      <c r="D100">
        <f t="shared" si="16"/>
        <v>0</v>
      </c>
      <c r="E100">
        <f t="shared" si="16"/>
        <v>0</v>
      </c>
      <c r="F100">
        <f t="shared" si="17"/>
        <v>0</v>
      </c>
      <c r="G100">
        <f t="shared" si="18"/>
        <v>0</v>
      </c>
      <c r="H100">
        <f t="shared" si="19"/>
        <v>0</v>
      </c>
      <c r="I100">
        <f t="shared" si="20"/>
        <v>0</v>
      </c>
      <c r="J100">
        <f t="shared" si="13"/>
        <v>0</v>
      </c>
    </row>
    <row r="101" spans="1:10" x14ac:dyDescent="0.25">
      <c r="A101">
        <f t="shared" si="21"/>
        <v>39000000</v>
      </c>
      <c r="B101">
        <f t="shared" si="15"/>
        <v>0</v>
      </c>
      <c r="C101">
        <f t="shared" si="16"/>
        <v>0</v>
      </c>
      <c r="D101">
        <f t="shared" si="16"/>
        <v>0</v>
      </c>
      <c r="E101">
        <f t="shared" si="16"/>
        <v>0</v>
      </c>
      <c r="F101">
        <f t="shared" si="17"/>
        <v>0</v>
      </c>
      <c r="G101">
        <f t="shared" si="18"/>
        <v>0</v>
      </c>
      <c r="H101">
        <f t="shared" si="19"/>
        <v>0</v>
      </c>
      <c r="I101">
        <f t="shared" si="20"/>
        <v>0</v>
      </c>
      <c r="J101">
        <f t="shared" si="13"/>
        <v>0</v>
      </c>
    </row>
    <row r="102" spans="1:10" x14ac:dyDescent="0.25">
      <c r="A102">
        <f t="shared" si="21"/>
        <v>47000000</v>
      </c>
      <c r="B102">
        <f t="shared" si="15"/>
        <v>0</v>
      </c>
      <c r="C102">
        <f t="shared" si="16"/>
        <v>0</v>
      </c>
      <c r="D102">
        <f t="shared" si="16"/>
        <v>0</v>
      </c>
      <c r="E102">
        <f t="shared" si="16"/>
        <v>0</v>
      </c>
      <c r="F102">
        <f t="shared" si="17"/>
        <v>0</v>
      </c>
      <c r="G102">
        <f t="shared" si="18"/>
        <v>0</v>
      </c>
      <c r="H102">
        <f t="shared" si="19"/>
        <v>0</v>
      </c>
      <c r="I102">
        <f t="shared" si="20"/>
        <v>0</v>
      </c>
      <c r="J102">
        <f t="shared" si="13"/>
        <v>0</v>
      </c>
    </row>
    <row r="103" spans="1:10" x14ac:dyDescent="0.25">
      <c r="A103">
        <f t="shared" si="21"/>
        <v>56000000</v>
      </c>
      <c r="B103">
        <f t="shared" si="15"/>
        <v>0</v>
      </c>
      <c r="C103">
        <f t="shared" si="16"/>
        <v>0</v>
      </c>
      <c r="D103">
        <f t="shared" si="16"/>
        <v>0</v>
      </c>
      <c r="E103">
        <f t="shared" si="16"/>
        <v>0</v>
      </c>
      <c r="F103">
        <f t="shared" ref="F103:F134" si="22">IF(IF((F$3*10^12-$A104)*(F$3*10^12-$A103)*-1&lt;0,0,1)*IF(ABS(F$3*10^12-$A104)&gt;(F$3*10^12-$A103),$A103,$A104)=F104,0,IF((F$3*10^12-$A104)*(F$3*10^12-$A103)*-1&lt;0,0,1)*IF(ABS(F$3*10^12-$A104)&gt;(F$3*10^12-$A103),$A103,$A104))</f>
        <v>0</v>
      </c>
      <c r="G103">
        <f t="shared" ref="G103:G134" si="23">IF(IF((G$3*10^12-$A104)*(G$3*10^12-$A103)*-1&lt;0,0,1)*IF(ABS(G$3*10^12-$A104)&gt;(G$3*10^12-$A103),$A103,$A104)=G104,0,IF((G$3*10^12-$A104)*(G$3*10^12-$A103)*-1&lt;0,0,1)*IF(ABS(G$3*10^12-$A104)&gt;(G$3*10^12-$A103),$A103,$A104))</f>
        <v>0</v>
      </c>
      <c r="H103">
        <f t="shared" ref="H103:H134" si="24">IF(IF((H$3*10^12-$A104)*(H$3*10^12-$A103)*-1&lt;0,0,1)*IF(ABS(H$3*10^12-$A104)&gt;(H$3*10^12-$A103),$A103,$A104)=H104,0,IF((H$3*10^12-$A104)*(H$3*10^12-$A103)*-1&lt;0,0,1)*IF(ABS(H$3*10^12-$A104)&gt;(H$3*10^12-$A103),$A103,$A104))</f>
        <v>0</v>
      </c>
      <c r="I103">
        <f t="shared" ref="I103:I134" si="25">IF(IF((I$3*10^12-$A104)*(I$3*10^12-$A103)*-1&lt;0,0,1)*IF(ABS(I$3*10^12-$A104)&gt;(I$3*10^12-$A103),$A103,$A104)=I104,0,IF((I$3*10^12-$A104)*(I$3*10^12-$A103)*-1&lt;0,0,1)*IF(ABS(I$3*10^12-$A104)&gt;(I$3*10^12-$A103),$A103,$A104))</f>
        <v>0</v>
      </c>
      <c r="J103">
        <f t="shared" si="13"/>
        <v>0</v>
      </c>
    </row>
    <row r="104" spans="1:10" x14ac:dyDescent="0.25">
      <c r="A104">
        <f t="shared" si="21"/>
        <v>68000000</v>
      </c>
      <c r="B104">
        <f t="shared" si="15"/>
        <v>0</v>
      </c>
      <c r="C104">
        <f t="shared" si="16"/>
        <v>0</v>
      </c>
      <c r="D104">
        <f t="shared" si="16"/>
        <v>0</v>
      </c>
      <c r="E104">
        <f t="shared" si="16"/>
        <v>0</v>
      </c>
      <c r="F104">
        <f t="shared" si="22"/>
        <v>0</v>
      </c>
      <c r="G104">
        <f t="shared" si="23"/>
        <v>0</v>
      </c>
      <c r="H104">
        <f t="shared" si="24"/>
        <v>0</v>
      </c>
      <c r="I104">
        <f t="shared" si="25"/>
        <v>0</v>
      </c>
      <c r="J104">
        <f t="shared" si="13"/>
        <v>0</v>
      </c>
    </row>
    <row r="105" spans="1:10" x14ac:dyDescent="0.25">
      <c r="A105">
        <f t="shared" si="21"/>
        <v>82000000</v>
      </c>
      <c r="B105">
        <f t="shared" si="15"/>
        <v>0</v>
      </c>
      <c r="C105">
        <f t="shared" si="16"/>
        <v>0</v>
      </c>
      <c r="D105">
        <f t="shared" si="16"/>
        <v>0</v>
      </c>
      <c r="E105">
        <f t="shared" si="16"/>
        <v>0</v>
      </c>
      <c r="F105">
        <f t="shared" si="22"/>
        <v>0</v>
      </c>
      <c r="G105">
        <f t="shared" si="23"/>
        <v>0</v>
      </c>
      <c r="H105">
        <f t="shared" si="24"/>
        <v>0</v>
      </c>
      <c r="I105">
        <f t="shared" si="25"/>
        <v>0</v>
      </c>
      <c r="J105">
        <f t="shared" si="13"/>
        <v>0</v>
      </c>
    </row>
    <row r="106" spans="1:10" x14ac:dyDescent="0.25">
      <c r="A106">
        <f t="shared" si="21"/>
        <v>100000000</v>
      </c>
      <c r="B106">
        <f t="shared" si="15"/>
        <v>0</v>
      </c>
      <c r="C106">
        <f t="shared" si="16"/>
        <v>0</v>
      </c>
      <c r="D106">
        <f t="shared" si="16"/>
        <v>0</v>
      </c>
      <c r="E106">
        <f t="shared" si="16"/>
        <v>0</v>
      </c>
      <c r="F106">
        <f t="shared" si="22"/>
        <v>0</v>
      </c>
      <c r="G106">
        <f t="shared" si="23"/>
        <v>0</v>
      </c>
      <c r="H106">
        <f t="shared" si="24"/>
        <v>0</v>
      </c>
      <c r="I106">
        <f t="shared" si="25"/>
        <v>0</v>
      </c>
      <c r="J106">
        <f t="shared" si="13"/>
        <v>0</v>
      </c>
    </row>
    <row r="107" spans="1:10" x14ac:dyDescent="0.25">
      <c r="A107">
        <f t="shared" si="21"/>
        <v>120000000</v>
      </c>
      <c r="B107">
        <f t="shared" si="15"/>
        <v>0</v>
      </c>
      <c r="C107">
        <f t="shared" si="16"/>
        <v>0</v>
      </c>
      <c r="D107">
        <f t="shared" si="16"/>
        <v>0</v>
      </c>
      <c r="E107">
        <f t="shared" si="16"/>
        <v>0</v>
      </c>
      <c r="F107">
        <f t="shared" si="22"/>
        <v>0</v>
      </c>
      <c r="G107">
        <f t="shared" si="23"/>
        <v>0</v>
      </c>
      <c r="H107">
        <f t="shared" si="24"/>
        <v>0</v>
      </c>
      <c r="I107">
        <f t="shared" si="25"/>
        <v>0</v>
      </c>
      <c r="J107">
        <f t="shared" si="13"/>
        <v>0</v>
      </c>
    </row>
    <row r="108" spans="1:10" x14ac:dyDescent="0.25">
      <c r="A108">
        <f t="shared" si="21"/>
        <v>150000000</v>
      </c>
      <c r="B108">
        <f t="shared" si="15"/>
        <v>0</v>
      </c>
      <c r="C108">
        <f t="shared" si="16"/>
        <v>0</v>
      </c>
      <c r="D108">
        <f t="shared" si="16"/>
        <v>0</v>
      </c>
      <c r="E108">
        <f t="shared" si="16"/>
        <v>0</v>
      </c>
      <c r="F108">
        <f t="shared" si="22"/>
        <v>0</v>
      </c>
      <c r="G108">
        <f t="shared" si="23"/>
        <v>0</v>
      </c>
      <c r="H108">
        <f t="shared" si="24"/>
        <v>0</v>
      </c>
      <c r="I108">
        <f t="shared" si="25"/>
        <v>0</v>
      </c>
      <c r="J108">
        <f t="shared" si="13"/>
        <v>0</v>
      </c>
    </row>
    <row r="109" spans="1:10" x14ac:dyDescent="0.25">
      <c r="A109">
        <f t="shared" si="21"/>
        <v>180000000</v>
      </c>
      <c r="B109">
        <f t="shared" si="15"/>
        <v>0</v>
      </c>
      <c r="C109">
        <f t="shared" si="16"/>
        <v>0</v>
      </c>
      <c r="D109">
        <f t="shared" si="16"/>
        <v>0</v>
      </c>
      <c r="E109">
        <f t="shared" si="16"/>
        <v>220000000</v>
      </c>
      <c r="F109">
        <f t="shared" si="22"/>
        <v>0</v>
      </c>
      <c r="G109">
        <f t="shared" si="23"/>
        <v>0</v>
      </c>
      <c r="H109">
        <f t="shared" si="24"/>
        <v>0</v>
      </c>
      <c r="I109">
        <f t="shared" si="25"/>
        <v>0</v>
      </c>
      <c r="J109">
        <f t="shared" si="13"/>
        <v>0</v>
      </c>
    </row>
    <row r="110" spans="1:10" x14ac:dyDescent="0.25">
      <c r="A110">
        <f t="shared" si="21"/>
        <v>220000000</v>
      </c>
      <c r="B110">
        <f t="shared" si="15"/>
        <v>0</v>
      </c>
      <c r="C110">
        <f t="shared" si="16"/>
        <v>0</v>
      </c>
      <c r="D110">
        <f t="shared" si="16"/>
        <v>0</v>
      </c>
      <c r="E110">
        <f t="shared" si="16"/>
        <v>0</v>
      </c>
      <c r="F110">
        <f t="shared" si="22"/>
        <v>0</v>
      </c>
      <c r="G110">
        <f t="shared" si="23"/>
        <v>0</v>
      </c>
      <c r="H110">
        <f t="shared" si="24"/>
        <v>0</v>
      </c>
      <c r="I110">
        <f t="shared" si="25"/>
        <v>0</v>
      </c>
      <c r="J110">
        <f t="shared" si="13"/>
        <v>0</v>
      </c>
    </row>
    <row r="111" spans="1:10" x14ac:dyDescent="0.25">
      <c r="A111">
        <f t="shared" si="21"/>
        <v>270000000</v>
      </c>
      <c r="B111">
        <f t="shared" si="15"/>
        <v>0</v>
      </c>
      <c r="C111">
        <f t="shared" si="16"/>
        <v>0</v>
      </c>
      <c r="D111">
        <f t="shared" si="16"/>
        <v>0</v>
      </c>
      <c r="E111">
        <f t="shared" si="16"/>
        <v>0</v>
      </c>
      <c r="F111">
        <f t="shared" si="22"/>
        <v>0</v>
      </c>
      <c r="G111">
        <f t="shared" si="23"/>
        <v>0</v>
      </c>
      <c r="H111">
        <f t="shared" si="24"/>
        <v>0</v>
      </c>
      <c r="I111">
        <f t="shared" si="25"/>
        <v>0</v>
      </c>
      <c r="J111">
        <f t="shared" si="13"/>
        <v>0</v>
      </c>
    </row>
    <row r="112" spans="1:10" x14ac:dyDescent="0.25">
      <c r="A112">
        <f t="shared" si="21"/>
        <v>330000000</v>
      </c>
      <c r="B112">
        <f t="shared" si="15"/>
        <v>0</v>
      </c>
      <c r="C112">
        <f t="shared" si="16"/>
        <v>0</v>
      </c>
      <c r="D112">
        <f t="shared" si="16"/>
        <v>0</v>
      </c>
      <c r="E112">
        <f t="shared" si="16"/>
        <v>0</v>
      </c>
      <c r="F112">
        <f t="shared" si="22"/>
        <v>0</v>
      </c>
      <c r="G112">
        <f t="shared" si="23"/>
        <v>0</v>
      </c>
      <c r="H112">
        <f t="shared" si="24"/>
        <v>0</v>
      </c>
      <c r="I112">
        <f t="shared" si="25"/>
        <v>0</v>
      </c>
      <c r="J112">
        <f t="shared" si="13"/>
        <v>0</v>
      </c>
    </row>
    <row r="113" spans="1:10" x14ac:dyDescent="0.25">
      <c r="A113">
        <f t="shared" si="21"/>
        <v>390000000</v>
      </c>
      <c r="B113">
        <f t="shared" si="15"/>
        <v>0</v>
      </c>
      <c r="C113">
        <f t="shared" si="16"/>
        <v>0</v>
      </c>
      <c r="D113">
        <f t="shared" si="16"/>
        <v>0</v>
      </c>
      <c r="E113">
        <f t="shared" si="16"/>
        <v>0</v>
      </c>
      <c r="F113">
        <f t="shared" si="22"/>
        <v>0</v>
      </c>
      <c r="G113">
        <f t="shared" si="23"/>
        <v>0</v>
      </c>
      <c r="H113">
        <f t="shared" si="24"/>
        <v>0</v>
      </c>
      <c r="I113">
        <f t="shared" si="25"/>
        <v>0</v>
      </c>
      <c r="J113">
        <f t="shared" si="13"/>
        <v>0</v>
      </c>
    </row>
    <row r="114" spans="1:10" x14ac:dyDescent="0.25">
      <c r="A114">
        <f t="shared" si="21"/>
        <v>470000000</v>
      </c>
      <c r="B114">
        <f t="shared" si="15"/>
        <v>0</v>
      </c>
      <c r="C114">
        <f t="shared" si="16"/>
        <v>0</v>
      </c>
      <c r="D114">
        <f t="shared" si="16"/>
        <v>0</v>
      </c>
      <c r="E114">
        <f t="shared" si="16"/>
        <v>0</v>
      </c>
      <c r="F114">
        <f t="shared" si="22"/>
        <v>0</v>
      </c>
      <c r="G114">
        <f t="shared" si="23"/>
        <v>0</v>
      </c>
      <c r="H114">
        <f t="shared" si="24"/>
        <v>0</v>
      </c>
      <c r="I114">
        <f t="shared" si="25"/>
        <v>0</v>
      </c>
      <c r="J114">
        <f t="shared" si="13"/>
        <v>0</v>
      </c>
    </row>
    <row r="115" spans="1:10" x14ac:dyDescent="0.25">
      <c r="A115">
        <f t="shared" si="21"/>
        <v>560000000</v>
      </c>
      <c r="B115">
        <f t="shared" si="15"/>
        <v>0</v>
      </c>
      <c r="C115">
        <f t="shared" si="16"/>
        <v>0</v>
      </c>
      <c r="D115">
        <f t="shared" si="16"/>
        <v>0</v>
      </c>
      <c r="E115">
        <f t="shared" si="16"/>
        <v>0</v>
      </c>
      <c r="F115">
        <f t="shared" si="22"/>
        <v>0</v>
      </c>
      <c r="G115">
        <f t="shared" si="23"/>
        <v>0</v>
      </c>
      <c r="H115">
        <f t="shared" si="24"/>
        <v>0</v>
      </c>
      <c r="I115">
        <f t="shared" si="25"/>
        <v>0</v>
      </c>
      <c r="J115">
        <f t="shared" si="13"/>
        <v>0</v>
      </c>
    </row>
    <row r="116" spans="1:10" x14ac:dyDescent="0.25">
      <c r="A116">
        <f t="shared" si="21"/>
        <v>680000000</v>
      </c>
      <c r="B116">
        <f t="shared" si="15"/>
        <v>0</v>
      </c>
      <c r="C116">
        <f t="shared" si="16"/>
        <v>0</v>
      </c>
      <c r="D116">
        <f t="shared" si="16"/>
        <v>0</v>
      </c>
      <c r="E116">
        <f t="shared" si="16"/>
        <v>0</v>
      </c>
      <c r="F116">
        <f t="shared" si="22"/>
        <v>0</v>
      </c>
      <c r="G116">
        <f t="shared" si="23"/>
        <v>0</v>
      </c>
      <c r="H116">
        <f t="shared" si="24"/>
        <v>0</v>
      </c>
      <c r="I116">
        <f t="shared" si="25"/>
        <v>0</v>
      </c>
      <c r="J116">
        <f t="shared" si="13"/>
        <v>0</v>
      </c>
    </row>
    <row r="117" spans="1:10" x14ac:dyDescent="0.25">
      <c r="A117">
        <f t="shared" si="21"/>
        <v>820000000</v>
      </c>
      <c r="B117">
        <f t="shared" si="15"/>
        <v>0</v>
      </c>
      <c r="C117">
        <f t="shared" si="16"/>
        <v>0</v>
      </c>
      <c r="D117">
        <f t="shared" si="16"/>
        <v>0</v>
      </c>
      <c r="E117">
        <f t="shared" si="16"/>
        <v>0</v>
      </c>
      <c r="F117">
        <f t="shared" si="22"/>
        <v>0</v>
      </c>
      <c r="G117">
        <f t="shared" si="23"/>
        <v>0</v>
      </c>
      <c r="H117">
        <f t="shared" si="24"/>
        <v>0</v>
      </c>
      <c r="I117">
        <f t="shared" si="25"/>
        <v>0</v>
      </c>
      <c r="J117">
        <f t="shared" si="13"/>
        <v>0</v>
      </c>
    </row>
    <row r="118" spans="1:10" x14ac:dyDescent="0.25">
      <c r="A118">
        <f t="shared" si="21"/>
        <v>1000000000</v>
      </c>
      <c r="B118">
        <f t="shared" si="15"/>
        <v>0</v>
      </c>
      <c r="C118">
        <f t="shared" si="16"/>
        <v>0</v>
      </c>
      <c r="D118">
        <f t="shared" si="16"/>
        <v>0</v>
      </c>
      <c r="E118">
        <f t="shared" si="16"/>
        <v>0</v>
      </c>
      <c r="F118">
        <f t="shared" si="22"/>
        <v>0</v>
      </c>
      <c r="G118">
        <f t="shared" si="23"/>
        <v>0</v>
      </c>
      <c r="H118">
        <f t="shared" si="24"/>
        <v>0</v>
      </c>
      <c r="I118">
        <f t="shared" si="25"/>
        <v>0</v>
      </c>
      <c r="J118">
        <f t="shared" si="13"/>
        <v>0</v>
      </c>
    </row>
    <row r="119" spans="1:10" x14ac:dyDescent="0.25">
      <c r="A119">
        <f t="shared" si="21"/>
        <v>1200000000</v>
      </c>
      <c r="B119">
        <f t="shared" si="15"/>
        <v>0</v>
      </c>
      <c r="C119">
        <f t="shared" si="16"/>
        <v>0</v>
      </c>
      <c r="D119">
        <f t="shared" si="16"/>
        <v>0</v>
      </c>
      <c r="E119">
        <f t="shared" si="16"/>
        <v>0</v>
      </c>
      <c r="F119">
        <f t="shared" si="22"/>
        <v>1200000000</v>
      </c>
      <c r="G119">
        <f t="shared" si="23"/>
        <v>0</v>
      </c>
      <c r="H119">
        <f t="shared" si="24"/>
        <v>0</v>
      </c>
      <c r="I119">
        <f t="shared" si="25"/>
        <v>0</v>
      </c>
      <c r="J119">
        <f t="shared" si="13"/>
        <v>0</v>
      </c>
    </row>
    <row r="120" spans="1:10" x14ac:dyDescent="0.25">
      <c r="A120">
        <f t="shared" si="21"/>
        <v>1500000000</v>
      </c>
      <c r="B120">
        <f t="shared" si="15"/>
        <v>0</v>
      </c>
      <c r="C120">
        <f t="shared" si="16"/>
        <v>0</v>
      </c>
      <c r="D120">
        <f t="shared" si="16"/>
        <v>0</v>
      </c>
      <c r="E120">
        <f t="shared" si="16"/>
        <v>0</v>
      </c>
      <c r="F120">
        <f t="shared" si="22"/>
        <v>0</v>
      </c>
      <c r="G120">
        <f t="shared" si="23"/>
        <v>0</v>
      </c>
      <c r="H120">
        <f t="shared" si="24"/>
        <v>0</v>
      </c>
      <c r="I120">
        <f t="shared" si="25"/>
        <v>0</v>
      </c>
      <c r="J120">
        <f t="shared" si="13"/>
        <v>0</v>
      </c>
    </row>
    <row r="121" spans="1:10" x14ac:dyDescent="0.25">
      <c r="A121">
        <f t="shared" si="21"/>
        <v>1800000000</v>
      </c>
      <c r="B121">
        <f t="shared" si="15"/>
        <v>0</v>
      </c>
      <c r="C121">
        <f t="shared" si="16"/>
        <v>0</v>
      </c>
      <c r="D121">
        <f t="shared" si="16"/>
        <v>0</v>
      </c>
      <c r="E121">
        <f t="shared" si="16"/>
        <v>0</v>
      </c>
      <c r="F121">
        <f t="shared" si="22"/>
        <v>0</v>
      </c>
      <c r="G121">
        <f t="shared" si="23"/>
        <v>0</v>
      </c>
      <c r="H121">
        <f t="shared" si="24"/>
        <v>0</v>
      </c>
      <c r="I121">
        <f t="shared" si="25"/>
        <v>0</v>
      </c>
      <c r="J121">
        <f t="shared" si="13"/>
        <v>0</v>
      </c>
    </row>
    <row r="122" spans="1:10" x14ac:dyDescent="0.25">
      <c r="A122">
        <f t="shared" si="21"/>
        <v>2200000000</v>
      </c>
      <c r="B122">
        <f t="shared" si="15"/>
        <v>0</v>
      </c>
      <c r="C122">
        <f t="shared" si="16"/>
        <v>0</v>
      </c>
      <c r="D122">
        <f t="shared" si="16"/>
        <v>0</v>
      </c>
      <c r="E122">
        <f t="shared" si="16"/>
        <v>0</v>
      </c>
      <c r="F122">
        <f t="shared" si="22"/>
        <v>0</v>
      </c>
      <c r="G122">
        <f t="shared" si="23"/>
        <v>0</v>
      </c>
      <c r="H122">
        <f t="shared" si="24"/>
        <v>0</v>
      </c>
      <c r="I122">
        <f t="shared" si="25"/>
        <v>0</v>
      </c>
      <c r="J122">
        <f t="shared" si="13"/>
        <v>0</v>
      </c>
    </row>
    <row r="123" spans="1:10" x14ac:dyDescent="0.25">
      <c r="A123">
        <f t="shared" si="21"/>
        <v>2700000000</v>
      </c>
      <c r="B123">
        <f t="shared" si="15"/>
        <v>0</v>
      </c>
      <c r="C123">
        <f t="shared" si="16"/>
        <v>0</v>
      </c>
      <c r="D123">
        <f t="shared" si="16"/>
        <v>0</v>
      </c>
      <c r="E123">
        <f t="shared" si="16"/>
        <v>0</v>
      </c>
      <c r="F123">
        <f t="shared" si="22"/>
        <v>0</v>
      </c>
      <c r="G123">
        <f t="shared" si="23"/>
        <v>0</v>
      </c>
      <c r="H123">
        <f t="shared" si="24"/>
        <v>0</v>
      </c>
      <c r="I123">
        <f t="shared" si="25"/>
        <v>0</v>
      </c>
      <c r="J123">
        <f t="shared" si="13"/>
        <v>0</v>
      </c>
    </row>
    <row r="124" spans="1:10" x14ac:dyDescent="0.25">
      <c r="A124">
        <f t="shared" si="21"/>
        <v>3300000000</v>
      </c>
      <c r="B124">
        <f t="shared" si="15"/>
        <v>0</v>
      </c>
      <c r="C124">
        <f t="shared" si="16"/>
        <v>0</v>
      </c>
      <c r="D124">
        <f t="shared" si="16"/>
        <v>0</v>
      </c>
      <c r="E124">
        <f t="shared" si="16"/>
        <v>0</v>
      </c>
      <c r="F124">
        <f t="shared" si="22"/>
        <v>0</v>
      </c>
      <c r="G124">
        <f t="shared" si="23"/>
        <v>0</v>
      </c>
      <c r="H124">
        <f t="shared" si="24"/>
        <v>0</v>
      </c>
      <c r="I124">
        <f t="shared" si="25"/>
        <v>0</v>
      </c>
      <c r="J124">
        <f t="shared" si="13"/>
        <v>0</v>
      </c>
    </row>
    <row r="125" spans="1:10" x14ac:dyDescent="0.25">
      <c r="A125">
        <f t="shared" si="21"/>
        <v>3900000000</v>
      </c>
      <c r="B125">
        <f t="shared" si="15"/>
        <v>0</v>
      </c>
      <c r="C125">
        <f t="shared" si="16"/>
        <v>0</v>
      </c>
      <c r="D125">
        <f t="shared" si="16"/>
        <v>0</v>
      </c>
      <c r="E125">
        <f t="shared" si="16"/>
        <v>0</v>
      </c>
      <c r="F125">
        <f t="shared" si="22"/>
        <v>0</v>
      </c>
      <c r="G125">
        <f t="shared" si="23"/>
        <v>0</v>
      </c>
      <c r="H125">
        <f t="shared" si="24"/>
        <v>0</v>
      </c>
      <c r="I125">
        <f t="shared" si="25"/>
        <v>0</v>
      </c>
      <c r="J125">
        <f t="shared" si="13"/>
        <v>0</v>
      </c>
    </row>
    <row r="126" spans="1:10" x14ac:dyDescent="0.25">
      <c r="A126">
        <f t="shared" si="21"/>
        <v>4700000000</v>
      </c>
      <c r="B126">
        <f t="shared" si="15"/>
        <v>0</v>
      </c>
      <c r="C126">
        <f t="shared" si="16"/>
        <v>0</v>
      </c>
      <c r="D126">
        <f t="shared" si="16"/>
        <v>0</v>
      </c>
      <c r="E126">
        <f t="shared" si="16"/>
        <v>0</v>
      </c>
      <c r="F126">
        <f t="shared" si="22"/>
        <v>0</v>
      </c>
      <c r="G126">
        <f t="shared" si="23"/>
        <v>0</v>
      </c>
      <c r="H126">
        <f t="shared" si="24"/>
        <v>0</v>
      </c>
      <c r="I126">
        <f t="shared" si="25"/>
        <v>0</v>
      </c>
      <c r="J126">
        <f t="shared" si="13"/>
        <v>0</v>
      </c>
    </row>
    <row r="127" spans="1:10" x14ac:dyDescent="0.25">
      <c r="A127">
        <f t="shared" si="21"/>
        <v>5600000000</v>
      </c>
      <c r="B127">
        <f t="shared" si="15"/>
        <v>0</v>
      </c>
      <c r="C127">
        <f t="shared" si="16"/>
        <v>0</v>
      </c>
      <c r="D127">
        <f t="shared" si="16"/>
        <v>0</v>
      </c>
      <c r="E127">
        <f t="shared" si="16"/>
        <v>0</v>
      </c>
      <c r="F127">
        <f t="shared" si="22"/>
        <v>0</v>
      </c>
      <c r="G127">
        <f t="shared" si="23"/>
        <v>0</v>
      </c>
      <c r="H127">
        <f t="shared" si="24"/>
        <v>0</v>
      </c>
      <c r="I127">
        <f t="shared" si="25"/>
        <v>0</v>
      </c>
      <c r="J127">
        <f t="shared" si="13"/>
        <v>0</v>
      </c>
    </row>
    <row r="128" spans="1:10" x14ac:dyDescent="0.25">
      <c r="A128">
        <f t="shared" si="21"/>
        <v>6800000000</v>
      </c>
      <c r="B128">
        <f t="shared" si="15"/>
        <v>0</v>
      </c>
      <c r="C128">
        <f t="shared" si="16"/>
        <v>0</v>
      </c>
      <c r="D128">
        <f t="shared" si="16"/>
        <v>0</v>
      </c>
      <c r="E128">
        <f t="shared" si="16"/>
        <v>0</v>
      </c>
      <c r="F128">
        <f t="shared" si="22"/>
        <v>0</v>
      </c>
      <c r="G128">
        <f t="shared" si="23"/>
        <v>0</v>
      </c>
      <c r="H128">
        <f t="shared" si="24"/>
        <v>0</v>
      </c>
      <c r="I128">
        <f t="shared" si="25"/>
        <v>0</v>
      </c>
      <c r="J128">
        <f t="shared" si="13"/>
        <v>0</v>
      </c>
    </row>
    <row r="129" spans="1:10" x14ac:dyDescent="0.25">
      <c r="A129">
        <f t="shared" si="21"/>
        <v>8200000000</v>
      </c>
      <c r="B129">
        <f t="shared" si="15"/>
        <v>0</v>
      </c>
      <c r="C129">
        <f t="shared" si="16"/>
        <v>0</v>
      </c>
      <c r="D129">
        <f t="shared" si="16"/>
        <v>0</v>
      </c>
      <c r="E129">
        <f t="shared" si="16"/>
        <v>0</v>
      </c>
      <c r="F129">
        <f t="shared" si="22"/>
        <v>0</v>
      </c>
      <c r="G129">
        <f t="shared" si="23"/>
        <v>0</v>
      </c>
      <c r="H129">
        <f t="shared" si="24"/>
        <v>0</v>
      </c>
      <c r="I129">
        <f t="shared" si="25"/>
        <v>0</v>
      </c>
      <c r="J129">
        <f t="shared" si="13"/>
        <v>0</v>
      </c>
    </row>
    <row r="130" spans="1:10" x14ac:dyDescent="0.25">
      <c r="A130">
        <f t="shared" si="21"/>
        <v>10000000000</v>
      </c>
      <c r="B130">
        <f t="shared" si="15"/>
        <v>0</v>
      </c>
      <c r="C130">
        <f t="shared" si="16"/>
        <v>0</v>
      </c>
      <c r="D130">
        <f t="shared" si="16"/>
        <v>0</v>
      </c>
      <c r="E130">
        <f t="shared" si="16"/>
        <v>0</v>
      </c>
      <c r="F130">
        <f t="shared" si="22"/>
        <v>0</v>
      </c>
      <c r="G130">
        <f t="shared" si="23"/>
        <v>0</v>
      </c>
      <c r="H130">
        <f t="shared" si="24"/>
        <v>0</v>
      </c>
      <c r="I130">
        <f t="shared" si="25"/>
        <v>0</v>
      </c>
      <c r="J130">
        <f t="shared" si="13"/>
        <v>0</v>
      </c>
    </row>
    <row r="131" spans="1:10" x14ac:dyDescent="0.25">
      <c r="A131">
        <f t="shared" si="21"/>
        <v>12000000000</v>
      </c>
      <c r="B131">
        <f t="shared" si="15"/>
        <v>0</v>
      </c>
      <c r="C131">
        <f t="shared" si="16"/>
        <v>0</v>
      </c>
      <c r="D131">
        <f t="shared" si="16"/>
        <v>0</v>
      </c>
      <c r="E131">
        <f t="shared" si="16"/>
        <v>0</v>
      </c>
      <c r="F131">
        <f t="shared" si="22"/>
        <v>0</v>
      </c>
      <c r="G131">
        <f t="shared" si="23"/>
        <v>0</v>
      </c>
      <c r="H131">
        <f t="shared" si="24"/>
        <v>0</v>
      </c>
      <c r="I131">
        <f t="shared" si="25"/>
        <v>0</v>
      </c>
      <c r="J131">
        <f t="shared" si="13"/>
        <v>0</v>
      </c>
    </row>
    <row r="132" spans="1:10" x14ac:dyDescent="0.25">
      <c r="A132">
        <f t="shared" si="21"/>
        <v>15000000000</v>
      </c>
      <c r="B132">
        <f t="shared" si="15"/>
        <v>0</v>
      </c>
      <c r="C132">
        <f t="shared" si="16"/>
        <v>0</v>
      </c>
      <c r="D132">
        <f t="shared" si="16"/>
        <v>0</v>
      </c>
      <c r="E132">
        <f t="shared" si="16"/>
        <v>0</v>
      </c>
      <c r="F132">
        <f t="shared" si="22"/>
        <v>0</v>
      </c>
      <c r="G132">
        <f t="shared" si="23"/>
        <v>0</v>
      </c>
      <c r="H132">
        <f t="shared" si="24"/>
        <v>0</v>
      </c>
      <c r="I132">
        <f t="shared" si="25"/>
        <v>0</v>
      </c>
      <c r="J132">
        <f t="shared" si="13"/>
        <v>0</v>
      </c>
    </row>
    <row r="133" spans="1:10" x14ac:dyDescent="0.25">
      <c r="A133">
        <f t="shared" si="21"/>
        <v>18000000000</v>
      </c>
      <c r="B133">
        <f t="shared" si="15"/>
        <v>0</v>
      </c>
      <c r="C133">
        <f t="shared" si="16"/>
        <v>0</v>
      </c>
      <c r="D133">
        <f t="shared" si="16"/>
        <v>0</v>
      </c>
      <c r="E133">
        <f t="shared" si="16"/>
        <v>0</v>
      </c>
      <c r="F133">
        <f t="shared" si="22"/>
        <v>0</v>
      </c>
      <c r="G133">
        <f t="shared" si="23"/>
        <v>0</v>
      </c>
      <c r="H133">
        <f t="shared" si="24"/>
        <v>0</v>
      </c>
      <c r="I133">
        <f t="shared" si="25"/>
        <v>0</v>
      </c>
      <c r="J133">
        <f>IF(IF((J$3*10^12-$A134)*(J$3*10^12-$A133)*-1&lt;0,0,1)*IF(ABS(J$3*10^12-$A134)&gt;(J$3*10^12-$A133),$A133,$A134)=J134,0,IF((J$3*10^12-$A134)*(J$3*10^12-$A133)*-1&lt;0,0,1)*IF(ABS(J$3*10^12-$A134)&gt;(J$3*10^12-$A133),$A133,$A134))</f>
        <v>0</v>
      </c>
    </row>
    <row r="134" spans="1:10" x14ac:dyDescent="0.25">
      <c r="A134">
        <f t="shared" si="21"/>
        <v>22000000000</v>
      </c>
      <c r="B134">
        <f t="shared" si="15"/>
        <v>0</v>
      </c>
      <c r="C134">
        <f t="shared" si="16"/>
        <v>0</v>
      </c>
      <c r="D134">
        <f t="shared" si="16"/>
        <v>0</v>
      </c>
      <c r="E134">
        <f t="shared" ref="E134:J159" si="26">IF(IF((E$3*10^12-$A135)*(E$3*10^12-$A134)*-1&lt;0,0,1)*IF(ABS(E$3*10^12-$A135)&gt;(E$3*10^12-$A134),$A134,$A135)=E135,0,IF((E$3*10^12-$A135)*(E$3*10^12-$A134)*-1&lt;0,0,1)*IF(ABS(E$3*10^12-$A135)&gt;(E$3*10^12-$A134),$A134,$A135))</f>
        <v>0</v>
      </c>
      <c r="F134">
        <f t="shared" si="22"/>
        <v>0</v>
      </c>
      <c r="G134">
        <f t="shared" si="23"/>
        <v>0</v>
      </c>
      <c r="H134">
        <f t="shared" si="24"/>
        <v>0</v>
      </c>
      <c r="I134">
        <f t="shared" si="25"/>
        <v>0</v>
      </c>
      <c r="J134">
        <f>IF(IF((J$3*10^12-$A135)*(J$3*10^12-$A134)*-1&lt;0,0,1)*IF(ABS(J$3*10^12-$A135)&gt;(J$3*10^12-$A134),$A134,$A135)=J135,0,IF((J$3*10^12-$A135)*(J$3*10^12-$A134)*-1&lt;0,0,1)*IF(ABS(J$3*10^12-$A135)&gt;(J$3*10^12-$A134),$A134,$A135))</f>
        <v>0</v>
      </c>
    </row>
    <row r="135" spans="1:10" x14ac:dyDescent="0.25">
      <c r="A135">
        <f t="shared" si="21"/>
        <v>27000000000</v>
      </c>
      <c r="B135">
        <f t="shared" ref="B135:B159" si="27">IF(IF((B$3*10^12-$A136)*(B$3*10^12-$A135)*-1&lt;0,0,1)*IF(ABS(B$3*10^12-$A136)&gt;(B$3*10^12-$A135),$A135,$A136)=B136,0,IF((B$3*10^12-$A136)*(B$3*10^12-$A135)*-1&lt;0,0,1)*IF(ABS(B$3*10^12-$A136)&gt;(B$3*10^12-$A135),$A135,$A136))</f>
        <v>0</v>
      </c>
      <c r="C135">
        <f t="shared" ref="C135:D159" si="28">IF(IF((C$3*10^12-$A136)*(C$3*10^12-$A135)*-1&lt;0,0,1)*IF(ABS(C$3*10^12-$A136)&gt;(C$3*10^12-$A135),$A135,$A136)=C136,0,IF((C$3*10^12-$A136)*(C$3*10^12-$A135)*-1&lt;0,0,1)*IF(ABS(C$3*10^12-$A136)&gt;(C$3*10^12-$A135),$A135,$A136))</f>
        <v>0</v>
      </c>
      <c r="D135">
        <f t="shared" si="28"/>
        <v>0</v>
      </c>
      <c r="E135">
        <f t="shared" si="26"/>
        <v>0</v>
      </c>
      <c r="F135">
        <f t="shared" si="26"/>
        <v>0</v>
      </c>
      <c r="G135">
        <f t="shared" si="26"/>
        <v>0</v>
      </c>
      <c r="H135">
        <f t="shared" si="26"/>
        <v>0</v>
      </c>
      <c r="I135">
        <f t="shared" si="26"/>
        <v>0</v>
      </c>
      <c r="J135">
        <f t="shared" si="26"/>
        <v>0</v>
      </c>
    </row>
    <row r="136" spans="1:10" x14ac:dyDescent="0.25">
      <c r="A136">
        <f t="shared" si="21"/>
        <v>33000000000</v>
      </c>
      <c r="B136">
        <f t="shared" si="27"/>
        <v>0</v>
      </c>
      <c r="C136">
        <f t="shared" si="28"/>
        <v>0</v>
      </c>
      <c r="D136">
        <f t="shared" si="28"/>
        <v>0</v>
      </c>
      <c r="E136">
        <f t="shared" si="26"/>
        <v>0</v>
      </c>
      <c r="F136">
        <f t="shared" si="26"/>
        <v>0</v>
      </c>
      <c r="G136">
        <f t="shared" si="26"/>
        <v>0</v>
      </c>
      <c r="H136">
        <f t="shared" si="26"/>
        <v>0</v>
      </c>
      <c r="I136">
        <f t="shared" si="26"/>
        <v>0</v>
      </c>
      <c r="J136">
        <f t="shared" si="26"/>
        <v>0</v>
      </c>
    </row>
    <row r="137" spans="1:10" x14ac:dyDescent="0.25">
      <c r="A137">
        <f t="shared" si="21"/>
        <v>39000000000</v>
      </c>
      <c r="B137">
        <f t="shared" si="27"/>
        <v>0</v>
      </c>
      <c r="C137">
        <f t="shared" si="28"/>
        <v>0</v>
      </c>
      <c r="D137">
        <f t="shared" si="28"/>
        <v>0</v>
      </c>
      <c r="E137">
        <f t="shared" si="26"/>
        <v>0</v>
      </c>
      <c r="F137">
        <f t="shared" si="26"/>
        <v>0</v>
      </c>
      <c r="G137">
        <f t="shared" si="26"/>
        <v>0</v>
      </c>
      <c r="H137">
        <f t="shared" si="26"/>
        <v>0</v>
      </c>
      <c r="I137">
        <f t="shared" si="26"/>
        <v>0</v>
      </c>
      <c r="J137">
        <f t="shared" si="26"/>
        <v>0</v>
      </c>
    </row>
    <row r="138" spans="1:10" x14ac:dyDescent="0.25">
      <c r="A138">
        <f t="shared" si="21"/>
        <v>47000000000</v>
      </c>
      <c r="B138">
        <f t="shared" si="27"/>
        <v>0</v>
      </c>
      <c r="C138">
        <f t="shared" si="28"/>
        <v>0</v>
      </c>
      <c r="D138">
        <f t="shared" si="28"/>
        <v>0</v>
      </c>
      <c r="E138">
        <f t="shared" si="26"/>
        <v>0</v>
      </c>
      <c r="F138">
        <f t="shared" si="26"/>
        <v>0</v>
      </c>
      <c r="G138">
        <f t="shared" si="26"/>
        <v>0</v>
      </c>
      <c r="H138">
        <f t="shared" si="26"/>
        <v>0</v>
      </c>
      <c r="I138">
        <f t="shared" si="26"/>
        <v>0</v>
      </c>
      <c r="J138">
        <f t="shared" si="26"/>
        <v>0</v>
      </c>
    </row>
    <row r="139" spans="1:10" x14ac:dyDescent="0.25">
      <c r="A139">
        <f t="shared" si="21"/>
        <v>56000000000</v>
      </c>
      <c r="B139">
        <f t="shared" si="27"/>
        <v>0</v>
      </c>
      <c r="C139">
        <f t="shared" si="28"/>
        <v>0</v>
      </c>
      <c r="D139">
        <f t="shared" si="28"/>
        <v>0</v>
      </c>
      <c r="E139">
        <f t="shared" si="26"/>
        <v>0</v>
      </c>
      <c r="F139">
        <f t="shared" si="26"/>
        <v>0</v>
      </c>
      <c r="G139">
        <f t="shared" si="26"/>
        <v>0</v>
      </c>
      <c r="H139">
        <f t="shared" si="26"/>
        <v>0</v>
      </c>
      <c r="I139">
        <f t="shared" si="26"/>
        <v>0</v>
      </c>
      <c r="J139">
        <f t="shared" si="26"/>
        <v>0</v>
      </c>
    </row>
    <row r="140" spans="1:10" x14ac:dyDescent="0.25">
      <c r="A140">
        <f t="shared" si="21"/>
        <v>68000000000</v>
      </c>
      <c r="B140">
        <f t="shared" si="27"/>
        <v>0</v>
      </c>
      <c r="C140">
        <f t="shared" si="28"/>
        <v>0</v>
      </c>
      <c r="D140">
        <f t="shared" si="28"/>
        <v>0</v>
      </c>
      <c r="E140">
        <f t="shared" si="26"/>
        <v>0</v>
      </c>
      <c r="F140">
        <f t="shared" si="26"/>
        <v>0</v>
      </c>
      <c r="G140">
        <f t="shared" si="26"/>
        <v>0</v>
      </c>
      <c r="H140">
        <f t="shared" si="26"/>
        <v>0</v>
      </c>
      <c r="I140">
        <f t="shared" si="26"/>
        <v>0</v>
      </c>
      <c r="J140">
        <f t="shared" si="26"/>
        <v>0</v>
      </c>
    </row>
    <row r="141" spans="1:10" x14ac:dyDescent="0.25">
      <c r="A141">
        <f t="shared" si="21"/>
        <v>82000000000</v>
      </c>
      <c r="B141">
        <f t="shared" si="27"/>
        <v>0</v>
      </c>
      <c r="C141">
        <f t="shared" si="28"/>
        <v>0</v>
      </c>
      <c r="D141">
        <f t="shared" si="28"/>
        <v>0</v>
      </c>
      <c r="E141">
        <f t="shared" si="26"/>
        <v>0</v>
      </c>
      <c r="F141">
        <f t="shared" si="26"/>
        <v>0</v>
      </c>
      <c r="G141">
        <f t="shared" si="26"/>
        <v>0</v>
      </c>
      <c r="H141">
        <f t="shared" si="26"/>
        <v>0</v>
      </c>
      <c r="I141">
        <f t="shared" si="26"/>
        <v>0</v>
      </c>
      <c r="J141">
        <f t="shared" si="26"/>
        <v>0</v>
      </c>
    </row>
    <row r="142" spans="1:10" x14ac:dyDescent="0.25">
      <c r="A142">
        <f t="shared" si="21"/>
        <v>100000000000</v>
      </c>
      <c r="B142">
        <f t="shared" si="27"/>
        <v>0</v>
      </c>
      <c r="C142">
        <f t="shared" si="28"/>
        <v>0</v>
      </c>
      <c r="D142">
        <f t="shared" si="28"/>
        <v>0</v>
      </c>
      <c r="E142">
        <f t="shared" si="26"/>
        <v>0</v>
      </c>
      <c r="F142">
        <f t="shared" si="26"/>
        <v>0</v>
      </c>
      <c r="G142">
        <f t="shared" si="26"/>
        <v>0</v>
      </c>
      <c r="H142">
        <f t="shared" si="26"/>
        <v>0</v>
      </c>
      <c r="I142">
        <f t="shared" si="26"/>
        <v>0</v>
      </c>
      <c r="J142">
        <f t="shared" si="26"/>
        <v>0</v>
      </c>
    </row>
    <row r="143" spans="1:10" x14ac:dyDescent="0.25">
      <c r="A143">
        <f t="shared" si="21"/>
        <v>120000000000</v>
      </c>
      <c r="B143">
        <f t="shared" si="27"/>
        <v>0</v>
      </c>
      <c r="C143">
        <f t="shared" si="28"/>
        <v>0</v>
      </c>
      <c r="D143">
        <f t="shared" si="28"/>
        <v>0</v>
      </c>
      <c r="E143">
        <f t="shared" si="26"/>
        <v>0</v>
      </c>
      <c r="F143">
        <f t="shared" si="26"/>
        <v>0</v>
      </c>
      <c r="G143">
        <f t="shared" si="26"/>
        <v>0</v>
      </c>
      <c r="H143">
        <f t="shared" si="26"/>
        <v>0</v>
      </c>
      <c r="I143">
        <f t="shared" si="26"/>
        <v>0</v>
      </c>
      <c r="J143">
        <f t="shared" si="26"/>
        <v>0</v>
      </c>
    </row>
    <row r="144" spans="1:10" x14ac:dyDescent="0.25">
      <c r="A144">
        <f t="shared" si="21"/>
        <v>150000000000</v>
      </c>
      <c r="B144">
        <f t="shared" si="27"/>
        <v>0</v>
      </c>
      <c r="C144">
        <f t="shared" si="28"/>
        <v>0</v>
      </c>
      <c r="D144">
        <f t="shared" si="28"/>
        <v>0</v>
      </c>
      <c r="E144">
        <f t="shared" si="26"/>
        <v>0</v>
      </c>
      <c r="F144">
        <f t="shared" si="26"/>
        <v>0</v>
      </c>
      <c r="G144">
        <f t="shared" si="26"/>
        <v>0</v>
      </c>
      <c r="H144">
        <f t="shared" si="26"/>
        <v>0</v>
      </c>
      <c r="I144">
        <f t="shared" si="26"/>
        <v>0</v>
      </c>
      <c r="J144">
        <f t="shared" si="26"/>
        <v>0</v>
      </c>
    </row>
    <row r="145" spans="1:10" x14ac:dyDescent="0.25">
      <c r="A145">
        <f t="shared" si="21"/>
        <v>180000000000</v>
      </c>
      <c r="B145">
        <f t="shared" si="27"/>
        <v>0</v>
      </c>
      <c r="C145">
        <f t="shared" si="28"/>
        <v>0</v>
      </c>
      <c r="D145">
        <f t="shared" si="28"/>
        <v>0</v>
      </c>
      <c r="E145">
        <f t="shared" si="26"/>
        <v>0</v>
      </c>
      <c r="F145">
        <f t="shared" si="26"/>
        <v>0</v>
      </c>
      <c r="G145">
        <f t="shared" si="26"/>
        <v>0</v>
      </c>
      <c r="H145">
        <f t="shared" si="26"/>
        <v>0</v>
      </c>
      <c r="I145">
        <f t="shared" si="26"/>
        <v>0</v>
      </c>
      <c r="J145">
        <f t="shared" si="26"/>
        <v>0</v>
      </c>
    </row>
    <row r="146" spans="1:10" x14ac:dyDescent="0.25">
      <c r="A146">
        <f t="shared" si="21"/>
        <v>220000000000</v>
      </c>
      <c r="B146">
        <f t="shared" si="27"/>
        <v>0</v>
      </c>
      <c r="C146">
        <f t="shared" si="28"/>
        <v>0</v>
      </c>
      <c r="D146">
        <f t="shared" si="28"/>
        <v>0</v>
      </c>
      <c r="E146">
        <f t="shared" si="26"/>
        <v>0</v>
      </c>
      <c r="F146">
        <f t="shared" si="26"/>
        <v>0</v>
      </c>
      <c r="G146">
        <f t="shared" si="26"/>
        <v>0</v>
      </c>
      <c r="H146">
        <f t="shared" si="26"/>
        <v>0</v>
      </c>
      <c r="I146">
        <f t="shared" si="26"/>
        <v>0</v>
      </c>
      <c r="J146">
        <f t="shared" si="26"/>
        <v>0</v>
      </c>
    </row>
    <row r="147" spans="1:10" x14ac:dyDescent="0.25">
      <c r="A147">
        <f t="shared" si="21"/>
        <v>270000000000</v>
      </c>
      <c r="B147">
        <f t="shared" si="27"/>
        <v>0</v>
      </c>
      <c r="C147">
        <f t="shared" si="28"/>
        <v>0</v>
      </c>
      <c r="D147">
        <f t="shared" si="28"/>
        <v>0</v>
      </c>
      <c r="E147">
        <f t="shared" si="26"/>
        <v>0</v>
      </c>
      <c r="F147">
        <f t="shared" si="26"/>
        <v>0</v>
      </c>
      <c r="G147">
        <f t="shared" si="26"/>
        <v>0</v>
      </c>
      <c r="H147">
        <f t="shared" si="26"/>
        <v>0</v>
      </c>
      <c r="I147">
        <f t="shared" si="26"/>
        <v>0</v>
      </c>
      <c r="J147">
        <f t="shared" si="26"/>
        <v>0</v>
      </c>
    </row>
    <row r="148" spans="1:10" x14ac:dyDescent="0.25">
      <c r="A148">
        <f t="shared" si="21"/>
        <v>330000000000</v>
      </c>
      <c r="B148">
        <f t="shared" si="27"/>
        <v>0</v>
      </c>
      <c r="C148">
        <f t="shared" si="28"/>
        <v>0</v>
      </c>
      <c r="D148">
        <f t="shared" si="28"/>
        <v>0</v>
      </c>
      <c r="E148">
        <f t="shared" si="26"/>
        <v>0</v>
      </c>
      <c r="F148">
        <f t="shared" si="26"/>
        <v>0</v>
      </c>
      <c r="G148">
        <f t="shared" si="26"/>
        <v>0</v>
      </c>
      <c r="H148">
        <f t="shared" si="26"/>
        <v>0</v>
      </c>
      <c r="I148">
        <f t="shared" si="26"/>
        <v>0</v>
      </c>
      <c r="J148">
        <f t="shared" si="26"/>
        <v>0</v>
      </c>
    </row>
    <row r="149" spans="1:10" x14ac:dyDescent="0.25">
      <c r="A149">
        <f t="shared" si="21"/>
        <v>390000000000</v>
      </c>
      <c r="B149">
        <f t="shared" si="27"/>
        <v>0</v>
      </c>
      <c r="C149">
        <f t="shared" si="28"/>
        <v>0</v>
      </c>
      <c r="D149">
        <f t="shared" si="28"/>
        <v>0</v>
      </c>
      <c r="E149">
        <f t="shared" si="26"/>
        <v>0</v>
      </c>
      <c r="F149">
        <f t="shared" si="26"/>
        <v>0</v>
      </c>
      <c r="G149">
        <f t="shared" si="26"/>
        <v>0</v>
      </c>
      <c r="H149">
        <f t="shared" si="26"/>
        <v>0</v>
      </c>
      <c r="I149">
        <f t="shared" si="26"/>
        <v>0</v>
      </c>
      <c r="J149">
        <f t="shared" si="26"/>
        <v>0</v>
      </c>
    </row>
    <row r="150" spans="1:10" x14ac:dyDescent="0.25">
      <c r="A150">
        <f t="shared" si="21"/>
        <v>470000000000</v>
      </c>
      <c r="B150">
        <f t="shared" si="27"/>
        <v>0</v>
      </c>
      <c r="C150">
        <f t="shared" si="28"/>
        <v>0</v>
      </c>
      <c r="D150">
        <f t="shared" si="28"/>
        <v>0</v>
      </c>
      <c r="E150">
        <f t="shared" si="26"/>
        <v>0</v>
      </c>
      <c r="F150">
        <f t="shared" si="26"/>
        <v>0</v>
      </c>
      <c r="G150">
        <f t="shared" si="26"/>
        <v>0</v>
      </c>
      <c r="H150">
        <f t="shared" si="26"/>
        <v>0</v>
      </c>
      <c r="I150">
        <f t="shared" si="26"/>
        <v>0</v>
      </c>
      <c r="J150">
        <f t="shared" si="26"/>
        <v>0</v>
      </c>
    </row>
    <row r="151" spans="1:10" x14ac:dyDescent="0.25">
      <c r="A151">
        <f t="shared" si="21"/>
        <v>560000000000</v>
      </c>
      <c r="B151">
        <f t="shared" si="27"/>
        <v>0</v>
      </c>
      <c r="C151">
        <f t="shared" si="28"/>
        <v>0</v>
      </c>
      <c r="D151">
        <f t="shared" si="28"/>
        <v>0</v>
      </c>
      <c r="E151">
        <f t="shared" si="26"/>
        <v>0</v>
      </c>
      <c r="F151">
        <f t="shared" si="26"/>
        <v>0</v>
      </c>
      <c r="G151">
        <f t="shared" si="26"/>
        <v>0</v>
      </c>
      <c r="H151">
        <f t="shared" si="26"/>
        <v>0</v>
      </c>
      <c r="I151">
        <f t="shared" si="26"/>
        <v>0</v>
      </c>
      <c r="J151">
        <f t="shared" si="26"/>
        <v>0</v>
      </c>
    </row>
    <row r="152" spans="1:10" x14ac:dyDescent="0.25">
      <c r="A152">
        <f t="shared" si="21"/>
        <v>680000000000</v>
      </c>
      <c r="B152">
        <f t="shared" si="27"/>
        <v>0</v>
      </c>
      <c r="C152">
        <f t="shared" si="28"/>
        <v>0</v>
      </c>
      <c r="D152">
        <f t="shared" si="28"/>
        <v>0</v>
      </c>
      <c r="E152">
        <f t="shared" si="26"/>
        <v>0</v>
      </c>
      <c r="F152">
        <f t="shared" si="26"/>
        <v>0</v>
      </c>
      <c r="G152">
        <f t="shared" si="26"/>
        <v>0</v>
      </c>
      <c r="H152">
        <f t="shared" si="26"/>
        <v>0</v>
      </c>
      <c r="I152">
        <f t="shared" si="26"/>
        <v>0</v>
      </c>
      <c r="J152">
        <f t="shared" si="26"/>
        <v>0</v>
      </c>
    </row>
    <row r="153" spans="1:10" x14ac:dyDescent="0.25">
      <c r="A153">
        <f t="shared" si="21"/>
        <v>820000000000</v>
      </c>
      <c r="B153">
        <f t="shared" si="27"/>
        <v>0</v>
      </c>
      <c r="C153">
        <f t="shared" si="28"/>
        <v>0</v>
      </c>
      <c r="D153">
        <f t="shared" si="28"/>
        <v>0</v>
      </c>
      <c r="E153">
        <f t="shared" si="26"/>
        <v>0</v>
      </c>
      <c r="F153">
        <f t="shared" si="26"/>
        <v>0</v>
      </c>
      <c r="G153">
        <f t="shared" si="26"/>
        <v>0</v>
      </c>
      <c r="H153">
        <f t="shared" si="26"/>
        <v>0</v>
      </c>
      <c r="I153">
        <f t="shared" si="26"/>
        <v>0</v>
      </c>
      <c r="J153">
        <f t="shared" si="26"/>
        <v>0</v>
      </c>
    </row>
    <row r="154" spans="1:10" x14ac:dyDescent="0.25">
      <c r="A154">
        <f t="shared" si="21"/>
        <v>1000000000000</v>
      </c>
      <c r="B154">
        <f t="shared" si="27"/>
        <v>0</v>
      </c>
      <c r="C154">
        <f t="shared" si="28"/>
        <v>0</v>
      </c>
      <c r="D154">
        <f t="shared" si="28"/>
        <v>0</v>
      </c>
      <c r="E154">
        <f t="shared" si="26"/>
        <v>0</v>
      </c>
      <c r="F154">
        <f t="shared" si="26"/>
        <v>0</v>
      </c>
      <c r="G154">
        <f t="shared" si="26"/>
        <v>0</v>
      </c>
      <c r="H154">
        <f t="shared" si="26"/>
        <v>0</v>
      </c>
      <c r="I154">
        <f t="shared" si="26"/>
        <v>0</v>
      </c>
      <c r="J154">
        <f t="shared" si="26"/>
        <v>0</v>
      </c>
    </row>
    <row r="155" spans="1:10" x14ac:dyDescent="0.25">
      <c r="A155">
        <f t="shared" si="21"/>
        <v>1200000000000</v>
      </c>
      <c r="B155">
        <f t="shared" si="27"/>
        <v>0</v>
      </c>
      <c r="C155">
        <f t="shared" si="28"/>
        <v>0</v>
      </c>
      <c r="D155">
        <f t="shared" si="28"/>
        <v>0</v>
      </c>
      <c r="E155">
        <f t="shared" si="26"/>
        <v>0</v>
      </c>
      <c r="F155">
        <f t="shared" si="26"/>
        <v>0</v>
      </c>
      <c r="G155">
        <f t="shared" si="26"/>
        <v>0</v>
      </c>
      <c r="H155">
        <f t="shared" si="26"/>
        <v>0</v>
      </c>
      <c r="I155">
        <f t="shared" si="26"/>
        <v>0</v>
      </c>
      <c r="J155">
        <f t="shared" si="26"/>
        <v>0</v>
      </c>
    </row>
    <row r="156" spans="1:10" x14ac:dyDescent="0.25">
      <c r="A156">
        <f t="shared" si="21"/>
        <v>1500000000000</v>
      </c>
      <c r="B156">
        <f t="shared" si="27"/>
        <v>0</v>
      </c>
      <c r="C156">
        <f t="shared" si="28"/>
        <v>0</v>
      </c>
      <c r="D156">
        <f t="shared" si="28"/>
        <v>0</v>
      </c>
      <c r="E156">
        <f t="shared" si="26"/>
        <v>0</v>
      </c>
      <c r="F156">
        <f t="shared" si="26"/>
        <v>0</v>
      </c>
      <c r="G156">
        <f t="shared" si="26"/>
        <v>0</v>
      </c>
      <c r="H156">
        <f t="shared" si="26"/>
        <v>0</v>
      </c>
      <c r="I156">
        <f t="shared" si="26"/>
        <v>0</v>
      </c>
      <c r="J156">
        <f t="shared" si="26"/>
        <v>0</v>
      </c>
    </row>
    <row r="157" spans="1:10" x14ac:dyDescent="0.25">
      <c r="A157">
        <f t="shared" si="21"/>
        <v>1800000000000</v>
      </c>
      <c r="B157">
        <f t="shared" si="27"/>
        <v>0</v>
      </c>
      <c r="C157">
        <f t="shared" si="28"/>
        <v>0</v>
      </c>
      <c r="D157">
        <f t="shared" si="28"/>
        <v>0</v>
      </c>
      <c r="E157">
        <f t="shared" si="26"/>
        <v>0</v>
      </c>
      <c r="F157">
        <f t="shared" si="26"/>
        <v>0</v>
      </c>
      <c r="G157">
        <f t="shared" si="26"/>
        <v>0</v>
      </c>
      <c r="H157">
        <f t="shared" si="26"/>
        <v>0</v>
      </c>
      <c r="I157">
        <f t="shared" si="26"/>
        <v>0</v>
      </c>
      <c r="J157">
        <f t="shared" si="26"/>
        <v>0</v>
      </c>
    </row>
    <row r="158" spans="1:10" x14ac:dyDescent="0.25">
      <c r="A158">
        <f t="shared" si="21"/>
        <v>2200000000000</v>
      </c>
      <c r="B158">
        <f t="shared" si="27"/>
        <v>0</v>
      </c>
      <c r="C158">
        <f t="shared" si="28"/>
        <v>0</v>
      </c>
      <c r="D158">
        <f t="shared" si="28"/>
        <v>0</v>
      </c>
      <c r="E158">
        <f t="shared" si="26"/>
        <v>0</v>
      </c>
      <c r="F158">
        <f t="shared" si="26"/>
        <v>0</v>
      </c>
      <c r="G158">
        <f t="shared" si="26"/>
        <v>0</v>
      </c>
      <c r="H158">
        <f t="shared" si="26"/>
        <v>0</v>
      </c>
      <c r="I158">
        <f t="shared" si="26"/>
        <v>0</v>
      </c>
      <c r="J158">
        <f t="shared" si="26"/>
        <v>0</v>
      </c>
    </row>
    <row r="159" spans="1:10" x14ac:dyDescent="0.25">
      <c r="A159" s="43">
        <f t="shared" si="21"/>
        <v>2700000000000</v>
      </c>
      <c r="B159">
        <f t="shared" si="27"/>
        <v>2700000000000</v>
      </c>
      <c r="C159">
        <f t="shared" si="28"/>
        <v>2700000000000</v>
      </c>
      <c r="D159">
        <f t="shared" si="28"/>
        <v>2700000000000</v>
      </c>
      <c r="E159">
        <f t="shared" si="26"/>
        <v>2700000000000</v>
      </c>
      <c r="F159">
        <f t="shared" si="26"/>
        <v>2700000000000</v>
      </c>
      <c r="G159">
        <f t="shared" si="26"/>
        <v>2700000000000</v>
      </c>
      <c r="H159">
        <f t="shared" si="26"/>
        <v>2700000000000</v>
      </c>
      <c r="I159">
        <f t="shared" si="26"/>
        <v>2700000000000</v>
      </c>
      <c r="J159">
        <f t="shared" si="26"/>
        <v>2700000000000</v>
      </c>
    </row>
  </sheetData>
  <phoneticPr fontId="5" type="noConversion"/>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E7"/>
  <sheetViews>
    <sheetView workbookViewId="0">
      <selection activeCell="B6" sqref="B6"/>
    </sheetView>
  </sheetViews>
  <sheetFormatPr defaultRowHeight="12.5" x14ac:dyDescent="0.25"/>
  <cols>
    <col min="1" max="1" width="18.54296875" customWidth="1"/>
    <col min="2" max="2" width="9.36328125" customWidth="1"/>
    <col min="4" max="4" width="11.08984375" customWidth="1"/>
  </cols>
  <sheetData>
    <row r="1" spans="1:5" x14ac:dyDescent="0.25">
      <c r="C1" t="s">
        <v>183</v>
      </c>
      <c r="D1" t="s">
        <v>182</v>
      </c>
    </row>
    <row r="2" spans="1:5" x14ac:dyDescent="0.25">
      <c r="A2" t="s">
        <v>180</v>
      </c>
      <c r="B2" s="47">
        <v>85</v>
      </c>
      <c r="C2" t="s">
        <v>181</v>
      </c>
      <c r="D2">
        <f>B2*1000000</f>
        <v>85000000</v>
      </c>
      <c r="E2" t="s">
        <v>9</v>
      </c>
    </row>
    <row r="3" spans="1:5" x14ac:dyDescent="0.25">
      <c r="A3" t="s">
        <v>184</v>
      </c>
      <c r="B3" s="47">
        <v>3000</v>
      </c>
      <c r="C3" t="s">
        <v>30</v>
      </c>
      <c r="D3">
        <f>B3*0.000000000001</f>
        <v>3E-9</v>
      </c>
      <c r="E3" t="s">
        <v>24</v>
      </c>
    </row>
    <row r="4" spans="1:5" x14ac:dyDescent="0.25">
      <c r="A4" t="s">
        <v>186</v>
      </c>
      <c r="B4" s="48">
        <f>1000000000*1/((D2*2*3.14159)^2*D3)</f>
        <v>1.1686430773614742</v>
      </c>
      <c r="C4" t="s">
        <v>187</v>
      </c>
      <c r="D4">
        <f>B4/1000000000</f>
        <v>1.1686430773614743E-9</v>
      </c>
      <c r="E4" t="s">
        <v>19</v>
      </c>
    </row>
    <row r="5" spans="1:5" x14ac:dyDescent="0.25">
      <c r="A5" t="s">
        <v>185</v>
      </c>
      <c r="B5">
        <f>4*B3</f>
        <v>12000</v>
      </c>
      <c r="C5" t="s">
        <v>30</v>
      </c>
      <c r="D5">
        <f>B5*0.000000000001</f>
        <v>1.2E-8</v>
      </c>
      <c r="E5" t="s">
        <v>24</v>
      </c>
    </row>
    <row r="6" spans="1:5" x14ac:dyDescent="0.25">
      <c r="A6" t="s">
        <v>188</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3:E16"/>
  <sheetViews>
    <sheetView workbookViewId="0">
      <selection activeCell="G37" sqref="G37"/>
    </sheetView>
  </sheetViews>
  <sheetFormatPr defaultRowHeight="12.5" x14ac:dyDescent="0.25"/>
  <sheetData>
    <row r="3" spans="1:5" x14ac:dyDescent="0.25">
      <c r="A3" t="s">
        <v>155</v>
      </c>
      <c r="B3" t="e">
        <f>Iripple1</f>
        <v>#NAME?</v>
      </c>
    </row>
    <row r="4" spans="1:5" x14ac:dyDescent="0.25">
      <c r="A4" t="s">
        <v>6</v>
      </c>
      <c r="B4">
        <f>Fsw</f>
        <v>220000</v>
      </c>
    </row>
    <row r="6" spans="1:5" x14ac:dyDescent="0.25">
      <c r="A6" t="s">
        <v>142</v>
      </c>
      <c r="B6" s="41">
        <v>0.5</v>
      </c>
      <c r="C6" t="s">
        <v>63</v>
      </c>
      <c r="D6">
        <f>B6/1000</f>
        <v>5.0000000000000001E-4</v>
      </c>
      <c r="E6" t="s">
        <v>20</v>
      </c>
    </row>
    <row r="7" spans="1:5" x14ac:dyDescent="0.25">
      <c r="A7" t="s">
        <v>153</v>
      </c>
      <c r="B7" s="41">
        <v>20</v>
      </c>
      <c r="C7" t="s">
        <v>23</v>
      </c>
      <c r="D7">
        <f>B7/1000000</f>
        <v>2.0000000000000002E-5</v>
      </c>
      <c r="E7" t="s">
        <v>24</v>
      </c>
    </row>
    <row r="9" spans="1:5" x14ac:dyDescent="0.25">
      <c r="A9" t="s">
        <v>143</v>
      </c>
      <c r="B9" s="41">
        <v>20</v>
      </c>
      <c r="C9" t="s">
        <v>63</v>
      </c>
      <c r="D9">
        <f>B9/1000</f>
        <v>0.02</v>
      </c>
      <c r="E9" t="s">
        <v>20</v>
      </c>
    </row>
    <row r="10" spans="1:5" x14ac:dyDescent="0.25">
      <c r="A10" t="s">
        <v>154</v>
      </c>
      <c r="B10" s="41">
        <v>68</v>
      </c>
      <c r="C10" t="s">
        <v>23</v>
      </c>
      <c r="D10">
        <f>B10/1000000</f>
        <v>6.7999999999999999E-5</v>
      </c>
      <c r="E10" t="s">
        <v>24</v>
      </c>
    </row>
    <row r="12" spans="1:5" x14ac:dyDescent="0.25">
      <c r="A12" t="s">
        <v>157</v>
      </c>
      <c r="B12">
        <f>(D7/(D7+D10))*SQRT((D9*D10*B4)^2+1)/SQRT((((D6+D9)*D7*D10/(D10+D7))*B4)^2+1)</f>
        <v>0.23665336702615425</v>
      </c>
      <c r="C12" t="s">
        <v>156</v>
      </c>
    </row>
    <row r="13" spans="1:5" x14ac:dyDescent="0.25">
      <c r="A13" t="s">
        <v>158</v>
      </c>
      <c r="B13">
        <f>1-B12</f>
        <v>0.76334663297384575</v>
      </c>
      <c r="C13" t="s">
        <v>156</v>
      </c>
    </row>
    <row r="15" spans="1:5" x14ac:dyDescent="0.25">
      <c r="A15" t="s">
        <v>157</v>
      </c>
      <c r="B15" t="e">
        <f>B12*(Iripple1/(2*SQRT(3)))</f>
        <v>#NAME?</v>
      </c>
      <c r="C15" t="s">
        <v>1</v>
      </c>
    </row>
    <row r="16" spans="1:5" x14ac:dyDescent="0.25">
      <c r="A16" t="s">
        <v>158</v>
      </c>
      <c r="B16" t="e">
        <f>B13*(Iripple1/(2*SQRT(3)))</f>
        <v>#NAME?</v>
      </c>
      <c r="C16"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286</vt:i4>
      </vt:variant>
    </vt:vector>
  </HeadingPairs>
  <TitlesOfParts>
    <vt:vector size="300" baseType="lpstr">
      <vt:lpstr>Design Regulator</vt:lpstr>
      <vt:lpstr>BOM &amp; Schematic</vt:lpstr>
      <vt:lpstr>EVM</vt:lpstr>
      <vt:lpstr>Variable Management</vt:lpstr>
      <vt:lpstr>Stability Calculations</vt:lpstr>
      <vt:lpstr>Ch2 Stability Calculations</vt:lpstr>
      <vt:lpstr>Bode Plot Management</vt:lpstr>
      <vt:lpstr>Efficiency Calculations</vt:lpstr>
      <vt:lpstr>Ch2 Efficiency Calculations</vt:lpstr>
      <vt:lpstr>Efficiency Plot Management</vt:lpstr>
      <vt:lpstr>Schematic Management</vt:lpstr>
      <vt:lpstr>Standard Value Calculator</vt:lpstr>
      <vt:lpstr>Snubber</vt:lpstr>
      <vt:lpstr>Parallel Output Caps</vt:lpstr>
      <vt:lpstr>_Don1</vt:lpstr>
      <vt:lpstr>_Don2</vt:lpstr>
      <vt:lpstr>Acs</vt:lpstr>
      <vt:lpstr>Acs_Ch2</vt:lpstr>
      <vt:lpstr>'Ch2 Stability Calculations'!Adc</vt:lpstr>
      <vt:lpstr>Adc</vt:lpstr>
      <vt:lpstr>AEA</vt:lpstr>
      <vt:lpstr>Afb</vt:lpstr>
      <vt:lpstr>Afb_Ch2</vt:lpstr>
      <vt:lpstr>Am</vt:lpstr>
      <vt:lpstr>Am_buck</vt:lpstr>
      <vt:lpstr>Am_buck_Ch2</vt:lpstr>
      <vt:lpstr>Am_Ch2</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Cdither</vt:lpstr>
      <vt:lpstr>Cdither_init</vt:lpstr>
      <vt:lpstr>Ch1_VOUT</vt:lpstr>
      <vt:lpstr>Ch2_VOUT</vt:lpstr>
      <vt:lpstr>Cin</vt:lpstr>
      <vt:lpstr>CinEsrMax</vt:lpstr>
      <vt:lpstr>Cinmin</vt:lpstr>
      <vt:lpstr>Core_Loss_Ch1</vt:lpstr>
      <vt:lpstr>Coss_Q1</vt:lpstr>
      <vt:lpstr>Coss_Q2</vt:lpstr>
      <vt:lpstr>Coss_Q3</vt:lpstr>
      <vt:lpstr>Coss_Q4</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Fz1_u</vt:lpstr>
      <vt:lpstr>Fz1_u_Ch2</vt:lpstr>
      <vt:lpstr>GBW</vt:lpstr>
      <vt:lpstr>Gfs_Q1</vt:lpstr>
      <vt:lpstr>Gfs_Q2</vt:lpstr>
      <vt:lpstr>Gfs_Q3</vt:lpstr>
      <vt:lpstr>Gfs_Q4</vt:lpstr>
      <vt:lpstr>gm</vt:lpstr>
      <vt:lpstr>Icoutrms</vt:lpstr>
      <vt:lpstr>Iin_Vinmax</vt:lpstr>
      <vt:lpstr>Iin_Vinmin</vt:lpstr>
      <vt:lpstr>Iin_Vinnom</vt:lpstr>
      <vt:lpstr>Ilimit_DC</vt:lpstr>
      <vt:lpstr>Ilimit2_DC</vt:lpstr>
      <vt:lpstr>Iout</vt:lpstr>
      <vt:lpstr>Iout_OCP_Vinmax</vt:lpstr>
      <vt:lpstr>Iout_OCP_Vinmin</vt:lpstr>
      <vt:lpstr>Iout_OCP_Vinnom</vt:lpstr>
      <vt:lpstr>Iout2</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Lf</vt:lpstr>
      <vt:lpstr>Lo_2</vt:lpstr>
      <vt:lpstr>Lopt</vt:lpstr>
      <vt:lpstr>Lopt2</vt:lpstr>
      <vt:lpstr>Ltc</vt:lpstr>
      <vt:lpstr>mc</vt:lpstr>
      <vt:lpstr>mc_buck</vt:lpstr>
      <vt:lpstr>mc_buck_Ch2</vt:lpstr>
      <vt:lpstr>mc_Ch2</vt:lpstr>
      <vt:lpstr>MODE</vt:lpstr>
      <vt:lpstr>Number_of_Phases</vt:lpstr>
      <vt:lpstr>Pi</vt:lpstr>
      <vt:lpstr>Pin</vt:lpstr>
      <vt:lpstr>PLOT_TYPE</vt:lpstr>
      <vt:lpstr>'Ch2 Stability Calculations'!pole1</vt:lpstr>
      <vt:lpstr>pole1</vt:lpstr>
      <vt:lpstr>'Ch2 Stability Calculations'!Pole2</vt:lpstr>
      <vt:lpstr>Pole2</vt:lpstr>
      <vt:lpstr>'Ch2 Stability Calculations'!pole3</vt:lpstr>
      <vt:lpstr>pole3</vt:lpstr>
      <vt:lpstr>'Ch2 Stability Calculations'!pole4</vt:lpstr>
      <vt:lpstr>pole4</vt:lpstr>
      <vt:lpstr>Pout</vt:lpstr>
      <vt:lpstr>'BOM &amp; Schematic'!Print_Area</vt:lpstr>
      <vt:lpstr>'Design Regulator'!Print_Area</vt:lpstr>
      <vt:lpstr>'Ch2 Stability Calculations'!pterm1</vt:lpstr>
      <vt:lpstr>pterm1</vt:lpstr>
      <vt:lpstr>'Ch2 Stability Calculations'!pterm2</vt:lpstr>
      <vt:lpstr>pterm2</vt:lpstr>
      <vt:lpstr>Q</vt:lpstr>
      <vt:lpstr>Q_Ch2</vt:lpstr>
      <vt:lpstr>Qg_Q1</vt:lpstr>
      <vt:lpstr>Qg_Q2</vt:lpstr>
      <vt:lpstr>Qg_Q3</vt:lpstr>
      <vt:lpstr>Qg_Q4</vt:lpstr>
      <vt:lpstr>Qgd_Q1</vt:lpstr>
      <vt:lpstr>Qgd_Q2</vt:lpstr>
      <vt:lpstr>Qgd_Q3</vt:lpstr>
      <vt:lpstr>Qgd_Q4</vt:lpstr>
      <vt:lpstr>Qgs_Q1</vt:lpstr>
      <vt:lpstr>Qgs_Q2</vt:lpstr>
      <vt:lpstr>Qgs_Q3</vt:lpstr>
      <vt:lpstr>Qgs_Q4</vt:lpstr>
      <vt:lpstr>Qoss_Q1</vt:lpstr>
      <vt:lpstr>Qoss_Q2</vt:lpstr>
      <vt:lpstr>Qoss_Q3</vt:lpstr>
      <vt:lpstr>Qoss_Q4</vt:lpstr>
      <vt:lpstr>Qrr_Q2</vt:lpstr>
      <vt:lpstr>Qrr_Q4</vt:lpstr>
      <vt:lpstr>QrrSky_Q2</vt:lpstr>
      <vt:lpstr>QrrSky_Q4</vt:lpstr>
      <vt:lpstr>'Ch2 Stability Calculations'!radconv</vt:lpstr>
      <vt:lpstr>radconv</vt:lpstr>
      <vt:lpstr>Rcea1</vt:lpstr>
      <vt:lpstr>Rcea1_u</vt:lpstr>
      <vt:lpstr>Rcea2</vt:lpstr>
      <vt:lpstr>Rcea2_u</vt:lpstr>
      <vt:lpstr>RCinEsr</vt:lpstr>
      <vt:lpstr>RCoutEsr</vt:lpstr>
      <vt:lpstr>Rdcr</vt:lpstr>
      <vt:lpstr>Rdcr2</vt:lpstr>
      <vt:lpstr>Rdson1</vt:lpstr>
      <vt:lpstr>Rdson2</vt:lpstr>
      <vt:lpstr>Rdson3</vt:lpstr>
      <vt:lpstr>Rdson4</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Rgate1</vt:lpstr>
      <vt:lpstr>Rgate2</vt:lpstr>
      <vt:lpstr>Rgate3</vt:lpstr>
      <vt:lpstr>Rgate4</vt:lpstr>
      <vt:lpstr>Ri</vt:lpstr>
      <vt:lpstr>Ri_Ch2</vt:lpstr>
      <vt:lpstr>Ro</vt:lpstr>
      <vt:lpstr>Ro_Ch2</vt:lpstr>
      <vt:lpstr>RoEA</vt:lpstr>
      <vt:lpstr>Rout</vt:lpstr>
      <vt:lpstr>Rout2</vt:lpstr>
      <vt:lpstr>Rpg</vt:lpstr>
      <vt:lpstr>Rs</vt:lpstr>
      <vt:lpstr>Rs_Ch2</vt:lpstr>
      <vt:lpstr>Rs_ideal</vt:lpstr>
      <vt:lpstr>Rs2_ideal</vt:lpstr>
      <vt:lpstr>SCH_DUAL</vt:lpstr>
      <vt:lpstr>SCH_MODE</vt:lpstr>
      <vt:lpstr>SCH_MULTIPHASE</vt:lpstr>
      <vt:lpstr>SCH_SINGLE</vt:lpstr>
      <vt:lpstr>Se_ext</vt:lpstr>
      <vt:lpstr>Se_ext_Ch2</vt:lpstr>
      <vt:lpstr>SENSING_TYPE</vt:lpstr>
      <vt:lpstr>Sf</vt:lpstr>
      <vt:lpstr>Sf_Ch2</vt:lpstr>
      <vt:lpstr>SINGLE_OUTPUT</vt:lpstr>
      <vt:lpstr>Sn</vt:lpstr>
      <vt:lpstr>Sn_Ch2</vt:lpstr>
      <vt:lpstr>Ta</vt:lpstr>
      <vt:lpstr>Tf_buck</vt:lpstr>
      <vt:lpstr>Tf_Ch2</vt:lpstr>
      <vt:lpstr>ThetaCa</vt:lpstr>
      <vt:lpstr>ThetaJA_Q1</vt:lpstr>
      <vt:lpstr>ThetaJA_Q2</vt:lpstr>
      <vt:lpstr>ThetaJA_Q3</vt:lpstr>
      <vt:lpstr>ThetaJA_Q4</vt:lpstr>
      <vt:lpstr>ThetaJaCtrl</vt:lpstr>
      <vt:lpstr>TL</vt:lpstr>
      <vt:lpstr>Tr_buck</vt:lpstr>
      <vt:lpstr>Tr_Ch2</vt:lpstr>
      <vt:lpstr>Tres</vt:lpstr>
      <vt:lpstr>Trr_Q1</vt:lpstr>
      <vt:lpstr>Trr_Q2</vt:lpstr>
      <vt:lpstr>Trr_Q3</vt:lpstr>
      <vt:lpstr>Trr_Q4</vt:lpstr>
      <vt:lpstr>Ts</vt:lpstr>
      <vt:lpstr>Tss</vt:lpstr>
      <vt:lpstr>VARIANT</vt:lpstr>
      <vt:lpstr>VCC</vt:lpstr>
      <vt:lpstr>VfdSky_Q2</vt:lpstr>
      <vt:lpstr>VfdSky_Q4</vt:lpstr>
      <vt:lpstr>Vin</vt:lpstr>
      <vt:lpstr>VIN_max</vt:lpstr>
      <vt:lpstr>VIN_MAX_RATING</vt:lpstr>
      <vt:lpstr>VIN_min</vt:lpstr>
      <vt:lpstr>VIN_nom</vt:lpstr>
      <vt:lpstr>Vinripple1</vt:lpstr>
      <vt:lpstr>Vo1_ripple</vt:lpstr>
      <vt:lpstr>Vo2_ripple</vt:lpstr>
      <vt:lpstr>Vout</vt:lpstr>
      <vt:lpstr>VOUT_MAX_RATING</vt:lpstr>
      <vt:lpstr>Vout2</vt:lpstr>
      <vt:lpstr>Vref</vt:lpstr>
      <vt:lpstr>Vsd_Q1</vt:lpstr>
      <vt:lpstr>Vsd_Q2</vt:lpstr>
      <vt:lpstr>Vsd_Q3</vt:lpstr>
      <vt:lpstr>Vsd_Q4</vt:lpstr>
      <vt:lpstr>Vsp_Q1</vt:lpstr>
      <vt:lpstr>Vsp_Q2</vt:lpstr>
      <vt:lpstr>Vsp_Q3</vt:lpstr>
      <vt:lpstr>Vsp_Q4</vt:lpstr>
      <vt:lpstr>Vth_Q1</vt:lpstr>
      <vt:lpstr>Vth_Q2</vt:lpstr>
      <vt:lpstr>Vth_Q3</vt:lpstr>
      <vt:lpstr>Vth_Q4</vt:lpstr>
      <vt:lpstr>'Ch2 Stability Calculations'!z_RHP</vt:lpstr>
      <vt:lpstr>z_RHP</vt:lpstr>
      <vt:lpstr>'Ch2 Stability Calculations'!Zero1</vt:lpstr>
      <vt:lpstr>Zero1</vt:lpstr>
      <vt:lpstr>'Ch2 Stability Calculations'!Zero2</vt:lpstr>
      <vt:lpstr>Zero2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LM5143-Q1 Quickstart Tool</dc:title>
  <dc:creator>Timothy Hegarty</dc:creator>
  <cp:keywords>LM5143-Q1, PWM controller, current mode, PCB layout</cp:keywords>
  <cp:lastModifiedBy>Michael Lam</cp:lastModifiedBy>
  <cp:lastPrinted>2018-10-08T16:56:44Z</cp:lastPrinted>
  <dcterms:created xsi:type="dcterms:W3CDTF">1996-10-14T23:33:28Z</dcterms:created>
  <dcterms:modified xsi:type="dcterms:W3CDTF">2026-03-18T04:03:36Z</dcterms:modified>
</cp:coreProperties>
</file>