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dan_000\Documents\atlas\core\ASB.Atlas.Tools\"/>
    </mc:Choice>
  </mc:AlternateContent>
  <bookViews>
    <workbookView xWindow="240" yWindow="105" windowWidth="22995" windowHeight="6720" activeTab="1"/>
  </bookViews>
  <sheets>
    <sheet name="Summary" sheetId="8" r:id="rId1"/>
    <sheet name="Supp Data Feature" sheetId="2" r:id="rId2"/>
    <sheet name="Container" sheetId="1" r:id="rId3"/>
    <sheet name="Feature Application" sheetId="7" r:id="rId4"/>
    <sheet name="Deployment &amp; Support" sheetId="6" r:id="rId5"/>
    <sheet name="Lists" sheetId="4" r:id="rId6"/>
    <sheet name="Metrics" sheetId="3" r:id="rId7"/>
    <sheet name="Lookups" sheetId="5" r:id="rId8"/>
  </sheets>
  <definedNames>
    <definedName name="AppBuildDefinition">Metrics!$E$4</definedName>
    <definedName name="AppGrunt">Metrics!$E$6</definedName>
    <definedName name="AppNewApiService">Metrics!$E$8</definedName>
    <definedName name="AppReleaseTemplate">Metrics!$E$5</definedName>
    <definedName name="AppRepo">Metrics!$E$3</definedName>
    <definedName name="AppSolution">Metrics!$E$2</definedName>
    <definedName name="AppTechDebtRefactor">Metrics!$E$19</definedName>
    <definedName name="ContainerCrossBrowser">Metrics!$B$12</definedName>
    <definedName name="ContainerCrossBrowserTweakRatio">Metrics!$B$16</definedName>
    <definedName name="ContainerCrossDevice">Metrics!$B$13</definedName>
    <definedName name="ContainerCrossDeviceTweakRatio">Metrics!$B$17</definedName>
    <definedName name="ContainerGrunt">Metrics!$B$6</definedName>
    <definedName name="ContainerLayouts">Metrics!$B$9</definedName>
    <definedName name="ContainerResponsive">Metrics!$B$11</definedName>
    <definedName name="ContainerResponsiveTweakRatio">Metrics!$B$15</definedName>
    <definedName name="ContainerSiteCat">Metrics!$B$19</definedName>
    <definedName name="ContainerTweakExistingPresentationRatio">Metrics!$B$8</definedName>
    <definedName name="CrossBrowser">'Supp Data Feature'!$B$16</definedName>
    <definedName name="CrossDevice">'Supp Data Feature'!$B$17</definedName>
    <definedName name="DeploymentProduction">Metrics!$K$4</definedName>
    <definedName name="DeploymentProductionSmokeTesting">Metrics!$K$5</definedName>
    <definedName name="DeploymentQaSupportRatio">Metrics!$K$3</definedName>
    <definedName name="DeploymentReleaseAdministration">Metrics!$K$2</definedName>
    <definedName name="DeploymentSourceControl">Metrics!$K$6</definedName>
    <definedName name="FeatureApiCall">Metrics!$H$19</definedName>
    <definedName name="FeatureBuildDefinition">Metrics!$H$4</definedName>
    <definedName name="FeatureCrossBrowser">Metrics!$H$16</definedName>
    <definedName name="FeatureCrossDevice">Metrics!$H$17</definedName>
    <definedName name="FeatureGenerateSolution">Metrics!$H$2</definedName>
    <definedName name="FeatureGrunt">Metrics!$H$6</definedName>
    <definedName name="FeatureNewWidgetComplex">Metrics!$H$11</definedName>
    <definedName name="FeatureNewWidgetMedium">Metrics!$H$10</definedName>
    <definedName name="FeatureNewWidgetSimple">Metrics!$H$9</definedName>
    <definedName name="FeatureReleaseTemplate">Metrics!$H$5</definedName>
    <definedName name="FeatureRepos">Metrics!$H$3</definedName>
    <definedName name="FeatureSiteCat">Metrics!$H$13</definedName>
    <definedName name="FeatureSiteCatPerView">Metrics!$H$14</definedName>
    <definedName name="FeatureUserPreferences">Metrics!$H$15</definedName>
    <definedName name="FeatureWidgetExisting">Metrics!$H$8</definedName>
    <definedName name="NewContainerBuildDefinition">Metrics!$B$4</definedName>
    <definedName name="NewContainerBuildDefinitions">Metrics!$B$4</definedName>
    <definedName name="NewContainerReleaseTemplate">Metrics!$B$5</definedName>
    <definedName name="NewContainerReleaseTemplates">Metrics!$B$5</definedName>
    <definedName name="NewContainerRepos">Metrics!$B$3</definedName>
    <definedName name="NewContainerSolutions">Metrics!$B$2</definedName>
  </definedNames>
  <calcPr calcId="152511"/>
</workbook>
</file>

<file path=xl/calcChain.xml><?xml version="1.0" encoding="utf-8"?>
<calcChain xmlns="http://schemas.openxmlformats.org/spreadsheetml/2006/main">
  <c r="D9" i="2" l="1"/>
  <c r="C9" i="2"/>
  <c r="D8" i="2"/>
  <c r="C8" i="2"/>
  <c r="D7" i="2"/>
  <c r="C7" i="2"/>
  <c r="D6" i="2"/>
  <c r="C6" i="2"/>
  <c r="D5" i="2"/>
  <c r="E9" i="2" s="1"/>
  <c r="C5" i="2"/>
  <c r="E13" i="6" l="1"/>
  <c r="E12" i="6"/>
  <c r="E11" i="6"/>
  <c r="E5" i="6"/>
  <c r="Z23" i="2" l="1"/>
  <c r="W23" i="2"/>
  <c r="T23" i="2"/>
  <c r="Q23" i="2"/>
  <c r="N23" i="2"/>
  <c r="K23" i="2"/>
  <c r="B17" i="2"/>
  <c r="B16" i="2"/>
  <c r="B13" i="2"/>
  <c r="D9" i="8"/>
  <c r="Z14" i="2" l="1"/>
  <c r="W14" i="2"/>
  <c r="T14" i="2"/>
  <c r="Q14" i="2"/>
  <c r="N14" i="2"/>
  <c r="K14" i="2"/>
  <c r="Z13" i="2"/>
  <c r="W13" i="2"/>
  <c r="T13" i="2"/>
  <c r="Q13" i="2"/>
  <c r="N13" i="2"/>
  <c r="K13" i="2"/>
  <c r="C16" i="7" l="1"/>
  <c r="Z12" i="2"/>
  <c r="W12" i="2"/>
  <c r="T12" i="2"/>
  <c r="Q12" i="2"/>
  <c r="N12" i="2"/>
  <c r="K12" i="2"/>
  <c r="Z22" i="2"/>
  <c r="Z21" i="2"/>
  <c r="W22" i="2"/>
  <c r="W21" i="2"/>
  <c r="T22" i="2"/>
  <c r="T21" i="2"/>
  <c r="Q22" i="2"/>
  <c r="Q21" i="2"/>
  <c r="N22" i="2"/>
  <c r="N21" i="2"/>
  <c r="K22" i="2"/>
  <c r="K21" i="2"/>
  <c r="Y26" i="2"/>
  <c r="V26" i="2"/>
  <c r="S26" i="2"/>
  <c r="P26" i="2"/>
  <c r="M26" i="2"/>
  <c r="D20" i="2"/>
  <c r="D19" i="2"/>
  <c r="D18" i="2"/>
  <c r="K8" i="2"/>
  <c r="J26" i="2" l="1"/>
  <c r="D15" i="2"/>
  <c r="D13" i="2"/>
  <c r="B28" i="7"/>
  <c r="E28" i="7" s="1"/>
  <c r="E20" i="2" l="1"/>
  <c r="E23" i="2"/>
  <c r="D10" i="7"/>
  <c r="D9" i="7"/>
  <c r="D8" i="7"/>
  <c r="D7" i="7"/>
  <c r="D6" i="7"/>
  <c r="C23" i="7"/>
  <c r="C22" i="7"/>
  <c r="C21" i="7"/>
  <c r="C20" i="7"/>
  <c r="C19" i="7"/>
  <c r="C18" i="7"/>
  <c r="C17" i="7"/>
  <c r="D17" i="7" s="1"/>
  <c r="D18" i="7"/>
  <c r="D19" i="7"/>
  <c r="D20" i="7"/>
  <c r="D21" i="7"/>
  <c r="D22" i="7"/>
  <c r="D23" i="7"/>
  <c r="D16" i="7"/>
  <c r="D10" i="1"/>
  <c r="E30" i="1"/>
  <c r="D23" i="1"/>
  <c r="E24" i="1" s="1"/>
  <c r="D19" i="1"/>
  <c r="C15" i="1"/>
  <c r="D15" i="1" s="1"/>
  <c r="D9" i="1"/>
  <c r="D8" i="1"/>
  <c r="D7" i="1"/>
  <c r="D6" i="1"/>
  <c r="E30" i="2" l="1"/>
  <c r="E23" i="7"/>
  <c r="E10" i="7"/>
  <c r="E10" i="1"/>
  <c r="C17" i="1"/>
  <c r="D17" i="1" s="1"/>
  <c r="C18" i="1"/>
  <c r="D18" i="1" s="1"/>
  <c r="C16" i="1"/>
  <c r="D16" i="1" s="1"/>
  <c r="D10" i="8" l="1"/>
  <c r="D6" i="6"/>
  <c r="E6" i="6" s="1"/>
  <c r="E24" i="6" s="1"/>
  <c r="D11" i="8" s="1"/>
  <c r="E33" i="7"/>
  <c r="E19" i="1"/>
  <c r="E35" i="1" s="1"/>
  <c r="D8" i="8" s="1"/>
  <c r="D14" i="8" l="1"/>
</calcChain>
</file>

<file path=xl/sharedStrings.xml><?xml version="1.0" encoding="utf-8"?>
<sst xmlns="http://schemas.openxmlformats.org/spreadsheetml/2006/main" count="239" uniqueCount="131">
  <si>
    <t>Container</t>
  </si>
  <si>
    <t>Container Development</t>
  </si>
  <si>
    <t>New / Existing Container</t>
  </si>
  <si>
    <t>New</t>
  </si>
  <si>
    <t>Existing</t>
  </si>
  <si>
    <t>Container Solutions</t>
  </si>
  <si>
    <t>Container Repositories</t>
  </si>
  <si>
    <t>Container Build Definitions</t>
  </si>
  <si>
    <t>SETUP</t>
  </si>
  <si>
    <t>Container Release Templates</t>
  </si>
  <si>
    <t>Presentation</t>
  </si>
  <si>
    <t>Simple</t>
  </si>
  <si>
    <t>Complexity</t>
  </si>
  <si>
    <t>PRESENTATION</t>
  </si>
  <si>
    <t>Responsive</t>
  </si>
  <si>
    <t>Yes</t>
  </si>
  <si>
    <t>No</t>
  </si>
  <si>
    <t>Cross-browser</t>
  </si>
  <si>
    <t>Cross-device</t>
  </si>
  <si>
    <t>BEHAVIOUR</t>
  </si>
  <si>
    <t>No. layouts</t>
  </si>
  <si>
    <t>Site Cat</t>
  </si>
  <si>
    <t>Other</t>
  </si>
  <si>
    <t>Days</t>
  </si>
  <si>
    <t>MISCELLANEOUS</t>
  </si>
  <si>
    <t>New / Tweak existing</t>
  </si>
  <si>
    <t>Tweak Existing Presentation Ratio</t>
  </si>
  <si>
    <t>Layouts</t>
  </si>
  <si>
    <t>Cross-browser tweak ratio</t>
  </si>
  <si>
    <t>Responsive tweak ratio</t>
  </si>
  <si>
    <t>Cross-device tweak ratio</t>
  </si>
  <si>
    <t>Misc 2</t>
  </si>
  <si>
    <t>Misc 3</t>
  </si>
  <si>
    <t>Misc 1</t>
  </si>
  <si>
    <t>TOTAL</t>
  </si>
  <si>
    <t>Feature</t>
  </si>
  <si>
    <t>Feature Application Development</t>
  </si>
  <si>
    <t>New / Existing Application</t>
  </si>
  <si>
    <t>App Repositories</t>
  </si>
  <si>
    <t>Static Content App Solution</t>
  </si>
  <si>
    <t>App Build Definitions</t>
  </si>
  <si>
    <t>App Release Templates</t>
  </si>
  <si>
    <t>Grunt</t>
  </si>
  <si>
    <t>Container Grunt Updates</t>
  </si>
  <si>
    <t>App Grunt</t>
  </si>
  <si>
    <t>SERVICES</t>
  </si>
  <si>
    <t>New API services</t>
  </si>
  <si>
    <t>SuppDataReportingPeriod</t>
  </si>
  <si>
    <t>SuppDataCapture</t>
  </si>
  <si>
    <t>CRUD</t>
  </si>
  <si>
    <t>CRUD &amp; Strategy</t>
  </si>
  <si>
    <t>New API Service</t>
  </si>
  <si>
    <t>Feature Application</t>
  </si>
  <si>
    <t>Services</t>
  </si>
  <si>
    <t>Crud</t>
  </si>
  <si>
    <t>Crud &amp; Strategy</t>
  </si>
  <si>
    <t>Generate Solution</t>
  </si>
  <si>
    <t>Feature Repositories</t>
  </si>
  <si>
    <t>TECHNICAL DEBT</t>
  </si>
  <si>
    <t>Refactoring</t>
  </si>
  <si>
    <t>Feature Build Definitions</t>
  </si>
  <si>
    <t>Feature Release Templates</t>
  </si>
  <si>
    <t>Feature Build Definition</t>
  </si>
  <si>
    <t>Container Build Definition</t>
  </si>
  <si>
    <t>Container Release Template</t>
  </si>
  <si>
    <t>Feature Release Template</t>
  </si>
  <si>
    <t>App Release Template</t>
  </si>
  <si>
    <t>App Build Definition</t>
  </si>
  <si>
    <t>VIEWS</t>
  </si>
  <si>
    <t>Supp Data Entry</t>
  </si>
  <si>
    <t>No. APIs</t>
  </si>
  <si>
    <t>Existing widgets</t>
  </si>
  <si>
    <t>FeatureWidgetExisting</t>
  </si>
  <si>
    <t>FeatureNewWidgetSimple</t>
  </si>
  <si>
    <t>FeatureNewWidgetMedium</t>
  </si>
  <si>
    <t>FeatureNewWidgetComplex</t>
  </si>
  <si>
    <t>No. New widgets: simple</t>
  </si>
  <si>
    <t>No. New widgets: medium</t>
  </si>
  <si>
    <t>No. New widgets: complex</t>
  </si>
  <si>
    <t>GENERAL</t>
  </si>
  <si>
    <t>Site Cat ?</t>
  </si>
  <si>
    <t>No. Views</t>
  </si>
  <si>
    <t>User Preferences ?</t>
  </si>
  <si>
    <t>Cross-browser ?</t>
  </si>
  <si>
    <t>Cross-device ?</t>
  </si>
  <si>
    <t>Canvas ?</t>
  </si>
  <si>
    <t>Medium</t>
  </si>
  <si>
    <t>Complex</t>
  </si>
  <si>
    <t>Data manipulation</t>
  </si>
  <si>
    <t>Data validation</t>
  </si>
  <si>
    <t>Form submission</t>
  </si>
  <si>
    <t>AppTechDebtRefactor</t>
  </si>
  <si>
    <t>View 1</t>
  </si>
  <si>
    <t>View 2</t>
  </si>
  <si>
    <t>View 3</t>
  </si>
  <si>
    <t>View 4</t>
  </si>
  <si>
    <t>View 5</t>
  </si>
  <si>
    <t>FeatureSiteCat</t>
  </si>
  <si>
    <t>FeatureSiteCatPerView</t>
  </si>
  <si>
    <t>FeatureUserPreferences</t>
  </si>
  <si>
    <t>Name</t>
  </si>
  <si>
    <t>Total</t>
  </si>
  <si>
    <t>View 6</t>
  </si>
  <si>
    <t>FeatureApiCall</t>
  </si>
  <si>
    <t>FeatureCanvas</t>
  </si>
  <si>
    <t>Canvas</t>
  </si>
  <si>
    <t>Data Manipulation</t>
  </si>
  <si>
    <t>Data Validation</t>
  </si>
  <si>
    <t>Atlas Feature Development Estimate</t>
  </si>
  <si>
    <t>Application</t>
  </si>
  <si>
    <t>Sales</t>
  </si>
  <si>
    <t>OD</t>
  </si>
  <si>
    <t>Application Development</t>
  </si>
  <si>
    <t>Feature Development</t>
  </si>
  <si>
    <t>Deployment &amp; Support</t>
  </si>
  <si>
    <t/>
  </si>
  <si>
    <t>Only edit cells with a border !</t>
  </si>
  <si>
    <t>Blue text is calculated</t>
  </si>
  <si>
    <t>Total widgets</t>
  </si>
  <si>
    <t>QA Support</t>
  </si>
  <si>
    <t>Production Deployment</t>
  </si>
  <si>
    <t>Deployment</t>
  </si>
  <si>
    <t>Smoke Testing</t>
  </si>
  <si>
    <t>QA support</t>
  </si>
  <si>
    <t>Release administration</t>
  </si>
  <si>
    <t>Source control</t>
  </si>
  <si>
    <t>QA support ratio</t>
  </si>
  <si>
    <t>Production deployment</t>
  </si>
  <si>
    <t>Production smoke testing</t>
  </si>
  <si>
    <t>New or Existing Feature ?</t>
  </si>
  <si>
    <t>New /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</si>
</sst>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0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4"/>
      <color theme="5"/>
      <name val="Calibri"/>
      <family val="2"/>
      <scheme val="minor"/>
    </font>
    <font>
      <b/>
      <sz val="20"/>
      <color theme="6" tint="-0.249977111117893"/>
      <name val="Calibri"/>
      <family val="2"/>
      <scheme val="minor"/>
    </font>
    <font>
      <b/>
      <sz val="12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4"/>
      <color theme="6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Border="1"/>
    <xf numFmtId="0" fontId="4" fillId="0" borderId="0" xfId="0" applyFont="1"/>
    <xf numFmtId="0" fontId="0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/>
    <xf numFmtId="0" fontId="3" fillId="0" borderId="0" xfId="0" applyFont="1" applyFill="1"/>
    <xf numFmtId="0" fontId="5" fillId="0" borderId="0" xfId="0" applyFont="1"/>
    <xf numFmtId="0" fontId="0" fillId="0" borderId="0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0" fillId="0" borderId="0" xfId="0" applyFill="1" applyBorder="1"/>
    <xf numFmtId="0" fontId="4" fillId="0" borderId="0" xfId="0" applyFont="1" applyFill="1"/>
    <xf numFmtId="0" fontId="0" fillId="4" borderId="0" xfId="0" applyFill="1"/>
    <xf numFmtId="0" fontId="3" fillId="0" borderId="3" xfId="0" applyFont="1" applyFill="1" applyBorder="1"/>
    <xf numFmtId="0" fontId="3" fillId="0" borderId="5" xfId="0" applyFont="1" applyFill="1" applyBorder="1"/>
    <xf numFmtId="0" fontId="3" fillId="4" borderId="0" xfId="0" applyFont="1" applyFill="1"/>
    <xf numFmtId="0" fontId="1" fillId="0" borderId="10" xfId="0" applyFont="1" applyBorder="1"/>
    <xf numFmtId="0" fontId="0" fillId="0" borderId="11" xfId="0" applyBorder="1"/>
    <xf numFmtId="0" fontId="0" fillId="0" borderId="11" xfId="0" applyFill="1" applyBorder="1"/>
    <xf numFmtId="0" fontId="5" fillId="4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1" fillId="4" borderId="0" xfId="0" applyFont="1" applyFill="1"/>
    <xf numFmtId="0" fontId="4" fillId="4" borderId="0" xfId="0" applyFont="1" applyFill="1"/>
    <xf numFmtId="0" fontId="4" fillId="0" borderId="1" xfId="0" applyFont="1" applyBorder="1"/>
    <xf numFmtId="0" fontId="4" fillId="0" borderId="9" xfId="0" applyFont="1" applyBorder="1"/>
    <xf numFmtId="0" fontId="3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right"/>
    </xf>
    <xf numFmtId="0" fontId="12" fillId="0" borderId="8" xfId="0" applyFont="1" applyBorder="1" applyAlignment="1">
      <alignment horizontal="right"/>
    </xf>
    <xf numFmtId="0" fontId="13" fillId="0" borderId="8" xfId="0" applyFont="1" applyBorder="1"/>
    <xf numFmtId="0" fontId="12" fillId="0" borderId="8" xfId="0" applyFont="1" applyBorder="1"/>
    <xf numFmtId="0" fontId="11" fillId="0" borderId="8" xfId="0" applyFont="1" applyBorder="1" applyAlignment="1">
      <alignment horizontal="right"/>
    </xf>
    <xf numFmtId="0" fontId="15" fillId="0" borderId="8" xfId="0" applyFont="1" applyBorder="1"/>
    <xf numFmtId="0" fontId="11" fillId="0" borderId="8" xfId="0" applyFont="1" applyBorder="1"/>
    <xf numFmtId="0" fontId="18" fillId="0" borderId="8" xfId="0" applyFont="1" applyBorder="1" applyAlignment="1">
      <alignment horizontal="right"/>
    </xf>
    <xf numFmtId="0" fontId="19" fillId="0" borderId="8" xfId="0" applyFont="1" applyBorder="1"/>
    <xf numFmtId="0" fontId="18" fillId="0" borderId="8" xfId="0" applyFont="1" applyBorder="1"/>
    <xf numFmtId="0" fontId="4" fillId="0" borderId="0" xfId="0" applyFont="1" applyBorder="1"/>
    <xf numFmtId="0" fontId="17" fillId="4" borderId="0" xfId="0" applyFont="1" applyFill="1" applyAlignment="1">
      <alignment horizontal="center"/>
    </xf>
    <xf numFmtId="0" fontId="4" fillId="4" borderId="0" xfId="0" applyFont="1" applyFill="1" applyBorder="1"/>
    <xf numFmtId="0" fontId="18" fillId="4" borderId="0" xfId="0" applyFont="1" applyFill="1" applyBorder="1"/>
    <xf numFmtId="0" fontId="17" fillId="2" borderId="0" xfId="0" applyFont="1" applyFill="1" applyAlignment="1">
      <alignment horizontal="center"/>
    </xf>
    <xf numFmtId="0" fontId="16" fillId="2" borderId="0" xfId="0" applyFont="1" applyFill="1"/>
    <xf numFmtId="0" fontId="0" fillId="0" borderId="0" xfId="0" quotePrefix="1"/>
    <xf numFmtId="0" fontId="14" fillId="2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12" fillId="4" borderId="0" xfId="0" applyFont="1" applyFill="1" applyBorder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21" fillId="2" borderId="0" xfId="0" applyFont="1" applyFill="1"/>
    <xf numFmtId="0" fontId="20" fillId="5" borderId="0" xfId="0" applyFont="1" applyFill="1"/>
    <xf numFmtId="0" fontId="20" fillId="6" borderId="0" xfId="0" applyFont="1" applyFill="1"/>
    <xf numFmtId="0" fontId="20" fillId="7" borderId="0" xfId="0" applyFont="1" applyFill="1"/>
    <xf numFmtId="0" fontId="20" fillId="8" borderId="0" xfId="0" applyFont="1" applyFill="1"/>
    <xf numFmtId="0" fontId="1" fillId="0" borderId="8" xfId="0" applyFont="1" applyBorder="1"/>
    <xf numFmtId="0" fontId="1" fillId="0" borderId="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7" sqref="F7"/>
    </sheetView>
  </sheetViews>
  <sheetFormatPr defaultRowHeight="15" x14ac:dyDescent="0.25"/>
  <cols>
    <col min="1" max="1" width="26.7109375" customWidth="1"/>
    <col min="2" max="2" width="2.5703125" customWidth="1"/>
    <col min="3" max="3" width="26.42578125" customWidth="1"/>
    <col min="4" max="4" width="10" customWidth="1"/>
  </cols>
  <sheetData>
    <row r="1" spans="1:4" ht="26.25" x14ac:dyDescent="0.4">
      <c r="A1" s="44" t="s">
        <v>108</v>
      </c>
    </row>
    <row r="3" spans="1:4" x14ac:dyDescent="0.25">
      <c r="A3" s="45" t="s">
        <v>109</v>
      </c>
      <c r="C3" t="s">
        <v>110</v>
      </c>
    </row>
    <row r="4" spans="1:4" x14ac:dyDescent="0.25">
      <c r="A4" s="45" t="s">
        <v>35</v>
      </c>
      <c r="C4" t="s">
        <v>111</v>
      </c>
    </row>
    <row r="6" spans="1:4" x14ac:dyDescent="0.25">
      <c r="D6" s="3" t="s">
        <v>23</v>
      </c>
    </row>
    <row r="7" spans="1:4" x14ac:dyDescent="0.25">
      <c r="C7" s="2"/>
      <c r="D7" s="61" t="s">
        <v>115</v>
      </c>
    </row>
    <row r="8" spans="1:4" x14ac:dyDescent="0.25">
      <c r="C8" s="73" t="s">
        <v>1</v>
      </c>
      <c r="D8">
        <f>Container!E35</f>
        <v>3.15</v>
      </c>
    </row>
    <row r="9" spans="1:4" x14ac:dyDescent="0.25">
      <c r="C9" s="74" t="s">
        <v>112</v>
      </c>
      <c r="D9">
        <f>'Feature Application'!E33</f>
        <v>4.05</v>
      </c>
    </row>
    <row r="10" spans="1:4" x14ac:dyDescent="0.25">
      <c r="C10" s="75" t="s">
        <v>113</v>
      </c>
      <c r="D10">
        <f>'Supp Data Feature'!E30</f>
        <v>6.3</v>
      </c>
    </row>
    <row r="11" spans="1:4" x14ac:dyDescent="0.25">
      <c r="C11" s="76" t="s">
        <v>114</v>
      </c>
      <c r="D11">
        <f>'Deployment &amp; Support'!E24</f>
        <v>4.0750000000000002</v>
      </c>
    </row>
    <row r="14" spans="1:4" ht="15.75" thickBot="1" x14ac:dyDescent="0.3">
      <c r="C14" s="78" t="s">
        <v>34</v>
      </c>
      <c r="D14" s="77">
        <f>SUM(D8:D11)</f>
        <v>17.574999999999999</v>
      </c>
    </row>
    <row r="15" spans="1: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selection activeCell="B3" sqref="B3"/>
    </sheetView>
  </sheetViews>
  <sheetFormatPr defaultRowHeight="15" x14ac:dyDescent="0.25"/>
  <cols>
    <col min="1" max="1" width="28.7109375" customWidth="1"/>
    <col min="2" max="2" width="10.28515625" customWidth="1"/>
    <col min="3" max="3" width="4.5703125" style="5" customWidth="1"/>
    <col min="4" max="4" width="5.28515625" style="5" customWidth="1"/>
    <col min="5" max="5" width="8.140625" style="8" customWidth="1"/>
    <col min="6" max="6" width="3.85546875" style="8" customWidth="1"/>
    <col min="7" max="7" width="14.140625" customWidth="1"/>
    <col min="8" max="8" width="3.85546875" style="18" customWidth="1"/>
    <col min="9" max="9" width="28.7109375" customWidth="1"/>
    <col min="10" max="10" width="19.42578125" customWidth="1"/>
    <col min="11" max="11" width="5" style="19" customWidth="1"/>
    <col min="12" max="12" width="3.5703125" customWidth="1"/>
    <col min="13" max="13" width="20.140625" customWidth="1"/>
    <col min="14" max="14" width="5.7109375" customWidth="1"/>
    <col min="15" max="15" width="3.85546875" customWidth="1"/>
    <col min="16" max="16" width="20.7109375" customWidth="1"/>
    <col min="17" max="17" width="5.7109375" customWidth="1"/>
    <col min="18" max="18" width="3.28515625" customWidth="1"/>
    <col min="19" max="19" width="18.85546875" customWidth="1"/>
    <col min="20" max="20" width="6.140625" customWidth="1"/>
    <col min="21" max="21" width="3.7109375" customWidth="1"/>
    <col min="22" max="22" width="18" customWidth="1"/>
    <col min="23" max="23" width="6.140625" customWidth="1"/>
    <col min="24" max="24" width="3" customWidth="1"/>
    <col min="25" max="25" width="18.42578125" customWidth="1"/>
    <col min="26" max="26" width="6.28515625" customWidth="1"/>
    <col min="27" max="27" width="3.42578125" customWidth="1"/>
  </cols>
  <sheetData>
    <row r="1" spans="1:27" ht="26.25" x14ac:dyDescent="0.4">
      <c r="A1" s="60" t="s">
        <v>35</v>
      </c>
      <c r="B1" s="34"/>
      <c r="C1" s="35"/>
      <c r="D1" s="35"/>
      <c r="E1" s="59"/>
      <c r="F1" s="56"/>
      <c r="G1" s="6"/>
    </row>
    <row r="2" spans="1:27" ht="67.5" customHeight="1" x14ac:dyDescent="0.25">
      <c r="F2" s="38"/>
    </row>
    <row r="3" spans="1:27" x14ac:dyDescent="0.25">
      <c r="A3" s="1" t="s">
        <v>129</v>
      </c>
      <c r="B3" s="16" t="s">
        <v>4</v>
      </c>
      <c r="F3" s="38"/>
    </row>
    <row r="4" spans="1:27" x14ac:dyDescent="0.25">
      <c r="A4" s="1" t="s">
        <v>8</v>
      </c>
      <c r="D4" s="19"/>
      <c r="F4" s="38"/>
    </row>
    <row r="5" spans="1:27" x14ac:dyDescent="0.25">
      <c r="A5" s="5" t="s">
        <v>56</v>
      </c>
      <c r="C5" s="5">
        <f>FeatureGenerateSolution</f>
        <v>0.2</v>
      </c>
      <c r="D5" s="5">
        <f>IF(B3 = "New", C5, 0)</f>
        <v>0</v>
      </c>
      <c r="F5" s="38"/>
      <c r="H5" s="25"/>
      <c r="I5" s="32" t="s">
        <v>68</v>
      </c>
      <c r="J5" s="25"/>
      <c r="K5" s="28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 x14ac:dyDescent="0.25">
      <c r="A6" s="5" t="s">
        <v>57</v>
      </c>
      <c r="C6" s="5">
        <f>FeatureRepos</f>
        <v>0.2</v>
      </c>
      <c r="D6" s="5">
        <f t="shared" ref="D6:D9" si="0">IF(B4 = "New", C6, 0)</f>
        <v>0</v>
      </c>
      <c r="F6" s="38"/>
      <c r="H6" s="25"/>
      <c r="J6" s="29" t="s">
        <v>92</v>
      </c>
      <c r="K6" s="26"/>
      <c r="L6" s="25"/>
      <c r="M6" s="29" t="s">
        <v>93</v>
      </c>
      <c r="N6" s="26"/>
      <c r="O6" s="25"/>
      <c r="P6" s="29" t="s">
        <v>94</v>
      </c>
      <c r="Q6" s="26"/>
      <c r="R6" s="25"/>
      <c r="S6" s="29" t="s">
        <v>95</v>
      </c>
      <c r="T6" s="26"/>
      <c r="U6" s="25"/>
      <c r="V6" s="29" t="s">
        <v>96</v>
      </c>
      <c r="W6" s="26"/>
      <c r="X6" s="25"/>
      <c r="Y6" s="29" t="s">
        <v>102</v>
      </c>
      <c r="Z6" s="26"/>
      <c r="AA6" s="25"/>
    </row>
    <row r="7" spans="1:27" x14ac:dyDescent="0.25">
      <c r="A7" s="5" t="s">
        <v>60</v>
      </c>
      <c r="B7" s="18"/>
      <c r="C7" s="5">
        <f>FeatureBuildDefinition</f>
        <v>0.2</v>
      </c>
      <c r="D7" s="5">
        <f t="shared" si="0"/>
        <v>0</v>
      </c>
      <c r="F7" s="38"/>
      <c r="H7" s="25"/>
      <c r="I7" s="2" t="s">
        <v>100</v>
      </c>
      <c r="J7" s="68" t="s">
        <v>69</v>
      </c>
      <c r="K7" s="27"/>
      <c r="L7" s="25"/>
      <c r="M7" s="68"/>
      <c r="N7" s="27"/>
      <c r="O7" s="25"/>
      <c r="P7" s="68"/>
      <c r="Q7" s="27"/>
      <c r="R7" s="25"/>
      <c r="S7" s="68"/>
      <c r="T7" s="27"/>
      <c r="U7" s="25"/>
      <c r="V7" s="68"/>
      <c r="W7" s="27"/>
      <c r="X7" s="25"/>
      <c r="Y7" s="68"/>
      <c r="Z7" s="27"/>
      <c r="AA7" s="25"/>
    </row>
    <row r="8" spans="1:27" x14ac:dyDescent="0.25">
      <c r="A8" s="5" t="s">
        <v>61</v>
      </c>
      <c r="C8" s="5">
        <f>FeatureReleaseTemplate</f>
        <v>0.2</v>
      </c>
      <c r="D8" s="5">
        <f t="shared" si="0"/>
        <v>0</v>
      </c>
      <c r="F8" s="38"/>
      <c r="H8" s="25"/>
      <c r="I8" s="2" t="s">
        <v>71</v>
      </c>
      <c r="J8" s="16">
        <v>0</v>
      </c>
      <c r="K8" s="27">
        <f>J8*FeatureWidgetExisting</f>
        <v>0</v>
      </c>
      <c r="L8" s="25"/>
      <c r="M8" s="16">
        <v>0</v>
      </c>
      <c r="N8" s="27"/>
      <c r="O8" s="25"/>
      <c r="P8" s="16">
        <v>0</v>
      </c>
      <c r="Q8" s="27"/>
      <c r="R8" s="25"/>
      <c r="S8" s="16">
        <v>0</v>
      </c>
      <c r="T8" s="27"/>
      <c r="U8" s="25"/>
      <c r="V8" s="16">
        <v>0</v>
      </c>
      <c r="W8" s="27"/>
      <c r="X8" s="25"/>
      <c r="Y8" s="16">
        <v>0</v>
      </c>
      <c r="Z8" s="27"/>
      <c r="AA8" s="25"/>
    </row>
    <row r="9" spans="1:27" x14ac:dyDescent="0.25">
      <c r="A9" s="5" t="s">
        <v>42</v>
      </c>
      <c r="C9" s="5">
        <f>FeatureGrunt</f>
        <v>0.2</v>
      </c>
      <c r="D9" s="5">
        <f t="shared" si="0"/>
        <v>0</v>
      </c>
      <c r="E9" s="8">
        <f>SUM(D5:D9)</f>
        <v>0</v>
      </c>
      <c r="F9" s="38"/>
      <c r="H9" s="25"/>
      <c r="I9" s="2" t="s">
        <v>76</v>
      </c>
      <c r="J9" s="16">
        <v>0</v>
      </c>
      <c r="K9" s="27"/>
      <c r="L9" s="25"/>
      <c r="M9" s="16"/>
      <c r="N9" s="27"/>
      <c r="O9" s="25"/>
      <c r="P9" s="16"/>
      <c r="Q9" s="27"/>
      <c r="R9" s="25"/>
      <c r="S9" s="16"/>
      <c r="T9" s="27"/>
      <c r="U9" s="25"/>
      <c r="V9" s="16"/>
      <c r="W9" s="27"/>
      <c r="X9" s="25"/>
      <c r="Y9" s="16"/>
      <c r="Z9" s="27"/>
      <c r="AA9" s="25"/>
    </row>
    <row r="10" spans="1:27" x14ac:dyDescent="0.25">
      <c r="F10" s="38"/>
      <c r="H10" s="25"/>
      <c r="I10" s="2" t="s">
        <v>77</v>
      </c>
      <c r="J10" s="16">
        <v>0</v>
      </c>
      <c r="K10" s="27"/>
      <c r="L10" s="25"/>
      <c r="M10" s="16"/>
      <c r="N10" s="27"/>
      <c r="O10" s="25"/>
      <c r="P10" s="16"/>
      <c r="Q10" s="27"/>
      <c r="R10" s="25"/>
      <c r="S10" s="16"/>
      <c r="T10" s="27"/>
      <c r="U10" s="25"/>
      <c r="V10" s="16"/>
      <c r="W10" s="27"/>
      <c r="X10" s="25"/>
      <c r="Y10" s="16"/>
      <c r="Z10" s="27"/>
      <c r="AA10" s="25"/>
    </row>
    <row r="11" spans="1:27" x14ac:dyDescent="0.25">
      <c r="F11" s="38"/>
      <c r="H11" s="25"/>
      <c r="I11" s="2" t="s">
        <v>78</v>
      </c>
      <c r="J11" s="16">
        <v>0</v>
      </c>
      <c r="K11" s="27"/>
      <c r="L11" s="25"/>
      <c r="M11" s="16"/>
      <c r="N11" s="27"/>
      <c r="O11" s="25"/>
      <c r="P11" s="16"/>
      <c r="Q11" s="27"/>
      <c r="R11" s="25"/>
      <c r="S11" s="16"/>
      <c r="T11" s="27"/>
      <c r="U11" s="25"/>
      <c r="V11" s="16"/>
      <c r="W11" s="27"/>
      <c r="X11" s="25"/>
      <c r="Y11" s="16"/>
      <c r="Z11" s="27"/>
      <c r="AA11" s="25"/>
    </row>
    <row r="12" spans="1:27" x14ac:dyDescent="0.25">
      <c r="A12" s="20" t="s">
        <v>79</v>
      </c>
      <c r="F12" s="38"/>
      <c r="H12" s="25"/>
      <c r="I12" s="21" t="s">
        <v>70</v>
      </c>
      <c r="J12" s="16">
        <v>0</v>
      </c>
      <c r="K12" s="27">
        <f>J12*FeatureApiCall</f>
        <v>0</v>
      </c>
      <c r="L12" s="25"/>
      <c r="M12" s="16">
        <v>2</v>
      </c>
      <c r="N12" s="27">
        <f>M12*FeatureApiCall</f>
        <v>0.4</v>
      </c>
      <c r="O12" s="25"/>
      <c r="P12" s="16">
        <v>2</v>
      </c>
      <c r="Q12" s="27">
        <f>P12*FeatureApiCall</f>
        <v>0.4</v>
      </c>
      <c r="R12" s="25"/>
      <c r="S12" s="16">
        <v>2</v>
      </c>
      <c r="T12" s="27">
        <f>S12*FeatureApiCall</f>
        <v>0.4</v>
      </c>
      <c r="U12" s="25"/>
      <c r="V12" s="16">
        <v>2</v>
      </c>
      <c r="W12" s="27">
        <f>V12*FeatureApiCall</f>
        <v>0.4</v>
      </c>
      <c r="X12" s="25"/>
      <c r="Y12" s="16">
        <v>2</v>
      </c>
      <c r="Z12" s="27">
        <f>Y12*FeatureApiCall</f>
        <v>0.4</v>
      </c>
      <c r="AA12" s="25"/>
    </row>
    <row r="13" spans="1:27" x14ac:dyDescent="0.25">
      <c r="A13" t="s">
        <v>80</v>
      </c>
      <c r="B13" s="70" t="str">
        <f>Container!B23</f>
        <v>Yes</v>
      </c>
      <c r="D13" s="5">
        <f>IF(B13="Yes",FeatureSiteCat + (FeatureSiteCatPerView*B14), 0)</f>
        <v>0.30000000000000004</v>
      </c>
      <c r="F13" s="38"/>
      <c r="H13" s="25"/>
      <c r="I13" s="21" t="s">
        <v>85</v>
      </c>
      <c r="J13" s="17" t="s">
        <v>87</v>
      </c>
      <c r="K13" s="27">
        <f>VLOOKUP(J13,Lookups!$C$26:$D$29,2, FALSE)</f>
        <v>5</v>
      </c>
      <c r="L13" s="25"/>
      <c r="M13" s="17" t="s">
        <v>16</v>
      </c>
      <c r="N13" s="27">
        <f>VLOOKUP(M13,Lookups!$C$26:$D$29,2, FALSE)</f>
        <v>0</v>
      </c>
      <c r="O13" s="25"/>
      <c r="P13" s="17" t="s">
        <v>16</v>
      </c>
      <c r="Q13" s="27">
        <f>VLOOKUP(P13,Lookups!$C$26:$D$29,2, FALSE)</f>
        <v>0</v>
      </c>
      <c r="R13" s="25"/>
      <c r="S13" s="17" t="s">
        <v>16</v>
      </c>
      <c r="T13" s="27">
        <f>VLOOKUP(S13,Lookups!$C$26:$D$29,2, FALSE)</f>
        <v>0</v>
      </c>
      <c r="U13" s="25"/>
      <c r="V13" s="17" t="s">
        <v>16</v>
      </c>
      <c r="W13" s="27">
        <f>VLOOKUP(V13,Lookups!$C$26:$D$29,2, FALSE)</f>
        <v>0</v>
      </c>
      <c r="X13" s="25"/>
      <c r="Y13" s="17" t="s">
        <v>16</v>
      </c>
      <c r="Z13" s="27">
        <f>VLOOKUP(Y13,Lookups!$C$26:$D$29,2, FALSE)</f>
        <v>0</v>
      </c>
      <c r="AA13" s="25"/>
    </row>
    <row r="14" spans="1:27" x14ac:dyDescent="0.25">
      <c r="A14" t="s">
        <v>81</v>
      </c>
      <c r="B14" s="16">
        <v>1</v>
      </c>
      <c r="F14" s="38"/>
      <c r="H14" s="25"/>
      <c r="I14" s="21" t="s">
        <v>88</v>
      </c>
      <c r="J14" s="17" t="s">
        <v>16</v>
      </c>
      <c r="K14" s="27">
        <f>VLOOKUP(J14,Lookups!$C$35:$D$38,2, FALSE)</f>
        <v>0</v>
      </c>
      <c r="L14" s="25"/>
      <c r="M14" s="17" t="s">
        <v>16</v>
      </c>
      <c r="N14" s="27">
        <f>VLOOKUP(M14,Lookups!$C$35:$D$38,2, FALSE)</f>
        <v>0</v>
      </c>
      <c r="O14" s="25"/>
      <c r="P14" s="17" t="s">
        <v>16</v>
      </c>
      <c r="Q14" s="27">
        <f>VLOOKUP(P14,Lookups!$C$35:$D$38,2, FALSE)</f>
        <v>0</v>
      </c>
      <c r="R14" s="25"/>
      <c r="S14" s="17" t="s">
        <v>16</v>
      </c>
      <c r="T14" s="27">
        <f>VLOOKUP(S14,Lookups!$C$35:$D$38,2, FALSE)</f>
        <v>0</v>
      </c>
      <c r="U14" s="25"/>
      <c r="V14" s="17" t="s">
        <v>16</v>
      </c>
      <c r="W14" s="27">
        <f>VLOOKUP(V14,Lookups!$C$35:$D$38,2, FALSE)</f>
        <v>0</v>
      </c>
      <c r="X14" s="25"/>
      <c r="Y14" s="17" t="s">
        <v>16</v>
      </c>
      <c r="Z14" s="27">
        <f>VLOOKUP(Y14,Lookups!$C$35:$D$38,2, FALSE)</f>
        <v>0</v>
      </c>
      <c r="AA14" s="25"/>
    </row>
    <row r="15" spans="1:27" x14ac:dyDescent="0.25">
      <c r="A15" t="s">
        <v>82</v>
      </c>
      <c r="B15" s="69" t="s">
        <v>16</v>
      </c>
      <c r="D15" s="5">
        <f>IF(B15="Yes",FeatureUserPreferences, 0)</f>
        <v>0</v>
      </c>
      <c r="F15" s="38"/>
      <c r="H15" s="25"/>
      <c r="I15" s="21" t="s">
        <v>89</v>
      </c>
      <c r="J15" s="17" t="s">
        <v>16</v>
      </c>
      <c r="K15" s="27">
        <v>0</v>
      </c>
      <c r="L15" s="25"/>
      <c r="M15" s="17" t="s">
        <v>16</v>
      </c>
      <c r="N15" s="27"/>
      <c r="O15" s="25"/>
      <c r="P15" s="17" t="s">
        <v>16</v>
      </c>
      <c r="Q15" s="27"/>
      <c r="R15" s="25"/>
      <c r="S15" s="17" t="s">
        <v>16</v>
      </c>
      <c r="T15" s="27"/>
      <c r="U15" s="25"/>
      <c r="V15" s="17" t="s">
        <v>16</v>
      </c>
      <c r="W15" s="27"/>
      <c r="X15" s="25"/>
      <c r="Y15" s="17" t="s">
        <v>16</v>
      </c>
      <c r="Z15" s="27"/>
      <c r="AA15" s="25"/>
    </row>
    <row r="16" spans="1:27" x14ac:dyDescent="0.25">
      <c r="A16" t="s">
        <v>83</v>
      </c>
      <c r="B16" s="70" t="str">
        <f>Container!B17</f>
        <v>Yes</v>
      </c>
      <c r="F16" s="38"/>
      <c r="H16" s="25"/>
      <c r="I16" s="21" t="s">
        <v>90</v>
      </c>
      <c r="J16" s="17" t="s">
        <v>16</v>
      </c>
      <c r="K16" s="27">
        <v>0</v>
      </c>
      <c r="L16" s="25"/>
      <c r="M16" s="17" t="s">
        <v>16</v>
      </c>
      <c r="N16" s="27"/>
      <c r="O16" s="25"/>
      <c r="P16" s="17" t="s">
        <v>16</v>
      </c>
      <c r="Q16" s="27"/>
      <c r="R16" s="25"/>
      <c r="S16" s="17" t="s">
        <v>16</v>
      </c>
      <c r="T16" s="27"/>
      <c r="U16" s="25"/>
      <c r="V16" s="17" t="s">
        <v>16</v>
      </c>
      <c r="W16" s="27"/>
      <c r="X16" s="25"/>
      <c r="Y16" s="17" t="s">
        <v>16</v>
      </c>
      <c r="Z16" s="27"/>
      <c r="AA16" s="25"/>
    </row>
    <row r="17" spans="1:27" x14ac:dyDescent="0.25">
      <c r="A17" t="s">
        <v>84</v>
      </c>
      <c r="B17" s="70" t="str">
        <f>Container!B18</f>
        <v>No</v>
      </c>
      <c r="F17" s="38"/>
      <c r="H17" s="25"/>
      <c r="I17" s="21" t="s">
        <v>33</v>
      </c>
      <c r="J17" s="16"/>
      <c r="K17" s="27"/>
      <c r="L17" s="25"/>
      <c r="M17" s="16"/>
      <c r="N17" s="27"/>
      <c r="O17" s="25"/>
      <c r="P17" s="16"/>
      <c r="Q17" s="27"/>
      <c r="R17" s="25"/>
      <c r="S17" s="16"/>
      <c r="T17" s="27"/>
      <c r="U17" s="25"/>
      <c r="V17" s="16"/>
      <c r="W17" s="27"/>
      <c r="X17" s="25"/>
      <c r="Y17" s="16"/>
      <c r="Z17" s="27"/>
      <c r="AA17" s="25"/>
    </row>
    <row r="18" spans="1:27" x14ac:dyDescent="0.25">
      <c r="A18" s="42" t="s">
        <v>33</v>
      </c>
      <c r="B18" s="16">
        <v>0</v>
      </c>
      <c r="D18" s="5">
        <f>B18</f>
        <v>0</v>
      </c>
      <c r="F18" s="38"/>
      <c r="H18" s="25"/>
      <c r="I18" s="21" t="s">
        <v>31</v>
      </c>
      <c r="J18" s="16"/>
      <c r="K18" s="27"/>
      <c r="L18" s="25"/>
      <c r="M18" s="16"/>
      <c r="N18" s="27"/>
      <c r="O18" s="25"/>
      <c r="P18" s="16"/>
      <c r="Q18" s="27"/>
      <c r="R18" s="25"/>
      <c r="S18" s="16"/>
      <c r="T18" s="27"/>
      <c r="U18" s="25"/>
      <c r="V18" s="16"/>
      <c r="W18" s="27"/>
      <c r="X18" s="25"/>
      <c r="Y18" s="16"/>
      <c r="Z18" s="27"/>
      <c r="AA18" s="25"/>
    </row>
    <row r="19" spans="1:27" x14ac:dyDescent="0.25">
      <c r="A19" s="42" t="s">
        <v>31</v>
      </c>
      <c r="B19" s="16">
        <v>0</v>
      </c>
      <c r="D19" s="5">
        <f>B19</f>
        <v>0</v>
      </c>
      <c r="F19" s="38"/>
      <c r="H19" s="25"/>
      <c r="I19" s="21" t="s">
        <v>32</v>
      </c>
      <c r="J19" s="16"/>
      <c r="K19" s="27"/>
      <c r="L19" s="25"/>
      <c r="M19" s="16"/>
      <c r="N19" s="27"/>
      <c r="O19" s="25"/>
      <c r="P19" s="16"/>
      <c r="Q19" s="27"/>
      <c r="R19" s="25"/>
      <c r="S19" s="16"/>
      <c r="T19" s="27"/>
      <c r="U19" s="25"/>
      <c r="V19" s="16"/>
      <c r="W19" s="27"/>
      <c r="X19" s="25"/>
      <c r="Y19" s="16"/>
      <c r="Z19" s="27"/>
      <c r="AA19" s="25"/>
    </row>
    <row r="20" spans="1:27" x14ac:dyDescent="0.25">
      <c r="A20" s="42" t="s">
        <v>32</v>
      </c>
      <c r="B20" s="16">
        <v>0</v>
      </c>
      <c r="D20" s="5">
        <f>B20</f>
        <v>0</v>
      </c>
      <c r="E20" s="55">
        <f>SUM(D13:D20)</f>
        <v>0.30000000000000004</v>
      </c>
      <c r="F20" s="57"/>
      <c r="H20" s="25"/>
      <c r="J20" s="30"/>
      <c r="K20" s="27"/>
      <c r="L20" s="25"/>
      <c r="M20" s="30"/>
      <c r="N20" s="27"/>
      <c r="O20" s="25"/>
      <c r="P20" s="30"/>
      <c r="Q20" s="27"/>
      <c r="R20" s="25"/>
      <c r="S20" s="30"/>
      <c r="T20" s="27"/>
      <c r="U20" s="25"/>
      <c r="V20" s="30"/>
      <c r="W20" s="27"/>
      <c r="X20" s="25"/>
      <c r="Y20" s="30"/>
      <c r="Z20" s="27"/>
      <c r="AA20" s="25"/>
    </row>
    <row r="21" spans="1:27" s="18" customFormat="1" x14ac:dyDescent="0.25">
      <c r="B21" s="23"/>
      <c r="C21" s="19"/>
      <c r="D21" s="19"/>
      <c r="E21" s="24"/>
      <c r="F21" s="38"/>
      <c r="H21" s="25"/>
      <c r="I21" s="41" t="s">
        <v>17</v>
      </c>
      <c r="J21" s="30"/>
      <c r="K21" s="27">
        <f>IF($J$7&lt;&gt;"",IF(CrossBrowser="Yes",FeatureCrossBrowser, 0),"")</f>
        <v>1</v>
      </c>
      <c r="L21" s="25"/>
      <c r="M21" s="30"/>
      <c r="N21" s="27">
        <f>IF($J$7&lt;&gt;"",IF(CrossBrowser="Yes",FeatureCrossBrowser, 0),"")</f>
        <v>1</v>
      </c>
      <c r="O21" s="25"/>
      <c r="P21" s="30"/>
      <c r="Q21" s="27">
        <f>IF($J$7&lt;&gt;"",IF(CrossBrowser="Yes",FeatureCrossBrowser, 0),"")</f>
        <v>1</v>
      </c>
      <c r="R21" s="25"/>
      <c r="S21" s="30"/>
      <c r="T21" s="27">
        <f>IF($J$7&lt;&gt;"",IF(CrossBrowser="Yes",FeatureCrossBrowser, 0),"")</f>
        <v>1</v>
      </c>
      <c r="U21" s="25"/>
      <c r="V21" s="30"/>
      <c r="W21" s="27">
        <f>IF($J$7&lt;&gt;"",IF(CrossBrowser="Yes",FeatureCrossBrowser, 0),"")</f>
        <v>1</v>
      </c>
      <c r="X21" s="25"/>
      <c r="Y21" s="30"/>
      <c r="Z21" s="27">
        <f>IF($J$7&lt;&gt;"",IF(CrossBrowser="Yes",FeatureCrossBrowser, 0),"")</f>
        <v>1</v>
      </c>
      <c r="AA21" s="25"/>
    </row>
    <row r="22" spans="1:27" x14ac:dyDescent="0.25">
      <c r="F22" s="38"/>
      <c r="H22" s="25"/>
      <c r="I22" s="41" t="s">
        <v>18</v>
      </c>
      <c r="J22" s="30"/>
      <c r="K22" s="27">
        <f>IF($J$7&lt;&gt;"",IF(CrossDevice="Yes",FeatureCrossDevice, 0),"")</f>
        <v>0</v>
      </c>
      <c r="L22" s="25"/>
      <c r="M22" s="30"/>
      <c r="N22" s="27">
        <f>IF($J$7&lt;&gt;"",IF(CrossDevice="Yes",FeatureCrossDevice, 0),"")</f>
        <v>0</v>
      </c>
      <c r="O22" s="25"/>
      <c r="P22" s="30"/>
      <c r="Q22" s="27">
        <f>IF($J$7&lt;&gt;"",IF(CrossDevice="Yes",FeatureCrossDevice, 0),"")</f>
        <v>0</v>
      </c>
      <c r="R22" s="25"/>
      <c r="S22" s="30"/>
      <c r="T22" s="27">
        <f>IF($J$7&lt;&gt;"",IF(CrossDevice="Yes",FeatureCrossDevice, 0),"")</f>
        <v>0</v>
      </c>
      <c r="U22" s="25"/>
      <c r="V22" s="30"/>
      <c r="W22" s="27">
        <f>IF($J$7&lt;&gt;"",IF(CrossDevice="Yes",FeatureCrossDevice, 0),"")</f>
        <v>0</v>
      </c>
      <c r="X22" s="25"/>
      <c r="Y22" s="30"/>
      <c r="Z22" s="27">
        <f>IF($J$7&lt;&gt;"",IF(CrossDevice="Yes",FeatureCrossDevice, 0),"")</f>
        <v>0</v>
      </c>
      <c r="AA22" s="25"/>
    </row>
    <row r="23" spans="1:27" x14ac:dyDescent="0.25">
      <c r="A23" s="1" t="s">
        <v>68</v>
      </c>
      <c r="E23" s="55">
        <f>SUM(J26:Z26)</f>
        <v>6</v>
      </c>
      <c r="F23" s="57"/>
      <c r="H23" s="25"/>
      <c r="I23" s="71" t="s">
        <v>118</v>
      </c>
      <c r="J23" s="30"/>
      <c r="K23" s="27">
        <f>SUM(K8:K11)</f>
        <v>0</v>
      </c>
      <c r="L23" s="25"/>
      <c r="M23" s="30"/>
      <c r="N23" s="27">
        <f>SUM(N8:N11)</f>
        <v>0</v>
      </c>
      <c r="O23" s="25"/>
      <c r="P23" s="30"/>
      <c r="Q23" s="27">
        <f>SUM(Q8:Q11)</f>
        <v>0</v>
      </c>
      <c r="R23" s="25"/>
      <c r="S23" s="30"/>
      <c r="T23" s="27">
        <f>SUM(T8:T11)</f>
        <v>0</v>
      </c>
      <c r="U23" s="25"/>
      <c r="V23" s="30"/>
      <c r="W23" s="27">
        <f>SUM(W8:W11)</f>
        <v>0</v>
      </c>
      <c r="X23" s="25"/>
      <c r="Y23" s="30"/>
      <c r="Z23" s="27">
        <f>SUM(Z8:Z11)</f>
        <v>0</v>
      </c>
      <c r="AA23" s="25"/>
    </row>
    <row r="24" spans="1:27" x14ac:dyDescent="0.25">
      <c r="F24" s="38"/>
      <c r="H24" s="25"/>
      <c r="J24" s="30"/>
      <c r="K24" s="27"/>
      <c r="L24" s="25"/>
      <c r="M24" s="30"/>
      <c r="N24" s="27"/>
      <c r="O24" s="25"/>
      <c r="P24" s="30"/>
      <c r="Q24" s="27"/>
      <c r="R24" s="25"/>
      <c r="S24" s="30"/>
      <c r="T24" s="27"/>
      <c r="U24" s="25"/>
      <c r="V24" s="30"/>
      <c r="W24" s="27"/>
      <c r="X24" s="25"/>
      <c r="Y24" s="30"/>
      <c r="Z24" s="27"/>
      <c r="AA24" s="25"/>
    </row>
    <row r="25" spans="1:27" x14ac:dyDescent="0.25">
      <c r="F25" s="38"/>
      <c r="H25" s="25"/>
      <c r="I25" s="18"/>
      <c r="J25" s="31"/>
      <c r="K25" s="27"/>
      <c r="L25" s="25"/>
      <c r="M25" s="31"/>
      <c r="N25" s="27"/>
      <c r="O25" s="25"/>
      <c r="P25" s="31"/>
      <c r="Q25" s="27"/>
      <c r="R25" s="25"/>
      <c r="S25" s="31"/>
      <c r="T25" s="27"/>
      <c r="U25" s="25"/>
      <c r="V25" s="31"/>
      <c r="W25" s="27"/>
      <c r="X25" s="25"/>
      <c r="Y25" s="31"/>
      <c r="Z25" s="27"/>
      <c r="AA25" s="25"/>
    </row>
    <row r="26" spans="1:27" ht="15.75" thickBot="1" x14ac:dyDescent="0.3">
      <c r="A26" s="1" t="s">
        <v>58</v>
      </c>
      <c r="F26" s="38"/>
      <c r="H26" s="25"/>
      <c r="I26" s="22" t="s">
        <v>101</v>
      </c>
      <c r="J26" s="39">
        <f>IF(B14&gt;=1,SUM(K7:K25),0)</f>
        <v>6</v>
      </c>
      <c r="K26" s="40"/>
      <c r="L26" s="38"/>
      <c r="M26" s="39">
        <f>IF(B14&gt;=2,SUM(N7:N25), 0)</f>
        <v>0</v>
      </c>
      <c r="N26" s="40"/>
      <c r="O26" s="38"/>
      <c r="P26" s="39">
        <f>IF(B14&gt;=3,SUM(Q7:Q25),0)</f>
        <v>0</v>
      </c>
      <c r="Q26" s="40"/>
      <c r="R26" s="38"/>
      <c r="S26" s="39">
        <f>IF(B14&gt;=4,SUM(T7:T25),0)</f>
        <v>0</v>
      </c>
      <c r="T26" s="40"/>
      <c r="U26" s="38"/>
      <c r="V26" s="39">
        <f>IF(B14&gt;=5,SUM(W7:W25),0)</f>
        <v>0</v>
      </c>
      <c r="W26" s="40"/>
      <c r="X26" s="37"/>
      <c r="Y26" s="39">
        <f>IF(B14&gt;=6,SUM(Z7:Z25),0)</f>
        <v>0</v>
      </c>
      <c r="Z26" s="40"/>
      <c r="AA26" s="25"/>
    </row>
    <row r="27" spans="1:27" ht="15.75" thickTop="1" x14ac:dyDescent="0.25">
      <c r="A27" t="s">
        <v>59</v>
      </c>
      <c r="F27" s="38"/>
      <c r="H27" s="25"/>
      <c r="I27" s="25"/>
      <c r="J27" s="25"/>
      <c r="K27" s="28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 x14ac:dyDescent="0.25">
      <c r="F28" s="38"/>
    </row>
    <row r="29" spans="1:27" x14ac:dyDescent="0.25">
      <c r="F29" s="38"/>
    </row>
    <row r="30" spans="1:27" ht="19.5" thickBot="1" x14ac:dyDescent="0.35">
      <c r="A30" s="52" t="s">
        <v>34</v>
      </c>
      <c r="B30" s="53"/>
      <c r="C30" s="53"/>
      <c r="D30" s="53"/>
      <c r="E30" s="54">
        <f>SUM(E2:E29)</f>
        <v>6.3</v>
      </c>
      <c r="F30" s="58"/>
    </row>
    <row r="31" spans="1:27" ht="15.75" thickTop="1" x14ac:dyDescent="0.25">
      <c r="A31" s="25"/>
      <c r="B31" s="25"/>
      <c r="C31" s="28"/>
      <c r="D31" s="28"/>
      <c r="E31" s="38"/>
      <c r="F31" s="38"/>
    </row>
  </sheetData>
  <dataValidations count="1">
    <dataValidation allowBlank="1" showInputMessage="1" showErrorMessage="1" sqref="T13:T16 W13:W16 K13:K16 N13:N16 Q13:Q16 Z13:Z16"/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Lists!$C$1:$C$2</xm:f>
          </x14:formula1>
          <xm:sqref>B13 V15:V16 B15:B17 B21 J15:J16 M15:M16 P15:P16 S15:S16 Y15:Y16</xm:sqref>
        </x14:dataValidation>
        <x14:dataValidation type="list" allowBlank="1" showInputMessage="1" showErrorMessage="1">
          <x14:formula1>
            <xm:f>Lists!$F$1:$F$4</xm:f>
          </x14:formula1>
          <xm:sqref>V13:V14 Y13:Y14 M13:M14 P13:P14 S13:S14</xm:sqref>
        </x14:dataValidation>
        <x14:dataValidation type="list" allowBlank="1" showInputMessage="1" showErrorMessage="1">
          <x14:formula1>
            <xm:f>Lookups!$C$26:$C$29</xm:f>
          </x14:formula1>
          <xm:sqref>J13</xm:sqref>
        </x14:dataValidation>
        <x14:dataValidation type="list" allowBlank="1" showInputMessage="1" showErrorMessage="1">
          <x14:formula1>
            <xm:f>Lookups!$C$35:$C$38</xm:f>
          </x14:formula1>
          <xm:sqref>J14</xm:sqref>
        </x14:dataValidation>
        <x14:dataValidation type="list" allowBlank="1" showInputMessage="1" showErrorMessage="1">
          <x14:formula1>
            <xm:f>Lookups!$C$47:$C$48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A35" sqref="A35:F36"/>
    </sheetView>
  </sheetViews>
  <sheetFormatPr defaultRowHeight="15" x14ac:dyDescent="0.25"/>
  <cols>
    <col min="1" max="1" width="29.85546875" customWidth="1"/>
    <col min="3" max="3" width="7" style="5" customWidth="1"/>
    <col min="4" max="4" width="5.7109375" style="5" customWidth="1"/>
    <col min="5" max="5" width="9.140625" style="8" customWidth="1"/>
    <col min="6" max="6" width="3.85546875" style="8" customWidth="1"/>
    <col min="7" max="7" width="14.28515625" customWidth="1"/>
  </cols>
  <sheetData>
    <row r="1" spans="1:8" ht="26.25" x14ac:dyDescent="0.4">
      <c r="A1" s="65" t="s">
        <v>1</v>
      </c>
      <c r="B1" s="34"/>
      <c r="C1" s="35"/>
      <c r="D1" s="35"/>
      <c r="E1" s="62"/>
      <c r="F1" s="63"/>
    </row>
    <row r="2" spans="1:8" ht="63" customHeight="1" x14ac:dyDescent="0.25">
      <c r="F2" s="38"/>
    </row>
    <row r="3" spans="1:8" x14ac:dyDescent="0.25">
      <c r="A3" t="s">
        <v>2</v>
      </c>
      <c r="B3" s="69" t="s">
        <v>3</v>
      </c>
      <c r="F3" s="38"/>
      <c r="H3" t="s">
        <v>116</v>
      </c>
    </row>
    <row r="4" spans="1:8" x14ac:dyDescent="0.25">
      <c r="F4" s="38"/>
      <c r="H4" s="5" t="s">
        <v>117</v>
      </c>
    </row>
    <row r="5" spans="1:8" x14ac:dyDescent="0.25">
      <c r="A5" s="33" t="s">
        <v>8</v>
      </c>
      <c r="B5" s="34"/>
      <c r="C5" s="35"/>
      <c r="D5" s="35"/>
      <c r="E5" s="36"/>
      <c r="F5" s="38"/>
    </row>
    <row r="6" spans="1:8" x14ac:dyDescent="0.25">
      <c r="A6" s="5" t="s">
        <v>5</v>
      </c>
      <c r="D6" s="5">
        <f>NewContainerSolutions</f>
        <v>0.2</v>
      </c>
      <c r="F6" s="38"/>
    </row>
    <row r="7" spans="1:8" x14ac:dyDescent="0.25">
      <c r="A7" s="5" t="s">
        <v>6</v>
      </c>
      <c r="D7" s="5">
        <f>NewContainerRepos</f>
        <v>0.2</v>
      </c>
      <c r="F7" s="38"/>
    </row>
    <row r="8" spans="1:8" x14ac:dyDescent="0.25">
      <c r="A8" s="5" t="s">
        <v>7</v>
      </c>
      <c r="D8" s="5">
        <f>NewContainerBuildDefinitions</f>
        <v>0.2</v>
      </c>
      <c r="F8" s="38"/>
    </row>
    <row r="9" spans="1:8" x14ac:dyDescent="0.25">
      <c r="A9" s="5" t="s">
        <v>9</v>
      </c>
      <c r="D9" s="5">
        <f>NewContainerReleaseTemplates</f>
        <v>0.2</v>
      </c>
      <c r="F9" s="38"/>
    </row>
    <row r="10" spans="1:8" x14ac:dyDescent="0.25">
      <c r="A10" s="5" t="s">
        <v>42</v>
      </c>
      <c r="D10" s="5">
        <f>ContainerGrunt</f>
        <v>0.1</v>
      </c>
      <c r="E10" s="8">
        <f>IF(B3="New",SUM(D6:D10), 0)</f>
        <v>0.9</v>
      </c>
      <c r="F10" s="38"/>
    </row>
    <row r="11" spans="1:8" x14ac:dyDescent="0.25">
      <c r="F11" s="38"/>
    </row>
    <row r="12" spans="1:8" x14ac:dyDescent="0.25">
      <c r="F12" s="38"/>
    </row>
    <row r="13" spans="1:8" x14ac:dyDescent="0.25">
      <c r="A13" s="33" t="s">
        <v>13</v>
      </c>
      <c r="B13" s="34"/>
      <c r="C13" s="35"/>
      <c r="D13" s="35"/>
      <c r="E13" s="36"/>
      <c r="F13" s="38"/>
    </row>
    <row r="14" spans="1:8" x14ac:dyDescent="0.25">
      <c r="A14" t="s">
        <v>25</v>
      </c>
      <c r="B14" s="69" t="s">
        <v>3</v>
      </c>
      <c r="F14" s="38"/>
    </row>
    <row r="15" spans="1:8" x14ac:dyDescent="0.25">
      <c r="A15" t="s">
        <v>12</v>
      </c>
      <c r="B15" s="17">
        <v>1</v>
      </c>
      <c r="C15" s="5">
        <f>VLOOKUP(B15,Lookups!C4:D6,2)</f>
        <v>0.5</v>
      </c>
      <c r="D15" s="5">
        <f>IF(B14="New",C15,C15*ContainerTweakExistingPresentationRatio)</f>
        <v>0.5</v>
      </c>
      <c r="F15" s="38"/>
    </row>
    <row r="16" spans="1:8" x14ac:dyDescent="0.25">
      <c r="A16" t="s">
        <v>14</v>
      </c>
      <c r="B16" s="69" t="s">
        <v>16</v>
      </c>
      <c r="C16" s="5">
        <f>IF(B16="Yes",ContainerResponsive*C15, 0)</f>
        <v>0</v>
      </c>
      <c r="D16" s="5">
        <f>IF(B14="New",C16,C16*ContainerResponsiveTweakRatio)</f>
        <v>0</v>
      </c>
      <c r="F16" s="38"/>
    </row>
    <row r="17" spans="1:6" x14ac:dyDescent="0.25">
      <c r="A17" t="s">
        <v>17</v>
      </c>
      <c r="B17" s="69" t="s">
        <v>15</v>
      </c>
      <c r="C17" s="5">
        <f>IF(B17="Yes",ContainerCrossBrowser*C15, 0)</f>
        <v>0.5</v>
      </c>
      <c r="D17" s="5">
        <f>IF(B14="New",C17,C17*ContainerCrossBrowserTweakRatio)</f>
        <v>0.5</v>
      </c>
      <c r="F17" s="38"/>
    </row>
    <row r="18" spans="1:6" x14ac:dyDescent="0.25">
      <c r="A18" t="s">
        <v>18</v>
      </c>
      <c r="B18" s="69" t="s">
        <v>16</v>
      </c>
      <c r="C18" s="5">
        <f>IF(B18="Yes",ContainerCrossDevice*C15, 0)</f>
        <v>0</v>
      </c>
      <c r="D18" s="5">
        <f>IF(B14="New",C18,C18*ContainerCrossDeviceTweakRatio)</f>
        <v>0</v>
      </c>
      <c r="F18" s="38"/>
    </row>
    <row r="19" spans="1:6" x14ac:dyDescent="0.25">
      <c r="A19" t="s">
        <v>20</v>
      </c>
      <c r="B19" s="16">
        <v>1</v>
      </c>
      <c r="D19" s="5">
        <f>B19*ContainerLayouts</f>
        <v>0.25</v>
      </c>
      <c r="E19" s="8">
        <f>SUM(D15:D19)</f>
        <v>1.25</v>
      </c>
      <c r="F19" s="38"/>
    </row>
    <row r="20" spans="1:6" x14ac:dyDescent="0.25">
      <c r="B20" s="7"/>
      <c r="F20" s="38"/>
    </row>
    <row r="21" spans="1:6" x14ac:dyDescent="0.25">
      <c r="F21" s="38"/>
    </row>
    <row r="22" spans="1:6" x14ac:dyDescent="0.25">
      <c r="A22" s="33" t="s">
        <v>19</v>
      </c>
      <c r="B22" s="34"/>
      <c r="C22" s="35"/>
      <c r="D22" s="35"/>
      <c r="E22" s="36"/>
      <c r="F22" s="38"/>
    </row>
    <row r="23" spans="1:6" x14ac:dyDescent="0.25">
      <c r="A23" t="s">
        <v>21</v>
      </c>
      <c r="B23" s="69" t="s">
        <v>15</v>
      </c>
      <c r="D23" s="5">
        <f>IF(B23="Yes", ContainerSiteCat, 0)</f>
        <v>1</v>
      </c>
      <c r="F23" s="38"/>
    </row>
    <row r="24" spans="1:6" x14ac:dyDescent="0.25">
      <c r="A24" s="43" t="s">
        <v>22</v>
      </c>
      <c r="B24" s="16">
        <v>0</v>
      </c>
      <c r="E24" s="8">
        <f>SUM(D23:D24)</f>
        <v>1</v>
      </c>
      <c r="F24" s="38"/>
    </row>
    <row r="25" spans="1:6" x14ac:dyDescent="0.25">
      <c r="B25" s="7"/>
      <c r="F25" s="38"/>
    </row>
    <row r="26" spans="1:6" x14ac:dyDescent="0.25">
      <c r="F26" s="38"/>
    </row>
    <row r="27" spans="1:6" x14ac:dyDescent="0.25">
      <c r="A27" s="33" t="s">
        <v>24</v>
      </c>
      <c r="B27" s="34"/>
      <c r="C27" s="35"/>
      <c r="D27" s="35"/>
      <c r="E27" s="36"/>
      <c r="F27" s="38"/>
    </row>
    <row r="28" spans="1:6" x14ac:dyDescent="0.25">
      <c r="A28" s="43" t="s">
        <v>33</v>
      </c>
      <c r="B28" s="16">
        <v>0</v>
      </c>
      <c r="F28" s="38"/>
    </row>
    <row r="29" spans="1:6" x14ac:dyDescent="0.25">
      <c r="A29" s="43" t="s">
        <v>31</v>
      </c>
      <c r="B29" s="16">
        <v>0</v>
      </c>
      <c r="F29" s="38"/>
    </row>
    <row r="30" spans="1:6" x14ac:dyDescent="0.25">
      <c r="A30" s="43" t="s">
        <v>32</v>
      </c>
      <c r="B30" s="16">
        <v>0</v>
      </c>
      <c r="E30" s="8">
        <f>SUM(B28:B30)</f>
        <v>0</v>
      </c>
      <c r="F30" s="38"/>
    </row>
    <row r="31" spans="1:6" x14ac:dyDescent="0.25">
      <c r="F31" s="38"/>
    </row>
    <row r="32" spans="1:6" x14ac:dyDescent="0.25">
      <c r="F32" s="38"/>
    </row>
    <row r="33" spans="1:6" x14ac:dyDescent="0.25">
      <c r="F33" s="38"/>
    </row>
    <row r="34" spans="1:6" x14ac:dyDescent="0.25">
      <c r="F34" s="38"/>
    </row>
    <row r="35" spans="1:6" ht="19.5" thickBot="1" x14ac:dyDescent="0.35">
      <c r="A35" s="46" t="s">
        <v>34</v>
      </c>
      <c r="B35" s="47"/>
      <c r="C35" s="47"/>
      <c r="D35" s="47"/>
      <c r="E35" s="48">
        <f>SUM(E2:E34)</f>
        <v>3.15</v>
      </c>
      <c r="F35" s="64"/>
    </row>
    <row r="36" spans="1:6" ht="15.75" thickTop="1" x14ac:dyDescent="0.25">
      <c r="A36" s="25"/>
      <c r="B36" s="25"/>
      <c r="C36" s="28"/>
      <c r="D36" s="28"/>
      <c r="E36" s="38"/>
      <c r="F36" s="38"/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Lists!$A$1:$A$2</xm:f>
          </x14:formula1>
          <xm:sqref>B3 B14</xm:sqref>
        </x14:dataValidation>
        <x14:dataValidation type="list" allowBlank="1" showInputMessage="1" showErrorMessage="1">
          <x14:formula1>
            <xm:f>Lists!$B$1:$B$3</xm:f>
          </x14:formula1>
          <xm:sqref>B15</xm:sqref>
        </x14:dataValidation>
        <x14:dataValidation type="list" allowBlank="1" showInputMessage="1" showErrorMessage="1">
          <x14:formula1>
            <xm:f>Lists!$C$1:$C$2</xm:f>
          </x14:formula1>
          <xm:sqref>B23 B16:B18 B20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I41" sqref="I41"/>
    </sheetView>
  </sheetViews>
  <sheetFormatPr defaultRowHeight="15" x14ac:dyDescent="0.25"/>
  <cols>
    <col min="1" max="1" width="32.7109375" customWidth="1"/>
    <col min="2" max="2" width="14" customWidth="1"/>
    <col min="3" max="3" width="5.85546875" style="5" customWidth="1"/>
    <col min="4" max="4" width="7.7109375" style="5" customWidth="1"/>
    <col min="5" max="5" width="9.140625" style="8"/>
    <col min="6" max="6" width="4.28515625" customWidth="1"/>
  </cols>
  <sheetData>
    <row r="1" spans="1:6" ht="26.25" x14ac:dyDescent="0.4">
      <c r="A1" s="66" t="s">
        <v>36</v>
      </c>
      <c r="B1" s="34"/>
      <c r="C1" s="35"/>
      <c r="D1" s="35"/>
      <c r="E1" s="67"/>
      <c r="F1" s="25"/>
    </row>
    <row r="2" spans="1:6" ht="72.75" customHeight="1" x14ac:dyDescent="0.25">
      <c r="F2" s="25"/>
    </row>
    <row r="3" spans="1:6" x14ac:dyDescent="0.25">
      <c r="A3" t="s">
        <v>37</v>
      </c>
      <c r="B3" s="69" t="s">
        <v>3</v>
      </c>
      <c r="F3" s="25"/>
    </row>
    <row r="4" spans="1:6" x14ac:dyDescent="0.25">
      <c r="F4" s="25"/>
    </row>
    <row r="5" spans="1:6" x14ac:dyDescent="0.25">
      <c r="A5" s="1" t="s">
        <v>8</v>
      </c>
      <c r="F5" s="25"/>
    </row>
    <row r="6" spans="1:6" x14ac:dyDescent="0.25">
      <c r="A6" s="5" t="s">
        <v>39</v>
      </c>
      <c r="D6" s="5">
        <f>AppSolution</f>
        <v>0.2</v>
      </c>
      <c r="F6" s="25"/>
    </row>
    <row r="7" spans="1:6" x14ac:dyDescent="0.25">
      <c r="A7" s="5" t="s">
        <v>38</v>
      </c>
      <c r="D7" s="5">
        <f>AppRepo</f>
        <v>0.2</v>
      </c>
      <c r="F7" s="25"/>
    </row>
    <row r="8" spans="1:6" x14ac:dyDescent="0.25">
      <c r="A8" s="5" t="s">
        <v>40</v>
      </c>
      <c r="D8" s="5">
        <f>AppBuildDefinition</f>
        <v>0.2</v>
      </c>
      <c r="F8" s="25"/>
    </row>
    <row r="9" spans="1:6" x14ac:dyDescent="0.25">
      <c r="A9" s="5" t="s">
        <v>41</v>
      </c>
      <c r="D9" s="5">
        <f>AppReleaseTemplate</f>
        <v>0.2</v>
      </c>
      <c r="F9" s="25"/>
    </row>
    <row r="10" spans="1:6" x14ac:dyDescent="0.25">
      <c r="A10" s="5" t="s">
        <v>44</v>
      </c>
      <c r="D10" s="5">
        <f>AppGrunt</f>
        <v>0.25</v>
      </c>
      <c r="E10" s="55">
        <f>IF(B3="New",SUM(D6:D10), 0)</f>
        <v>1.05</v>
      </c>
      <c r="F10" s="25"/>
    </row>
    <row r="11" spans="1:6" x14ac:dyDescent="0.25">
      <c r="F11" s="25"/>
    </row>
    <row r="12" spans="1:6" x14ac:dyDescent="0.25">
      <c r="F12" s="25"/>
    </row>
    <row r="13" spans="1:6" x14ac:dyDescent="0.25">
      <c r="F13" s="25"/>
    </row>
    <row r="14" spans="1:6" x14ac:dyDescent="0.25">
      <c r="A14" s="1" t="s">
        <v>45</v>
      </c>
      <c r="F14" s="25"/>
    </row>
    <row r="15" spans="1:6" x14ac:dyDescent="0.25">
      <c r="A15" s="1" t="s">
        <v>46</v>
      </c>
      <c r="F15" s="25"/>
    </row>
    <row r="16" spans="1:6" x14ac:dyDescent="0.25">
      <c r="A16" s="16" t="s">
        <v>47</v>
      </c>
      <c r="B16" s="69" t="s">
        <v>49</v>
      </c>
      <c r="C16" s="5">
        <f>VLOOKUP(B16,Lookups!C14:D15,2)</f>
        <v>1</v>
      </c>
      <c r="D16" s="5">
        <f>IF(A16&lt;&gt;"",C16,0)</f>
        <v>1</v>
      </c>
      <c r="F16" s="25"/>
    </row>
    <row r="17" spans="1:6" x14ac:dyDescent="0.25">
      <c r="A17" s="16" t="s">
        <v>48</v>
      </c>
      <c r="B17" s="69" t="s">
        <v>49</v>
      </c>
      <c r="C17" s="5">
        <f>VLOOKUP(B17,Lookups!C14:D15,2)</f>
        <v>1</v>
      </c>
      <c r="D17" s="5">
        <f t="shared" ref="D17:D23" si="0">IF(A17&lt;&gt;"",C17,0)</f>
        <v>1</v>
      </c>
      <c r="F17" s="25"/>
    </row>
    <row r="18" spans="1:6" x14ac:dyDescent="0.25">
      <c r="A18" s="16"/>
      <c r="B18" s="69" t="s">
        <v>49</v>
      </c>
      <c r="C18" s="5">
        <f>VLOOKUP(B18,Lookups!C14:D15,2)</f>
        <v>1</v>
      </c>
      <c r="D18" s="5">
        <f t="shared" si="0"/>
        <v>0</v>
      </c>
      <c r="F18" s="25"/>
    </row>
    <row r="19" spans="1:6" x14ac:dyDescent="0.25">
      <c r="A19" s="16"/>
      <c r="B19" s="69" t="s">
        <v>49</v>
      </c>
      <c r="C19" s="5">
        <f>VLOOKUP(B19,Lookups!C14:D15,2)</f>
        <v>1</v>
      </c>
      <c r="D19" s="5">
        <f t="shared" si="0"/>
        <v>0</v>
      </c>
      <c r="F19" s="25"/>
    </row>
    <row r="20" spans="1:6" x14ac:dyDescent="0.25">
      <c r="A20" s="16"/>
      <c r="B20" s="69" t="s">
        <v>49</v>
      </c>
      <c r="C20" s="5">
        <f>VLOOKUP(B20,Lookups!C14:D15,2)</f>
        <v>1</v>
      </c>
      <c r="D20" s="5">
        <f t="shared" si="0"/>
        <v>0</v>
      </c>
      <c r="F20" s="25"/>
    </row>
    <row r="21" spans="1:6" x14ac:dyDescent="0.25">
      <c r="A21" s="16"/>
      <c r="B21" s="69" t="s">
        <v>49</v>
      </c>
      <c r="C21" s="5">
        <f>VLOOKUP(B21,Lookups!C14:D15,2)</f>
        <v>1</v>
      </c>
      <c r="D21" s="5">
        <f t="shared" si="0"/>
        <v>0</v>
      </c>
      <c r="F21" s="25"/>
    </row>
    <row r="22" spans="1:6" x14ac:dyDescent="0.25">
      <c r="A22" s="16"/>
      <c r="B22" s="69" t="s">
        <v>49</v>
      </c>
      <c r="C22" s="5">
        <f>VLOOKUP(B22,Lookups!C14:D15,2)</f>
        <v>1</v>
      </c>
      <c r="D22" s="5">
        <f t="shared" si="0"/>
        <v>0</v>
      </c>
      <c r="F22" s="25"/>
    </row>
    <row r="23" spans="1:6" x14ac:dyDescent="0.25">
      <c r="A23" s="16"/>
      <c r="B23" s="69" t="s">
        <v>49</v>
      </c>
      <c r="C23" s="5">
        <f>VLOOKUP(B23,Lookups!C14:D15,2)</f>
        <v>1</v>
      </c>
      <c r="D23" s="5">
        <f t="shared" si="0"/>
        <v>0</v>
      </c>
      <c r="E23" s="55">
        <f>SUM(D16:D23)</f>
        <v>2</v>
      </c>
      <c r="F23" s="25"/>
    </row>
    <row r="24" spans="1:6" x14ac:dyDescent="0.25">
      <c r="F24" s="25"/>
    </row>
    <row r="25" spans="1:6" x14ac:dyDescent="0.25">
      <c r="F25" s="25"/>
    </row>
    <row r="26" spans="1:6" x14ac:dyDescent="0.25">
      <c r="F26" s="25"/>
    </row>
    <row r="27" spans="1:6" x14ac:dyDescent="0.25">
      <c r="A27" s="1" t="s">
        <v>58</v>
      </c>
      <c r="F27" s="25"/>
    </row>
    <row r="28" spans="1:6" x14ac:dyDescent="0.25">
      <c r="A28" t="s">
        <v>59</v>
      </c>
      <c r="B28" s="5">
        <f>AppTechDebtRefactor</f>
        <v>1</v>
      </c>
      <c r="E28" s="55">
        <f>B28</f>
        <v>1</v>
      </c>
      <c r="F28" s="25"/>
    </row>
    <row r="29" spans="1:6" x14ac:dyDescent="0.25">
      <c r="F29" s="25"/>
    </row>
    <row r="30" spans="1:6" x14ac:dyDescent="0.25">
      <c r="F30" s="25"/>
    </row>
    <row r="31" spans="1:6" x14ac:dyDescent="0.25">
      <c r="F31" s="25"/>
    </row>
    <row r="32" spans="1:6" x14ac:dyDescent="0.25">
      <c r="F32" s="25"/>
    </row>
    <row r="33" spans="1:6" ht="19.5" thickBot="1" x14ac:dyDescent="0.35">
      <c r="A33" s="49" t="s">
        <v>34</v>
      </c>
      <c r="B33" s="50"/>
      <c r="C33" s="50"/>
      <c r="D33" s="50"/>
      <c r="E33" s="51">
        <f>SUM(E2:E32)</f>
        <v>4.05</v>
      </c>
      <c r="F33" s="25"/>
    </row>
    <row r="34" spans="1:6" ht="15.75" thickTop="1" x14ac:dyDescent="0.25">
      <c r="A34" s="25"/>
      <c r="B34" s="25"/>
      <c r="C34" s="28"/>
      <c r="D34" s="28"/>
      <c r="E34" s="38"/>
      <c r="F34" s="2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Lists!$A$1:$A$2</xm:f>
          </x14:formula1>
          <xm:sqref>B3</xm:sqref>
        </x14:dataValidation>
        <x14:dataValidation type="list" allowBlank="1" showInputMessage="1" showErrorMessage="1">
          <x14:formula1>
            <xm:f>Lists!$D$1:$D$2</xm:f>
          </x14:formula1>
          <xm:sqref>B16:B23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H9" sqref="H9"/>
    </sheetView>
  </sheetViews>
  <sheetFormatPr defaultRowHeight="15" x14ac:dyDescent="0.25"/>
  <cols>
    <col min="1" max="1" width="27.7109375" customWidth="1"/>
    <col min="3" max="3" width="9.140625" style="8"/>
    <col min="4" max="4" width="7.28515625" customWidth="1"/>
    <col min="5" max="5" width="8.42578125" customWidth="1"/>
    <col min="6" max="6" width="2.140625" customWidth="1"/>
  </cols>
  <sheetData>
    <row r="1" spans="1:6" ht="26.25" x14ac:dyDescent="0.4">
      <c r="A1" s="72" t="s">
        <v>114</v>
      </c>
      <c r="B1" s="34"/>
      <c r="C1" s="36"/>
      <c r="D1" s="35"/>
      <c r="E1" s="59"/>
      <c r="F1" s="56"/>
    </row>
    <row r="2" spans="1:6" x14ac:dyDescent="0.25">
      <c r="D2" s="5"/>
      <c r="E2" s="8"/>
      <c r="F2" s="38"/>
    </row>
    <row r="3" spans="1:6" x14ac:dyDescent="0.25">
      <c r="D3" s="5"/>
      <c r="E3" s="8"/>
      <c r="F3" s="38"/>
    </row>
    <row r="4" spans="1:6" x14ac:dyDescent="0.25">
      <c r="A4" s="1" t="s">
        <v>119</v>
      </c>
      <c r="D4" s="19"/>
      <c r="E4" s="8"/>
      <c r="F4" s="38"/>
    </row>
    <row r="5" spans="1:6" x14ac:dyDescent="0.25">
      <c r="A5" t="s">
        <v>124</v>
      </c>
      <c r="E5" s="8">
        <f>DeploymentReleaseAdministration</f>
        <v>0.2</v>
      </c>
      <c r="F5" s="38"/>
    </row>
    <row r="6" spans="1:6" x14ac:dyDescent="0.25">
      <c r="A6" t="s">
        <v>123</v>
      </c>
      <c r="D6" s="8">
        <f>'Feature Application'!E33+Container!E35+'Supp Data Feature'!E30</f>
        <v>13.5</v>
      </c>
      <c r="E6" s="8">
        <f>D6*DeploymentQaSupportRatio</f>
        <v>3.375</v>
      </c>
      <c r="F6" s="38"/>
    </row>
    <row r="7" spans="1:6" x14ac:dyDescent="0.25">
      <c r="E7" s="8"/>
      <c r="F7" s="38"/>
    </row>
    <row r="8" spans="1:6" x14ac:dyDescent="0.25">
      <c r="E8" s="8"/>
      <c r="F8" s="38"/>
    </row>
    <row r="9" spans="1:6" x14ac:dyDescent="0.25">
      <c r="E9" s="8"/>
      <c r="F9" s="38"/>
    </row>
    <row r="10" spans="1:6" x14ac:dyDescent="0.25">
      <c r="A10" s="1" t="s">
        <v>120</v>
      </c>
      <c r="E10" s="8"/>
      <c r="F10" s="38"/>
    </row>
    <row r="11" spans="1:6" x14ac:dyDescent="0.25">
      <c r="A11" t="s">
        <v>121</v>
      </c>
      <c r="E11" s="8">
        <f>DeploymentProduction</f>
        <v>0.1</v>
      </c>
      <c r="F11" s="38"/>
    </row>
    <row r="12" spans="1:6" x14ac:dyDescent="0.25">
      <c r="A12" t="s">
        <v>122</v>
      </c>
      <c r="E12" s="8">
        <f>DeploymentProductionSmokeTesting</f>
        <v>0.2</v>
      </c>
      <c r="F12" s="38"/>
    </row>
    <row r="13" spans="1:6" x14ac:dyDescent="0.25">
      <c r="A13" t="s">
        <v>125</v>
      </c>
      <c r="E13" s="8">
        <f>DeploymentSourceControl</f>
        <v>0.2</v>
      </c>
      <c r="F13" s="38"/>
    </row>
    <row r="14" spans="1:6" x14ac:dyDescent="0.25">
      <c r="F14" s="38"/>
    </row>
    <row r="15" spans="1:6" x14ac:dyDescent="0.25">
      <c r="F15" s="38"/>
    </row>
    <row r="16" spans="1:6" x14ac:dyDescent="0.25">
      <c r="A16" t="s">
        <v>22</v>
      </c>
      <c r="F16" s="38"/>
    </row>
    <row r="17" spans="1:6" x14ac:dyDescent="0.25">
      <c r="A17" s="43" t="s">
        <v>33</v>
      </c>
      <c r="B17" s="16">
        <v>0</v>
      </c>
      <c r="F17" s="38"/>
    </row>
    <row r="18" spans="1:6" x14ac:dyDescent="0.25">
      <c r="A18" s="43" t="s">
        <v>31</v>
      </c>
      <c r="B18" s="16">
        <v>0</v>
      </c>
      <c r="F18" s="38"/>
    </row>
    <row r="19" spans="1:6" x14ac:dyDescent="0.25">
      <c r="A19" s="43" t="s">
        <v>32</v>
      </c>
      <c r="B19" s="16">
        <v>0</v>
      </c>
      <c r="F19" s="38"/>
    </row>
    <row r="20" spans="1:6" x14ac:dyDescent="0.25">
      <c r="F20" s="38"/>
    </row>
    <row r="21" spans="1:6" x14ac:dyDescent="0.25">
      <c r="F21" s="38"/>
    </row>
    <row r="22" spans="1:6" x14ac:dyDescent="0.25">
      <c r="F22" s="38"/>
    </row>
    <row r="23" spans="1:6" x14ac:dyDescent="0.25">
      <c r="F23" s="38"/>
    </row>
    <row r="24" spans="1:6" ht="19.5" thickBot="1" x14ac:dyDescent="0.35">
      <c r="A24" s="46" t="s">
        <v>34</v>
      </c>
      <c r="B24" s="47"/>
      <c r="C24" s="47"/>
      <c r="D24" s="47"/>
      <c r="E24" s="48">
        <f>SUM(E2:E23)</f>
        <v>4.0750000000000002</v>
      </c>
      <c r="F24" s="38"/>
    </row>
    <row r="25" spans="1:6" ht="10.5" customHeight="1" thickTop="1" x14ac:dyDescent="0.25">
      <c r="A25" s="25"/>
      <c r="B25" s="25"/>
      <c r="C25" s="28"/>
      <c r="D25" s="28"/>
      <c r="E25" s="38"/>
      <c r="F25" s="3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7" sqref="G7"/>
    </sheetView>
  </sheetViews>
  <sheetFormatPr defaultRowHeight="15" x14ac:dyDescent="0.25"/>
  <cols>
    <col min="4" max="4" width="18.5703125" customWidth="1"/>
  </cols>
  <sheetData>
    <row r="1" spans="1:6" x14ac:dyDescent="0.25">
      <c r="A1" t="s">
        <v>3</v>
      </c>
      <c r="B1">
        <v>1</v>
      </c>
      <c r="C1" t="s">
        <v>15</v>
      </c>
      <c r="D1" t="s">
        <v>49</v>
      </c>
      <c r="F1" t="s">
        <v>16</v>
      </c>
    </row>
    <row r="2" spans="1:6" x14ac:dyDescent="0.25">
      <c r="A2" t="s">
        <v>4</v>
      </c>
      <c r="B2">
        <v>2</v>
      </c>
      <c r="C2" t="s">
        <v>16</v>
      </c>
      <c r="D2" t="s">
        <v>50</v>
      </c>
      <c r="F2" t="s">
        <v>11</v>
      </c>
    </row>
    <row r="3" spans="1:6" x14ac:dyDescent="0.25">
      <c r="B3">
        <v>3</v>
      </c>
      <c r="F3" t="s">
        <v>86</v>
      </c>
    </row>
    <row r="4" spans="1:6" x14ac:dyDescent="0.25">
      <c r="F4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J9" sqref="J9"/>
    </sheetView>
  </sheetViews>
  <sheetFormatPr defaultRowHeight="15" x14ac:dyDescent="0.25"/>
  <cols>
    <col min="1" max="1" width="29.28515625" customWidth="1"/>
    <col min="2" max="2" width="11" style="2" customWidth="1"/>
    <col min="4" max="4" width="27" customWidth="1"/>
    <col min="7" max="7" width="28.140625" customWidth="1"/>
    <col min="10" max="10" width="26.5703125" customWidth="1"/>
    <col min="11" max="11" width="13" customWidth="1"/>
  </cols>
  <sheetData>
    <row r="1" spans="1:11" x14ac:dyDescent="0.25">
      <c r="A1" s="1" t="s">
        <v>0</v>
      </c>
      <c r="B1" s="3" t="s">
        <v>23</v>
      </c>
      <c r="D1" s="1" t="s">
        <v>52</v>
      </c>
      <c r="E1" s="3" t="s">
        <v>23</v>
      </c>
      <c r="G1" s="1" t="s">
        <v>35</v>
      </c>
      <c r="H1" s="3" t="s">
        <v>23</v>
      </c>
      <c r="J1" s="1" t="s">
        <v>121</v>
      </c>
      <c r="K1" s="3" t="s">
        <v>23</v>
      </c>
    </row>
    <row r="2" spans="1:11" x14ac:dyDescent="0.25">
      <c r="A2" t="s">
        <v>5</v>
      </c>
      <c r="B2">
        <v>0.2</v>
      </c>
      <c r="D2" s="4" t="s">
        <v>39</v>
      </c>
      <c r="E2">
        <v>0.2</v>
      </c>
      <c r="G2" s="4" t="s">
        <v>56</v>
      </c>
      <c r="H2">
        <v>0.2</v>
      </c>
      <c r="J2" t="s">
        <v>124</v>
      </c>
      <c r="K2">
        <v>0.2</v>
      </c>
    </row>
    <row r="3" spans="1:11" x14ac:dyDescent="0.25">
      <c r="A3" t="s">
        <v>6</v>
      </c>
      <c r="B3">
        <v>0.2</v>
      </c>
      <c r="D3" s="4" t="s">
        <v>38</v>
      </c>
      <c r="E3">
        <v>0.2</v>
      </c>
      <c r="G3" s="4" t="s">
        <v>57</v>
      </c>
      <c r="H3">
        <v>0.2</v>
      </c>
      <c r="J3" t="s">
        <v>126</v>
      </c>
      <c r="K3">
        <v>0.25</v>
      </c>
    </row>
    <row r="4" spans="1:11" x14ac:dyDescent="0.25">
      <c r="A4" t="s">
        <v>63</v>
      </c>
      <c r="B4">
        <v>0.2</v>
      </c>
      <c r="D4" s="4" t="s">
        <v>67</v>
      </c>
      <c r="E4">
        <v>0.2</v>
      </c>
      <c r="G4" s="4" t="s">
        <v>62</v>
      </c>
      <c r="H4">
        <v>0.2</v>
      </c>
      <c r="J4" t="s">
        <v>127</v>
      </c>
      <c r="K4">
        <v>0.1</v>
      </c>
    </row>
    <row r="5" spans="1:11" x14ac:dyDescent="0.25">
      <c r="A5" t="s">
        <v>64</v>
      </c>
      <c r="B5">
        <v>0.2</v>
      </c>
      <c r="D5" s="4" t="s">
        <v>66</v>
      </c>
      <c r="E5">
        <v>0.2</v>
      </c>
      <c r="G5" s="4" t="s">
        <v>65</v>
      </c>
      <c r="H5">
        <v>0.2</v>
      </c>
      <c r="J5" t="s">
        <v>128</v>
      </c>
      <c r="K5">
        <v>0.2</v>
      </c>
    </row>
    <row r="6" spans="1:11" x14ac:dyDescent="0.25">
      <c r="A6" t="s">
        <v>43</v>
      </c>
      <c r="B6" s="2">
        <v>0.1</v>
      </c>
      <c r="D6" s="4" t="s">
        <v>44</v>
      </c>
      <c r="E6">
        <v>0.25</v>
      </c>
      <c r="G6" s="4" t="s">
        <v>42</v>
      </c>
      <c r="H6">
        <v>0.2</v>
      </c>
      <c r="J6" t="s">
        <v>125</v>
      </c>
      <c r="K6">
        <v>0.2</v>
      </c>
    </row>
    <row r="8" spans="1:11" x14ac:dyDescent="0.25">
      <c r="A8" t="s">
        <v>26</v>
      </c>
      <c r="B8" s="2">
        <v>0.5</v>
      </c>
      <c r="D8" s="4" t="s">
        <v>51</v>
      </c>
      <c r="E8">
        <v>1</v>
      </c>
      <c r="G8" s="4" t="s">
        <v>72</v>
      </c>
      <c r="H8">
        <v>0.1</v>
      </c>
    </row>
    <row r="9" spans="1:11" x14ac:dyDescent="0.25">
      <c r="A9" t="s">
        <v>27</v>
      </c>
      <c r="B9" s="2">
        <v>0.25</v>
      </c>
      <c r="G9" s="4" t="s">
        <v>73</v>
      </c>
      <c r="H9">
        <v>0.2</v>
      </c>
    </row>
    <row r="10" spans="1:11" x14ac:dyDescent="0.25">
      <c r="G10" t="s">
        <v>74</v>
      </c>
      <c r="H10">
        <v>0.5</v>
      </c>
    </row>
    <row r="11" spans="1:11" x14ac:dyDescent="0.25">
      <c r="A11" t="s">
        <v>14</v>
      </c>
      <c r="B11" s="2">
        <v>1</v>
      </c>
      <c r="G11" t="s">
        <v>75</v>
      </c>
      <c r="H11">
        <v>1</v>
      </c>
    </row>
    <row r="12" spans="1:11" x14ac:dyDescent="0.25">
      <c r="A12" t="s">
        <v>17</v>
      </c>
      <c r="B12" s="2">
        <v>1</v>
      </c>
    </row>
    <row r="13" spans="1:11" x14ac:dyDescent="0.25">
      <c r="A13" t="s">
        <v>18</v>
      </c>
      <c r="B13" s="2">
        <v>2</v>
      </c>
      <c r="G13" t="s">
        <v>97</v>
      </c>
      <c r="H13">
        <v>0.2</v>
      </c>
    </row>
    <row r="14" spans="1:11" x14ac:dyDescent="0.25">
      <c r="G14" t="s">
        <v>98</v>
      </c>
      <c r="H14">
        <v>0.1</v>
      </c>
    </row>
    <row r="15" spans="1:11" x14ac:dyDescent="0.25">
      <c r="A15" t="s">
        <v>29</v>
      </c>
      <c r="B15" s="2">
        <v>0.25</v>
      </c>
      <c r="G15" t="s">
        <v>99</v>
      </c>
      <c r="H15">
        <v>0.2</v>
      </c>
    </row>
    <row r="16" spans="1:11" x14ac:dyDescent="0.25">
      <c r="A16" t="s">
        <v>28</v>
      </c>
      <c r="B16" s="2">
        <v>0.25</v>
      </c>
      <c r="G16" t="s">
        <v>17</v>
      </c>
      <c r="H16" s="2">
        <v>1</v>
      </c>
    </row>
    <row r="17" spans="1:8" x14ac:dyDescent="0.25">
      <c r="A17" t="s">
        <v>30</v>
      </c>
      <c r="B17" s="2">
        <v>0.25</v>
      </c>
      <c r="G17" t="s">
        <v>18</v>
      </c>
      <c r="H17" s="2">
        <v>2</v>
      </c>
    </row>
    <row r="19" spans="1:8" x14ac:dyDescent="0.25">
      <c r="A19" t="s">
        <v>21</v>
      </c>
      <c r="B19" s="2">
        <v>1</v>
      </c>
      <c r="D19" t="s">
        <v>91</v>
      </c>
      <c r="E19">
        <v>1</v>
      </c>
      <c r="G19" t="s">
        <v>103</v>
      </c>
      <c r="H19">
        <v>0.2</v>
      </c>
    </row>
    <row r="20" spans="1:8" x14ac:dyDescent="0.25">
      <c r="G20" t="s">
        <v>104</v>
      </c>
      <c r="H2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46" sqref="B46:D48"/>
    </sheetView>
  </sheetViews>
  <sheetFormatPr defaultRowHeight="15" x14ac:dyDescent="0.25"/>
  <cols>
    <col min="1" max="1" width="23.140625" customWidth="1"/>
    <col min="2" max="2" width="18.7109375" customWidth="1"/>
    <col min="3" max="3" width="15.7109375" customWidth="1"/>
  </cols>
  <sheetData>
    <row r="1" spans="1:4" x14ac:dyDescent="0.25">
      <c r="A1" s="9" t="s">
        <v>0</v>
      </c>
    </row>
    <row r="2" spans="1:4" x14ac:dyDescent="0.25">
      <c r="B2" t="s">
        <v>10</v>
      </c>
    </row>
    <row r="3" spans="1:4" x14ac:dyDescent="0.25">
      <c r="C3" t="s">
        <v>12</v>
      </c>
    </row>
    <row r="4" spans="1:4" x14ac:dyDescent="0.25">
      <c r="C4" s="10">
        <v>1</v>
      </c>
      <c r="D4" s="11">
        <v>0.5</v>
      </c>
    </row>
    <row r="5" spans="1:4" x14ac:dyDescent="0.25">
      <c r="C5" s="12">
        <v>2</v>
      </c>
      <c r="D5" s="13">
        <v>1</v>
      </c>
    </row>
    <row r="6" spans="1:4" x14ac:dyDescent="0.25">
      <c r="C6" s="14">
        <v>3</v>
      </c>
      <c r="D6" s="15">
        <v>2</v>
      </c>
    </row>
    <row r="11" spans="1:4" x14ac:dyDescent="0.25">
      <c r="A11" t="s">
        <v>52</v>
      </c>
    </row>
    <row r="12" spans="1:4" x14ac:dyDescent="0.25">
      <c r="B12" t="s">
        <v>53</v>
      </c>
    </row>
    <row r="13" spans="1:4" x14ac:dyDescent="0.25">
      <c r="C13" t="s">
        <v>12</v>
      </c>
    </row>
    <row r="14" spans="1:4" x14ac:dyDescent="0.25">
      <c r="C14" s="10" t="s">
        <v>54</v>
      </c>
      <c r="D14" s="11">
        <v>1</v>
      </c>
    </row>
    <row r="15" spans="1:4" x14ac:dyDescent="0.25">
      <c r="C15" s="14" t="s">
        <v>55</v>
      </c>
      <c r="D15" s="15">
        <v>1.5</v>
      </c>
    </row>
    <row r="24" spans="1:4" x14ac:dyDescent="0.25">
      <c r="A24" t="s">
        <v>35</v>
      </c>
    </row>
    <row r="25" spans="1:4" x14ac:dyDescent="0.25">
      <c r="B25" t="s">
        <v>105</v>
      </c>
      <c r="C25" t="s">
        <v>12</v>
      </c>
    </row>
    <row r="26" spans="1:4" x14ac:dyDescent="0.25">
      <c r="C26" s="10" t="s">
        <v>16</v>
      </c>
      <c r="D26" s="11">
        <v>0</v>
      </c>
    </row>
    <row r="27" spans="1:4" x14ac:dyDescent="0.25">
      <c r="C27" s="12" t="s">
        <v>11</v>
      </c>
      <c r="D27" s="13">
        <v>1</v>
      </c>
    </row>
    <row r="28" spans="1:4" x14ac:dyDescent="0.25">
      <c r="C28" s="12" t="s">
        <v>86</v>
      </c>
      <c r="D28" s="13">
        <v>2</v>
      </c>
    </row>
    <row r="29" spans="1:4" x14ac:dyDescent="0.25">
      <c r="C29" s="14" t="s">
        <v>87</v>
      </c>
      <c r="D29" s="15">
        <v>5</v>
      </c>
    </row>
    <row r="33" spans="2:4" x14ac:dyDescent="0.25">
      <c r="B33" t="s">
        <v>106</v>
      </c>
    </row>
    <row r="34" spans="2:4" x14ac:dyDescent="0.25">
      <c r="C34" t="s">
        <v>12</v>
      </c>
    </row>
    <row r="35" spans="2:4" x14ac:dyDescent="0.25">
      <c r="C35" s="10" t="s">
        <v>16</v>
      </c>
      <c r="D35" s="11">
        <v>0</v>
      </c>
    </row>
    <row r="36" spans="2:4" x14ac:dyDescent="0.25">
      <c r="C36" s="12" t="s">
        <v>11</v>
      </c>
      <c r="D36" s="13">
        <v>1</v>
      </c>
    </row>
    <row r="37" spans="2:4" x14ac:dyDescent="0.25">
      <c r="C37" s="12" t="s">
        <v>86</v>
      </c>
      <c r="D37" s="13">
        <v>2</v>
      </c>
    </row>
    <row r="38" spans="2:4" x14ac:dyDescent="0.25">
      <c r="C38" s="14" t="s">
        <v>87</v>
      </c>
      <c r="D38" s="15">
        <v>5</v>
      </c>
    </row>
    <row r="41" spans="2:4" x14ac:dyDescent="0.25">
      <c r="B41" t="s">
        <v>107</v>
      </c>
    </row>
    <row r="42" spans="2:4" x14ac:dyDescent="0.25">
      <c r="C42" s="10" t="s">
        <v>15</v>
      </c>
      <c r="D42" s="11"/>
    </row>
    <row r="43" spans="2:4" x14ac:dyDescent="0.25">
      <c r="C43" s="14" t="s">
        <v>16</v>
      </c>
      <c r="D43" s="15"/>
    </row>
    <row r="46" spans="2:4" x14ac:dyDescent="0.25">
      <c r="B46" t="s">
        <v>130</v>
      </c>
    </row>
    <row r="47" spans="2:4" x14ac:dyDescent="0.25">
      <c r="C47" s="10" t="s">
        <v>3</v>
      </c>
      <c r="D47" s="11"/>
    </row>
    <row r="48" spans="2:4" x14ac:dyDescent="0.25">
      <c r="C48" s="14" t="s">
        <v>4</v>
      </c>
      <c r="D4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45</vt:i4>
      </vt:variant>
    </vt:vector>
  </HeadingPairs>
  <TitlesOfParts>
    <vt:vector size="53" baseType="lpstr">
      <vt:lpstr>Summary</vt:lpstr>
      <vt:lpstr>Supp Data Feature</vt:lpstr>
      <vt:lpstr>Container</vt:lpstr>
      <vt:lpstr>Feature Application</vt:lpstr>
      <vt:lpstr>Deployment &amp; Support</vt:lpstr>
      <vt:lpstr>Lists</vt:lpstr>
      <vt:lpstr>Metrics</vt:lpstr>
      <vt:lpstr>Lookups</vt:lpstr>
      <vt:lpstr>AppBuildDefinition</vt:lpstr>
      <vt:lpstr>AppGrunt</vt:lpstr>
      <vt:lpstr>AppNewApiService</vt:lpstr>
      <vt:lpstr>AppReleaseTemplate</vt:lpstr>
      <vt:lpstr>AppRepo</vt:lpstr>
      <vt:lpstr>AppSolution</vt:lpstr>
      <vt:lpstr>AppTechDebtRefactor</vt:lpstr>
      <vt:lpstr>ContainerCrossBrowser</vt:lpstr>
      <vt:lpstr>ContainerCrossBrowserTweakRatio</vt:lpstr>
      <vt:lpstr>ContainerCrossDevice</vt:lpstr>
      <vt:lpstr>ContainerCrossDeviceTweakRatio</vt:lpstr>
      <vt:lpstr>ContainerGrunt</vt:lpstr>
      <vt:lpstr>ContainerLayouts</vt:lpstr>
      <vt:lpstr>ContainerResponsive</vt:lpstr>
      <vt:lpstr>ContainerResponsiveTweakRatio</vt:lpstr>
      <vt:lpstr>ContainerSiteCat</vt:lpstr>
      <vt:lpstr>ContainerTweakExistingPresentationRatio</vt:lpstr>
      <vt:lpstr>CrossBrowser</vt:lpstr>
      <vt:lpstr>CrossDevice</vt:lpstr>
      <vt:lpstr>DeploymentProduction</vt:lpstr>
      <vt:lpstr>DeploymentProductionSmokeTesting</vt:lpstr>
      <vt:lpstr>DeploymentQaSupportRatio</vt:lpstr>
      <vt:lpstr>DeploymentReleaseAdministration</vt:lpstr>
      <vt:lpstr>DeploymentSourceControl</vt:lpstr>
      <vt:lpstr>FeatureApiCall</vt:lpstr>
      <vt:lpstr>FeatureBuildDefinition</vt:lpstr>
      <vt:lpstr>FeatureCrossBrowser</vt:lpstr>
      <vt:lpstr>FeatureCrossDevice</vt:lpstr>
      <vt:lpstr>FeatureGenerateSolution</vt:lpstr>
      <vt:lpstr>FeatureGrunt</vt:lpstr>
      <vt:lpstr>FeatureNewWidgetComplex</vt:lpstr>
      <vt:lpstr>FeatureNewWidgetMedium</vt:lpstr>
      <vt:lpstr>FeatureNewWidgetSimple</vt:lpstr>
      <vt:lpstr>FeatureReleaseTemplate</vt:lpstr>
      <vt:lpstr>FeatureRepos</vt:lpstr>
      <vt:lpstr>FeatureSiteCat</vt:lpstr>
      <vt:lpstr>FeatureSiteCatPerView</vt:lpstr>
      <vt:lpstr>FeatureUserPreferences</vt:lpstr>
      <vt:lpstr>FeatureWidgetExisting</vt:lpstr>
      <vt:lpstr>NewContainerBuildDefinition</vt:lpstr>
      <vt:lpstr>NewContainerBuildDefinitions</vt:lpstr>
      <vt:lpstr>NewContainerReleaseTemplate</vt:lpstr>
      <vt:lpstr>NewContainerReleaseTemplates</vt:lpstr>
      <vt:lpstr>NewContainerRepos</vt:lpstr>
      <vt:lpstr>NewContainerSolutions</vt:lpstr>
    </vt:vector>
  </TitlesOfParts>
  <Company>ASB Group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devDanielMo</dc:creator>
  <cp:lastModifiedBy>Daniel Morris</cp:lastModifiedBy>
  <dcterms:created xsi:type="dcterms:W3CDTF">2015-05-12T19:52:08Z</dcterms:created>
  <dcterms:modified xsi:type="dcterms:W3CDTF">2015-06-22T22:46:19Z</dcterms:modified>
</cp:coreProperties>
</file>