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-my.sharepoint.com/personal/ule_su_suffolk_edu/Documents/Desktop/School/SP 2021/FIN 200/"/>
    </mc:Choice>
  </mc:AlternateContent>
  <xr:revisionPtr revIDLastSave="105" documentId="8_{6BDA58F8-FE75-4544-A34E-49617CDD569B}" xr6:coauthVersionLast="46" xr6:coauthVersionMax="46" xr10:uidLastSave="{EDCBDEA3-61A5-4707-8B42-71C04B2FDF2D}"/>
  <bookViews>
    <workbookView xWindow="-98" yWindow="-98" windowWidth="20715" windowHeight="13276" activeTab="1" xr2:uid="{4267707E-5979-45C4-ABEE-6EF6956CB88A}"/>
  </bookViews>
  <sheets>
    <sheet name="Business case" sheetId="2" r:id="rId1"/>
    <sheet name="Cash flow estim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B48" i="1"/>
  <c r="B47" i="1"/>
  <c r="B44" i="1"/>
  <c r="E41" i="1" s="1"/>
  <c r="E38" i="1"/>
  <c r="E29" i="1"/>
  <c r="E30" i="1"/>
  <c r="E31" i="1"/>
  <c r="E33" i="1" l="1"/>
  <c r="E34" i="1" s="1"/>
  <c r="E35" i="1" s="1"/>
  <c r="E47" i="1" s="1"/>
  <c r="B52" i="1" s="1"/>
  <c r="H26" i="1" l="1"/>
  <c r="B17" i="1"/>
  <c r="C6" i="1" l="1"/>
  <c r="D6" i="1" s="1"/>
  <c r="E6" i="1" s="1"/>
  <c r="F6" i="1" s="1"/>
  <c r="G6" i="1" s="1"/>
  <c r="H6" i="1" s="1"/>
  <c r="I6" i="1" s="1"/>
  <c r="J6" i="1" s="1"/>
  <c r="K6" i="1" s="1"/>
  <c r="L6" i="1" s="1"/>
  <c r="C4" i="1"/>
  <c r="C5" i="1" s="1"/>
  <c r="D3" i="1"/>
  <c r="D2" i="1"/>
  <c r="E2" i="1" s="1"/>
  <c r="F2" i="1" s="1"/>
  <c r="G2" i="1" s="1"/>
  <c r="H2" i="1" s="1"/>
  <c r="I2" i="1" s="1"/>
  <c r="J2" i="1" s="1"/>
  <c r="K2" i="1" s="1"/>
  <c r="L2" i="1" s="1"/>
  <c r="D4" i="1" l="1"/>
  <c r="D5" i="1" s="1"/>
  <c r="D8" i="1" s="1"/>
  <c r="E3" i="1"/>
  <c r="F3" i="1" s="1"/>
  <c r="G3" i="1" s="1"/>
  <c r="H3" i="1" s="1"/>
  <c r="I3" i="1" s="1"/>
  <c r="J3" i="1" s="1"/>
  <c r="K3" i="1" s="1"/>
  <c r="L3" i="1" s="1"/>
  <c r="L4" i="1" s="1"/>
  <c r="P3" i="1"/>
  <c r="D7" i="1" s="1"/>
  <c r="D11" i="1" s="1"/>
  <c r="P4" i="1"/>
  <c r="E7" i="1" s="1"/>
  <c r="E11" i="1" s="1"/>
  <c r="P5" i="1"/>
  <c r="F7" i="1" s="1"/>
  <c r="F11" i="1" s="1"/>
  <c r="P6" i="1"/>
  <c r="G7" i="1" s="1"/>
  <c r="G11" i="1" s="1"/>
  <c r="P7" i="1"/>
  <c r="H7" i="1" s="1"/>
  <c r="H11" i="1" s="1"/>
  <c r="P8" i="1"/>
  <c r="I7" i="1" s="1"/>
  <c r="I11" i="1" s="1"/>
  <c r="P9" i="1"/>
  <c r="J7" i="1" s="1"/>
  <c r="J11" i="1" s="1"/>
  <c r="P10" i="1"/>
  <c r="K7" i="1" s="1"/>
  <c r="K11" i="1" s="1"/>
  <c r="P11" i="1"/>
  <c r="L7" i="1" s="1"/>
  <c r="L11" i="1" s="1"/>
  <c r="P12" i="1"/>
  <c r="P2" i="1"/>
  <c r="O13" i="1"/>
  <c r="J4" i="1" l="1"/>
  <c r="K4" i="1"/>
  <c r="K5" i="1" s="1"/>
  <c r="K8" i="1" s="1"/>
  <c r="F4" i="1"/>
  <c r="L5" i="1"/>
  <c r="L8" i="1" s="1"/>
  <c r="D9" i="1"/>
  <c r="D10" i="1" s="1"/>
  <c r="D12" i="1" s="1"/>
  <c r="D16" i="1" s="1"/>
  <c r="D20" i="1" s="1"/>
  <c r="J5" i="1"/>
  <c r="J8" i="1" s="1"/>
  <c r="I4" i="1"/>
  <c r="G4" i="1"/>
  <c r="E4" i="1"/>
  <c r="H4" i="1"/>
  <c r="Q2" i="1"/>
  <c r="R2" i="1" s="1"/>
  <c r="C7" i="1"/>
  <c r="B18" i="1"/>
  <c r="B20" i="1" s="1"/>
  <c r="F5" i="1" l="1"/>
  <c r="F8" i="1" s="1"/>
  <c r="F9" i="1" s="1"/>
  <c r="F10" i="1" s="1"/>
  <c r="F12" i="1" s="1"/>
  <c r="F16" i="1" s="1"/>
  <c r="F20" i="1" s="1"/>
  <c r="J9" i="1"/>
  <c r="J10" i="1" s="1"/>
  <c r="J12" i="1" s="1"/>
  <c r="J16" i="1" s="1"/>
  <c r="J20" i="1" s="1"/>
  <c r="L9" i="1"/>
  <c r="L10" i="1" s="1"/>
  <c r="L12" i="1" s="1"/>
  <c r="L16" i="1" s="1"/>
  <c r="C8" i="1"/>
  <c r="C9" i="1" s="1"/>
  <c r="C10" i="1" s="1"/>
  <c r="C12" i="1" s="1"/>
  <c r="C16" i="1" s="1"/>
  <c r="C20" i="1" s="1"/>
  <c r="C11" i="1"/>
  <c r="K9" i="1"/>
  <c r="K10" i="1" s="1"/>
  <c r="K12" i="1" s="1"/>
  <c r="K16" i="1" s="1"/>
  <c r="K20" i="1" s="1"/>
  <c r="I5" i="1"/>
  <c r="I8" i="1" s="1"/>
  <c r="H5" i="1"/>
  <c r="H8" i="1" s="1"/>
  <c r="E5" i="1"/>
  <c r="E8" i="1" s="1"/>
  <c r="G5" i="1"/>
  <c r="G8" i="1" s="1"/>
  <c r="Q3" i="1"/>
  <c r="R3" i="1" s="1"/>
  <c r="Q4" i="1"/>
  <c r="R4" i="1" s="1"/>
  <c r="H9" i="1" l="1"/>
  <c r="H10" i="1" s="1"/>
  <c r="H12" i="1" s="1"/>
  <c r="H16" i="1" s="1"/>
  <c r="H20" i="1" s="1"/>
  <c r="G9" i="1"/>
  <c r="G10" i="1" s="1"/>
  <c r="G12" i="1" s="1"/>
  <c r="G16" i="1" s="1"/>
  <c r="E9" i="1"/>
  <c r="E10" i="1" s="1"/>
  <c r="E12" i="1" s="1"/>
  <c r="E16" i="1" s="1"/>
  <c r="E20" i="1" s="1"/>
  <c r="I9" i="1"/>
  <c r="I10" i="1"/>
  <c r="I12" i="1" s="1"/>
  <c r="I16" i="1" s="1"/>
  <c r="I20" i="1" s="1"/>
  <c r="Q5" i="1"/>
  <c r="R5" i="1" s="1"/>
  <c r="Q6" i="1" l="1"/>
  <c r="R6" i="1" s="1"/>
  <c r="Q7" i="1" l="1"/>
  <c r="G20" i="1"/>
  <c r="Q8" i="1" l="1"/>
  <c r="R7" i="1"/>
  <c r="R8" i="1" l="1"/>
  <c r="Q9" i="1"/>
  <c r="R9" i="1" l="1"/>
  <c r="Q10" i="1"/>
  <c r="Q11" i="1" l="1"/>
  <c r="R10" i="1"/>
  <c r="Q12" i="1" l="1"/>
  <c r="R12" i="1" s="1"/>
  <c r="R11" i="1"/>
  <c r="H27" i="1" s="1"/>
  <c r="H25" i="1" s="1"/>
  <c r="L19" i="1" s="1"/>
  <c r="L20" i="1" s="1"/>
  <c r="B53" i="1" s="1"/>
</calcChain>
</file>

<file path=xl/sharedStrings.xml><?xml version="1.0" encoding="utf-8"?>
<sst xmlns="http://schemas.openxmlformats.org/spreadsheetml/2006/main" count="76" uniqueCount="62">
  <si>
    <t>growth rate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</si>
  <si>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</si>
  <si>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</si>
  <si>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</si>
  <si>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</si>
  <si>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</si>
  <si>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</si>
  <si>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</si>
  <si>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</si>
  <si>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</si>
  <si>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</si>
  <si>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</t>
  </si>
  <si>
    <t>Rate</t>
  </si>
  <si>
    <t>Depreciation</t>
  </si>
  <si>
    <t>accumulated depreciation</t>
  </si>
  <si>
    <t>book value</t>
  </si>
  <si>
    <t>capital investment</t>
  </si>
  <si>
    <t>TOTAL</t>
  </si>
  <si>
    <t>Year 0 (NOW)</t>
  </si>
  <si>
    <t>salvage value</t>
  </si>
  <si>
    <t>selling price</t>
  </si>
  <si>
    <t xml:space="preserve">book value </t>
  </si>
  <si>
    <t>unit sale</t>
  </si>
  <si>
    <t>price</t>
  </si>
  <si>
    <t>revenue</t>
  </si>
  <si>
    <t>production costs</t>
  </si>
  <si>
    <t>fixed costs</t>
  </si>
  <si>
    <t>depreciation</t>
  </si>
  <si>
    <t>EBIT</t>
  </si>
  <si>
    <t>taxes</t>
  </si>
  <si>
    <t>(modified) net income</t>
  </si>
  <si>
    <t>add depreciation</t>
  </si>
  <si>
    <t>operating cash flow</t>
  </si>
  <si>
    <t>change in the net working capital</t>
  </si>
  <si>
    <t>salvage of the capital investment</t>
  </si>
  <si>
    <t>Incremental cash flow</t>
  </si>
  <si>
    <t>YTM</t>
  </si>
  <si>
    <t>rate</t>
  </si>
  <si>
    <t>par value</t>
  </si>
  <si>
    <t>years to maturity</t>
  </si>
  <si>
    <t># of semin-annual periods</t>
  </si>
  <si>
    <t>coupon rate</t>
  </si>
  <si>
    <t>coupon payment (annual)</t>
  </si>
  <si>
    <t>commision/ floatation cost</t>
  </si>
  <si>
    <t>net proceeds</t>
  </si>
  <si>
    <t>After-tax cost of debt</t>
  </si>
  <si>
    <t>Rp</t>
  </si>
  <si>
    <t>Dividend</t>
  </si>
  <si>
    <t>Net price</t>
  </si>
  <si>
    <t>beta</t>
  </si>
  <si>
    <t>risk free rate</t>
  </si>
  <si>
    <t>market expected return</t>
  </si>
  <si>
    <t>cost of common equity</t>
  </si>
  <si>
    <t>Re</t>
  </si>
  <si>
    <t>Debt</t>
  </si>
  <si>
    <t>Preferred stock</t>
  </si>
  <si>
    <t>Common stock</t>
  </si>
  <si>
    <t xml:space="preserve">WACC </t>
  </si>
  <si>
    <t>Discount rate</t>
  </si>
  <si>
    <t>NPV</t>
  </si>
  <si>
    <t>CONCLUSION</t>
  </si>
  <si>
    <t>Yes, the company should add food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</si>
</sst>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44" fontId="3" fillId="3" borderId="0" xfId="0" applyNumberFormat="1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2" borderId="5" xfId="0" applyFont="1" applyFill="1" applyBorder="1" applyAlignment="1">
      <alignment horizontal="center" wrapText="1"/>
    </xf>
    <xf numFmtId="10" fontId="3" fillId="3" borderId="0" xfId="1" applyNumberFormat="1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3" fillId="0" borderId="4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  <xf numFmtId="8" fontId="0" fillId="4" borderId="0" xfId="0" applyNumberFormat="1" applyFill="1" applyAlignment="1">
      <alignment wrapText="1"/>
    </xf>
    <xf numFmtId="164" fontId="0" fillId="0" borderId="0" xfId="0" applyNumberFormat="1" applyAlignment="1">
      <alignment wrapText="1"/>
    </xf>
    <xf numFmtId="10" fontId="3" fillId="3" borderId="0" xfId="0" applyNumberFormat="1" applyFont="1" applyFill="1" applyBorder="1" applyAlignment="1">
      <alignment horizontal="center" wrapText="1"/>
    </xf>
    <xf numFmtId="10" fontId="3" fillId="3" borderId="0" xfId="0" applyNumberFormat="1" applyFont="1" applyFill="1" applyAlignment="1">
      <alignment horizontal="center" wrapText="1"/>
    </xf>
    <xf numFmtId="0" fontId="0" fillId="0" borderId="3" xfId="0" applyBorder="1"/>
    <xf numFmtId="0" fontId="3" fillId="2" borderId="0" xfId="0" applyFont="1" applyFill="1"/>
    <xf numFmtId="0" fontId="0" fillId="2" borderId="0" xfId="0" applyFill="1"/>
    <xf numFmtId="0" fontId="3" fillId="0" borderId="9" xfId="0" applyFont="1" applyBorder="1"/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44" fontId="3" fillId="3" borderId="9" xfId="0" applyNumberFormat="1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44" fontId="3" fillId="0" borderId="9" xfId="0" applyNumberFormat="1" applyFont="1" applyBorder="1" applyAlignment="1">
      <alignment horizontal="center" wrapText="1"/>
    </xf>
    <xf numFmtId="9" fontId="3" fillId="3" borderId="9" xfId="0" applyNumberFormat="1" applyFont="1" applyFill="1" applyBorder="1" applyAlignment="1">
      <alignment horizontal="center" wrapText="1"/>
    </xf>
    <xf numFmtId="41" fontId="3" fillId="3" borderId="9" xfId="0" applyNumberFormat="1" applyFont="1" applyFill="1" applyBorder="1" applyAlignment="1">
      <alignment horizontal="center" wrapText="1"/>
    </xf>
    <xf numFmtId="7" fontId="3" fillId="0" borderId="9" xfId="0" applyNumberFormat="1" applyFont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164" fontId="3" fillId="0" borderId="9" xfId="0" applyNumberFormat="1" applyFont="1" applyBorder="1" applyAlignment="1">
      <alignment horizontal="center" wrapText="1"/>
    </xf>
    <xf numFmtId="164" fontId="3" fillId="5" borderId="0" xfId="0" applyNumberFormat="1" applyFont="1" applyFill="1" applyAlignment="1">
      <alignment horizontal="center" wrapText="1"/>
    </xf>
    <xf numFmtId="165" fontId="3" fillId="2" borderId="5" xfId="0" applyNumberFormat="1" applyFont="1" applyFill="1" applyBorder="1" applyAlignment="1">
      <alignment wrapText="1"/>
    </xf>
    <xf numFmtId="165" fontId="3" fillId="0" borderId="7" xfId="0" applyNumberFormat="1" applyFont="1" applyBorder="1" applyAlignment="1">
      <alignment horizontal="center" wrapText="1"/>
    </xf>
    <xf numFmtId="165" fontId="3" fillId="2" borderId="6" xfId="0" applyNumberFormat="1" applyFont="1" applyFill="1" applyBorder="1" applyAlignment="1">
      <alignment wrapText="1"/>
    </xf>
    <xf numFmtId="165" fontId="3" fillId="4" borderId="7" xfId="0" applyNumberFormat="1" applyFont="1" applyFill="1" applyBorder="1" applyAlignment="1">
      <alignment wrapText="1"/>
    </xf>
    <xf numFmtId="165" fontId="3" fillId="4" borderId="8" xfId="0" applyNumberFormat="1" applyFont="1" applyFill="1" applyBorder="1" applyAlignment="1">
      <alignment wrapText="1"/>
    </xf>
    <xf numFmtId="7" fontId="3" fillId="0" borderId="0" xfId="0" applyNumberFormat="1" applyFont="1" applyAlignment="1">
      <alignment wrapText="1"/>
    </xf>
    <xf numFmtId="7" fontId="3" fillId="3" borderId="0" xfId="0" applyNumberFormat="1" applyFont="1" applyFill="1" applyAlignment="1">
      <alignment wrapText="1"/>
    </xf>
    <xf numFmtId="7" fontId="3" fillId="4" borderId="7" xfId="0" applyNumberFormat="1" applyFont="1" applyFill="1" applyBorder="1" applyAlignment="1">
      <alignment wrapText="1"/>
    </xf>
    <xf numFmtId="165" fontId="3" fillId="0" borderId="0" xfId="0" applyNumberFormat="1" applyFont="1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10" fontId="0" fillId="0" borderId="9" xfId="0" applyNumberFormat="1" applyBorder="1" applyAlignment="1">
      <alignment vertical="center"/>
    </xf>
    <xf numFmtId="166" fontId="0" fillId="0" borderId="0" xfId="0" applyNumberFormat="1" applyAlignment="1">
      <alignment wrapText="1"/>
    </xf>
    <xf numFmtId="0" fontId="0" fillId="0" borderId="9" xfId="0" applyBorder="1" applyAlignment="1">
      <alignment wrapText="1"/>
    </xf>
    <xf numFmtId="0" fontId="0" fillId="6" borderId="9" xfId="0" applyFill="1" applyBorder="1" applyAlignment="1">
      <alignment wrapText="1"/>
    </xf>
    <xf numFmtId="166" fontId="0" fillId="6" borderId="9" xfId="0" applyNumberFormat="1" applyFill="1" applyBorder="1" applyAlignment="1">
      <alignment wrapText="1"/>
    </xf>
    <xf numFmtId="0" fontId="0" fillId="0" borderId="10" xfId="0" applyBorder="1" applyAlignment="1">
      <alignment vertical="center"/>
    </xf>
    <xf numFmtId="166" fontId="0" fillId="0" borderId="10" xfId="1" applyNumberFormat="1" applyFont="1" applyFill="1" applyBorder="1" applyAlignment="1">
      <alignment vertical="center"/>
    </xf>
    <xf numFmtId="10" fontId="0" fillId="6" borderId="9" xfId="0" applyNumberFormat="1" applyFill="1" applyBorder="1" applyAlignment="1">
      <alignment wrapText="1"/>
    </xf>
    <xf numFmtId="0" fontId="2" fillId="7" borderId="0" xfId="0" applyFont="1" applyFill="1" applyAlignment="1">
      <alignment wrapText="1"/>
    </xf>
    <xf numFmtId="166" fontId="2" fillId="7" borderId="0" xfId="0" applyNumberFormat="1" applyFont="1" applyFill="1" applyAlignment="1">
      <alignment wrapText="1"/>
    </xf>
    <xf numFmtId="10" fontId="0" fillId="0" borderId="9" xfId="1" applyNumberFormat="1" applyFont="1" applyFill="1" applyBorder="1" applyAlignment="1">
      <alignment vertical="center"/>
    </xf>
    <xf numFmtId="0" fontId="5" fillId="4" borderId="0" xfId="0" applyFont="1" applyFill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9</xdr:col>
      <xdr:colOff>152400</xdr:colOff>
      <xdr:row>53</xdr:row>
      <xdr:rowOff>71437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2EDB0-AEED-4738-A2B9-DA651D6230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29" r="10797"/>
        <a:stretch/>
      </xdr:blipFill>
      <xdr:spPr>
        <a:xfrm>
          <a:off x="95250" y="0"/>
          <a:ext cx="5886450" cy="9663112"/>
        </a:xfrm>
        <a:prstGeom prst="rect">
          <a:avLst/>
        </a:prstGeom>
        <a:ln w="57150">
          <a:solidFill>
            <a:schemeClr val="accent2"/>
          </a:solidFill>
        </a:ln>
      </xdr:spPr>
    </xdr:pic>
    <xdr:clientData/>
  </xdr:twoCellAnchor>
  <xdr:twoCellAnchor editAs="oneCell">
    <xdr:from>
      <xdr:col>9</xdr:col>
      <xdr:colOff>357189</xdr:colOff>
      <xdr:row>0</xdr:row>
      <xdr:rowOff>9526</xdr:rowOff>
    </xdr:from>
    <xdr:to>
      <xdr:col>18</xdr:col>
      <xdr:colOff>566239</xdr:colOff>
      <xdr:row>30</xdr:row>
      <xdr:rowOff>90488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02FF51-BCB2-442C-83D7-E6CEFC3C14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949" r="10372"/>
        <a:stretch/>
      </xdr:blipFill>
      <xdr:spPr>
        <a:xfrm>
          <a:off x="6186489" y="9526"/>
          <a:ext cx="6038350" cy="5510212"/>
        </a:xfrm>
        <a:prstGeom prst="rect">
          <a:avLst/>
        </a:prstGeom>
        <a:ln w="57150">
          <a:solidFill>
            <a:schemeClr val="accent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02F8-89B7-42AD-8B52-C52D8544BFCA}">
  <dimension ref="A1"/>
  <sheetViews>
    <sheetView topLeftCell="A13" workbookViewId="0">
      <selection activeCell="L45" sqref="L4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5865-559E-495A-9365-7CFD38549752}">
  <dimension ref="A1:T56"/>
  <sheetViews>
    <sheetView tabSelected="1" zoomScale="70" zoomScaleNormal="70" workbookViewId="0">
      <selection activeCell="B53" sqref="B53"/>
    </sheetView>
  </sheetViews>
  <sheetFormatPr defaultRowHeight="14.25" x14ac:dyDescent="0.45"/>
  <cols>
    <col min="1" max="1" width="22.06640625" style="10" bestFit="1" customWidth="1"/>
    <col min="2" max="2" width="17.6640625" style="10" customWidth="1"/>
    <col min="3" max="3" width="18.06640625" style="10" customWidth="1"/>
    <col min="4" max="4" width="21.265625" style="10" bestFit="1" customWidth="1"/>
    <col min="5" max="5" width="19.73046875" style="10" bestFit="1" customWidth="1"/>
    <col min="6" max="12" width="13.46484375" style="10" bestFit="1" customWidth="1"/>
    <col min="13" max="13" width="10.6640625" style="10" bestFit="1" customWidth="1"/>
    <col min="14" max="14" width="9.06640625" style="10"/>
    <col min="15" max="15" width="12.53125" style="10" customWidth="1"/>
    <col min="16" max="16" width="12.06640625" style="10" customWidth="1"/>
    <col min="17" max="17" width="11.19921875" style="10" customWidth="1"/>
    <col min="18" max="18" width="9.06640625" style="10"/>
    <col min="19" max="19" width="12.9296875" style="10" bestFit="1" customWidth="1"/>
    <col min="20" max="20" width="17.33203125" style="10" customWidth="1"/>
    <col min="21" max="16384" width="9.06640625" style="10"/>
  </cols>
  <sheetData>
    <row r="1" spans="1:20" ht="55.5" x14ac:dyDescent="0.45">
      <c r="A1" s="30"/>
      <c r="B1" s="31" t="s">
        <v>0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6"/>
      <c r="N1" s="7" t="s">
        <v>11</v>
      </c>
      <c r="O1" s="1" t="s">
        <v>12</v>
      </c>
      <c r="P1" s="1" t="s">
        <v>13</v>
      </c>
      <c r="Q1" s="1" t="s">
        <v>14</v>
      </c>
      <c r="R1" s="5" t="s">
        <v>15</v>
      </c>
      <c r="S1" s="8"/>
      <c r="T1" s="9" t="s">
        <v>16</v>
      </c>
    </row>
    <row r="2" spans="1:20" x14ac:dyDescent="0.45">
      <c r="A2" s="32" t="s">
        <v>22</v>
      </c>
      <c r="B2" s="2">
        <v>0.05</v>
      </c>
      <c r="C2" s="37">
        <v>110000</v>
      </c>
      <c r="D2" s="37">
        <f xml:space="preserve"> C2*(1+$B$2)</f>
        <v>115500</v>
      </c>
      <c r="E2" s="37">
        <f t="shared" ref="E2:L2" si="0" xml:space="preserve"> D2*(1+$B$2)</f>
        <v>121275</v>
      </c>
      <c r="F2" s="37">
        <f t="shared" si="0"/>
        <v>127338.75</v>
      </c>
      <c r="G2" s="37">
        <f t="shared" si="0"/>
        <v>133705.6875</v>
      </c>
      <c r="H2" s="37">
        <f t="shared" si="0"/>
        <v>140390.97187500002</v>
      </c>
      <c r="I2" s="37">
        <f t="shared" si="0"/>
        <v>147410.52046875004</v>
      </c>
      <c r="J2" s="37">
        <f t="shared" si="0"/>
        <v>154781.04649218754</v>
      </c>
      <c r="K2" s="37">
        <f t="shared" si="0"/>
        <v>162520.09881679693</v>
      </c>
      <c r="L2" s="37">
        <f t="shared" si="0"/>
        <v>170646.1037576368</v>
      </c>
      <c r="M2" s="12"/>
      <c r="N2" s="13">
        <v>1</v>
      </c>
      <c r="O2" s="14">
        <v>0.1</v>
      </c>
      <c r="P2" s="41">
        <f xml:space="preserve"> O2*$T$2</f>
        <v>100000</v>
      </c>
      <c r="Q2" s="15">
        <f xml:space="preserve"> P2</f>
        <v>100000</v>
      </c>
      <c r="R2" s="16">
        <f xml:space="preserve"> $T$2 - Q2</f>
        <v>900000</v>
      </c>
      <c r="S2" s="17"/>
      <c r="T2" s="11">
        <v>1000000</v>
      </c>
    </row>
    <row r="3" spans="1:20" x14ac:dyDescent="0.45">
      <c r="A3" s="32" t="s">
        <v>23</v>
      </c>
      <c r="B3" s="2">
        <v>0.02</v>
      </c>
      <c r="C3" s="33">
        <v>9.5</v>
      </c>
      <c r="D3" s="33">
        <f xml:space="preserve"> C3*(1+$B$3)</f>
        <v>9.69</v>
      </c>
      <c r="E3" s="33">
        <f t="shared" ref="E3:L3" si="1" xml:space="preserve"> D3*(1+$B$3)</f>
        <v>9.883799999999999</v>
      </c>
      <c r="F3" s="33">
        <f t="shared" si="1"/>
        <v>10.081475999999999</v>
      </c>
      <c r="G3" s="33">
        <f t="shared" si="1"/>
        <v>10.283105519999999</v>
      </c>
      <c r="H3" s="33">
        <f t="shared" si="1"/>
        <v>10.4887676304</v>
      </c>
      <c r="I3" s="33">
        <f t="shared" si="1"/>
        <v>10.698542983008</v>
      </c>
      <c r="J3" s="33">
        <f t="shared" si="1"/>
        <v>10.91251384266816</v>
      </c>
      <c r="K3" s="33">
        <f t="shared" si="1"/>
        <v>11.130764119521523</v>
      </c>
      <c r="L3" s="33">
        <f t="shared" si="1"/>
        <v>11.353379401911953</v>
      </c>
      <c r="M3" s="12"/>
      <c r="N3" s="13">
        <v>2</v>
      </c>
      <c r="O3" s="14">
        <v>0.18</v>
      </c>
      <c r="P3" s="41">
        <f t="shared" ref="P3:P12" si="2" xml:space="preserve"> O3*$T$2</f>
        <v>180000</v>
      </c>
      <c r="Q3" s="15">
        <f xml:space="preserve"> P3+Q2</f>
        <v>280000</v>
      </c>
      <c r="R3" s="16">
        <f t="shared" ref="R3:R11" si="3" xml:space="preserve"> $T$2 - Q3</f>
        <v>720000</v>
      </c>
      <c r="S3" s="17"/>
      <c r="T3" s="17"/>
    </row>
    <row r="4" spans="1:20" x14ac:dyDescent="0.45">
      <c r="A4" s="32" t="s">
        <v>24</v>
      </c>
      <c r="B4" s="4"/>
      <c r="C4" s="35">
        <f xml:space="preserve"> C2*C3</f>
        <v>1045000</v>
      </c>
      <c r="D4" s="38">
        <f xml:space="preserve"> D2*D3</f>
        <v>1119195</v>
      </c>
      <c r="E4" s="38">
        <f t="shared" ref="E4:L4" si="4" xml:space="preserve"> E2*E3</f>
        <v>1198657.845</v>
      </c>
      <c r="F4" s="38">
        <f t="shared" si="4"/>
        <v>1283762.5519949999</v>
      </c>
      <c r="G4" s="38">
        <f t="shared" si="4"/>
        <v>1374909.6931866449</v>
      </c>
      <c r="H4" s="38">
        <f t="shared" si="4"/>
        <v>1472528.2814028969</v>
      </c>
      <c r="I4" s="38">
        <f t="shared" si="4"/>
        <v>1577077.7893825029</v>
      </c>
      <c r="J4" s="38">
        <f t="shared" si="4"/>
        <v>1689050.3124286605</v>
      </c>
      <c r="K4" s="38">
        <f t="shared" si="4"/>
        <v>1808972.8846110955</v>
      </c>
      <c r="L4" s="38">
        <f t="shared" si="4"/>
        <v>1937409.9594184835</v>
      </c>
      <c r="M4" s="12"/>
      <c r="N4" s="13">
        <v>3</v>
      </c>
      <c r="O4" s="14">
        <v>0.14399999999999999</v>
      </c>
      <c r="P4" s="41">
        <f t="shared" si="2"/>
        <v>144000</v>
      </c>
      <c r="Q4" s="15">
        <f>Q3+P4</f>
        <v>424000</v>
      </c>
      <c r="R4" s="16">
        <f t="shared" si="3"/>
        <v>576000</v>
      </c>
      <c r="S4" s="17"/>
      <c r="T4" s="17"/>
    </row>
    <row r="5" spans="1:20" x14ac:dyDescent="0.45">
      <c r="A5" s="32" t="s">
        <v>25</v>
      </c>
      <c r="B5" s="39"/>
      <c r="C5" s="35">
        <f xml:space="preserve"> C4*0.4</f>
        <v>418000</v>
      </c>
      <c r="D5" s="35">
        <f t="shared" ref="D5:L5" si="5" xml:space="preserve"> D4*0.4</f>
        <v>447678</v>
      </c>
      <c r="E5" s="35">
        <f t="shared" si="5"/>
        <v>479463.13800000004</v>
      </c>
      <c r="F5" s="35">
        <f t="shared" si="5"/>
        <v>513505.02079799998</v>
      </c>
      <c r="G5" s="35">
        <f t="shared" si="5"/>
        <v>549963.87727465795</v>
      </c>
      <c r="H5" s="35">
        <f t="shared" si="5"/>
        <v>589011.31256115879</v>
      </c>
      <c r="I5" s="35">
        <f t="shared" si="5"/>
        <v>630831.11575300118</v>
      </c>
      <c r="J5" s="35">
        <f t="shared" si="5"/>
        <v>675620.12497146428</v>
      </c>
      <c r="K5" s="35">
        <f t="shared" si="5"/>
        <v>723589.15384443826</v>
      </c>
      <c r="L5" s="35">
        <f t="shared" si="5"/>
        <v>774963.98376739351</v>
      </c>
      <c r="M5" s="12"/>
      <c r="N5" s="13">
        <v>4</v>
      </c>
      <c r="O5" s="14">
        <v>0.1152</v>
      </c>
      <c r="P5" s="41">
        <f t="shared" si="2"/>
        <v>115200</v>
      </c>
      <c r="Q5" s="15">
        <f>Q4+P5</f>
        <v>539200</v>
      </c>
      <c r="R5" s="16">
        <f t="shared" si="3"/>
        <v>460800</v>
      </c>
      <c r="S5" s="17"/>
      <c r="T5" s="17"/>
    </row>
    <row r="6" spans="1:20" x14ac:dyDescent="0.45">
      <c r="A6" s="32" t="s">
        <v>26</v>
      </c>
      <c r="B6" s="34">
        <v>0.02</v>
      </c>
      <c r="C6" s="33">
        <f xml:space="preserve"> 100000 + 90000*(1.28)</f>
        <v>215200</v>
      </c>
      <c r="D6" s="33">
        <f xml:space="preserve"> C6 * 1.02</f>
        <v>219504</v>
      </c>
      <c r="E6" s="33">
        <f t="shared" ref="E6:L6" si="6" xml:space="preserve"> D6 * 1.02</f>
        <v>223894.08000000002</v>
      </c>
      <c r="F6" s="33">
        <f t="shared" si="6"/>
        <v>228371.96160000001</v>
      </c>
      <c r="G6" s="33">
        <f t="shared" si="6"/>
        <v>232939.40083200001</v>
      </c>
      <c r="H6" s="33">
        <f t="shared" si="6"/>
        <v>237598.18884864001</v>
      </c>
      <c r="I6" s="33">
        <f t="shared" si="6"/>
        <v>242350.15262561283</v>
      </c>
      <c r="J6" s="33">
        <f t="shared" si="6"/>
        <v>247197.1556781251</v>
      </c>
      <c r="K6" s="33">
        <f t="shared" si="6"/>
        <v>252141.0987916876</v>
      </c>
      <c r="L6" s="33">
        <f t="shared" si="6"/>
        <v>257183.92076752137</v>
      </c>
      <c r="M6" s="12"/>
      <c r="N6" s="13">
        <v>5</v>
      </c>
      <c r="O6" s="14">
        <v>9.2200000000000004E-2</v>
      </c>
      <c r="P6" s="41">
        <f t="shared" si="2"/>
        <v>92200</v>
      </c>
      <c r="Q6" s="15">
        <f>Q5+P6</f>
        <v>631400</v>
      </c>
      <c r="R6" s="16">
        <f t="shared" si="3"/>
        <v>368600</v>
      </c>
      <c r="S6" s="17"/>
      <c r="T6" s="17"/>
    </row>
    <row r="7" spans="1:20" x14ac:dyDescent="0.45">
      <c r="A7" s="32" t="s">
        <v>27</v>
      </c>
      <c r="B7" s="34"/>
      <c r="C7" s="40">
        <f xml:space="preserve"> P2</f>
        <v>100000</v>
      </c>
      <c r="D7" s="40">
        <f xml:space="preserve"> P3</f>
        <v>180000</v>
      </c>
      <c r="E7" s="40">
        <f xml:space="preserve"> P4</f>
        <v>144000</v>
      </c>
      <c r="F7" s="40">
        <f xml:space="preserve"> P5</f>
        <v>115200</v>
      </c>
      <c r="G7" s="40">
        <f xml:space="preserve"> P6</f>
        <v>92200</v>
      </c>
      <c r="H7" s="40">
        <f>P7</f>
        <v>73700</v>
      </c>
      <c r="I7" s="40">
        <f>P8</f>
        <v>65500</v>
      </c>
      <c r="J7" s="40">
        <f>P9</f>
        <v>65500</v>
      </c>
      <c r="K7" s="40">
        <f>P10</f>
        <v>65600</v>
      </c>
      <c r="L7" s="40">
        <f>P11</f>
        <v>65500</v>
      </c>
      <c r="M7" s="12"/>
      <c r="N7" s="13">
        <v>6</v>
      </c>
      <c r="O7" s="14">
        <v>7.3700000000000002E-2</v>
      </c>
      <c r="P7" s="41">
        <f t="shared" si="2"/>
        <v>73700</v>
      </c>
      <c r="Q7" s="15">
        <f>Q6+P7</f>
        <v>705100</v>
      </c>
      <c r="R7" s="16">
        <f t="shared" si="3"/>
        <v>294900</v>
      </c>
      <c r="S7" s="17"/>
      <c r="T7" s="17"/>
    </row>
    <row r="8" spans="1:20" x14ac:dyDescent="0.45">
      <c r="A8" s="32" t="s">
        <v>28</v>
      </c>
      <c r="B8" s="34"/>
      <c r="C8" s="35">
        <f xml:space="preserve"> C4-C5-C6-C7</f>
        <v>311800</v>
      </c>
      <c r="D8" s="35">
        <f t="shared" ref="D8:L8" si="7" xml:space="preserve"> D4-D5-D6-D7</f>
        <v>272013</v>
      </c>
      <c r="E8" s="35">
        <f t="shared" si="7"/>
        <v>351300.62699999992</v>
      </c>
      <c r="F8" s="35">
        <f t="shared" si="7"/>
        <v>426685.56959699979</v>
      </c>
      <c r="G8" s="35">
        <f t="shared" si="7"/>
        <v>499806.41507998691</v>
      </c>
      <c r="H8" s="35">
        <f t="shared" si="7"/>
        <v>572218.779993098</v>
      </c>
      <c r="I8" s="35">
        <f t="shared" si="7"/>
        <v>638396.52100388892</v>
      </c>
      <c r="J8" s="35">
        <f t="shared" si="7"/>
        <v>700733.03177907108</v>
      </c>
      <c r="K8" s="35">
        <f t="shared" si="7"/>
        <v>767642.63197496964</v>
      </c>
      <c r="L8" s="35">
        <f t="shared" si="7"/>
        <v>839762.05488356866</v>
      </c>
      <c r="M8" s="12"/>
      <c r="N8" s="13">
        <v>7</v>
      </c>
      <c r="O8" s="25">
        <v>6.5500000000000003E-2</v>
      </c>
      <c r="P8" s="41">
        <f t="shared" si="2"/>
        <v>65500</v>
      </c>
      <c r="Q8" s="15">
        <f t="shared" ref="Q8:Q12" si="8">Q7+P8</f>
        <v>770600</v>
      </c>
      <c r="R8" s="16">
        <f t="shared" si="3"/>
        <v>229400</v>
      </c>
      <c r="S8" s="17"/>
      <c r="T8" s="17"/>
    </row>
    <row r="9" spans="1:20" x14ac:dyDescent="0.45">
      <c r="A9" s="32" t="s">
        <v>29</v>
      </c>
      <c r="B9" s="36">
        <v>0.3</v>
      </c>
      <c r="C9" s="35">
        <f>C8 * $B$9</f>
        <v>93540</v>
      </c>
      <c r="D9" s="35">
        <f t="shared" ref="D9:L9" si="9">D8 * $B$9</f>
        <v>81603.899999999994</v>
      </c>
      <c r="E9" s="35">
        <f t="shared" si="9"/>
        <v>105390.18809999997</v>
      </c>
      <c r="F9" s="35">
        <f t="shared" si="9"/>
        <v>128005.67087909993</v>
      </c>
      <c r="G9" s="35">
        <f t="shared" si="9"/>
        <v>149941.92452399607</v>
      </c>
      <c r="H9" s="35">
        <f t="shared" si="9"/>
        <v>171665.6339979294</v>
      </c>
      <c r="I9" s="35">
        <f t="shared" si="9"/>
        <v>191518.95630116668</v>
      </c>
      <c r="J9" s="35">
        <f t="shared" si="9"/>
        <v>210219.90953372131</v>
      </c>
      <c r="K9" s="35">
        <f t="shared" si="9"/>
        <v>230292.78959249088</v>
      </c>
      <c r="L9" s="35">
        <f t="shared" si="9"/>
        <v>251928.61646507058</v>
      </c>
      <c r="M9" s="12"/>
      <c r="N9" s="13">
        <v>8</v>
      </c>
      <c r="O9" s="26">
        <v>6.5500000000000003E-2</v>
      </c>
      <c r="P9" s="41">
        <f t="shared" si="2"/>
        <v>65500</v>
      </c>
      <c r="Q9" s="15">
        <f t="shared" si="8"/>
        <v>836100</v>
      </c>
      <c r="R9" s="16">
        <f t="shared" si="3"/>
        <v>163900</v>
      </c>
      <c r="S9" s="12"/>
      <c r="T9" s="12"/>
    </row>
    <row r="10" spans="1:20" x14ac:dyDescent="0.45">
      <c r="A10" s="32" t="s">
        <v>30</v>
      </c>
      <c r="B10" s="34"/>
      <c r="C10" s="35">
        <f>C8-C9</f>
        <v>218260</v>
      </c>
      <c r="D10" s="35">
        <f t="shared" ref="D10:L10" si="10">D8-D9</f>
        <v>190409.1</v>
      </c>
      <c r="E10" s="35">
        <f t="shared" si="10"/>
        <v>245910.43889999995</v>
      </c>
      <c r="F10" s="35">
        <f t="shared" si="10"/>
        <v>298679.89871789987</v>
      </c>
      <c r="G10" s="35">
        <f t="shared" si="10"/>
        <v>349864.49055599084</v>
      </c>
      <c r="H10" s="35">
        <f t="shared" si="10"/>
        <v>400553.1459951686</v>
      </c>
      <c r="I10" s="35">
        <f t="shared" si="10"/>
        <v>446877.56470272224</v>
      </c>
      <c r="J10" s="35">
        <f t="shared" si="10"/>
        <v>490513.1222453498</v>
      </c>
      <c r="K10" s="35">
        <f t="shared" si="10"/>
        <v>537349.84238247876</v>
      </c>
      <c r="L10" s="35">
        <f t="shared" si="10"/>
        <v>587833.43841849803</v>
      </c>
      <c r="M10" s="12"/>
      <c r="N10" s="13">
        <v>9</v>
      </c>
      <c r="O10" s="26">
        <v>6.5600000000000006E-2</v>
      </c>
      <c r="P10" s="41">
        <f t="shared" si="2"/>
        <v>65600</v>
      </c>
      <c r="Q10" s="15">
        <f t="shared" si="8"/>
        <v>901700</v>
      </c>
      <c r="R10" s="16">
        <f t="shared" si="3"/>
        <v>98300</v>
      </c>
      <c r="S10" s="12"/>
      <c r="T10" s="12"/>
    </row>
    <row r="11" spans="1:20" x14ac:dyDescent="0.45">
      <c r="A11" s="32" t="s">
        <v>31</v>
      </c>
      <c r="B11" s="34"/>
      <c r="C11" s="40">
        <f xml:space="preserve"> C7</f>
        <v>100000</v>
      </c>
      <c r="D11" s="40">
        <f t="shared" ref="D11:L11" si="11" xml:space="preserve"> D7</f>
        <v>180000</v>
      </c>
      <c r="E11" s="40">
        <f t="shared" si="11"/>
        <v>144000</v>
      </c>
      <c r="F11" s="40">
        <f t="shared" si="11"/>
        <v>115200</v>
      </c>
      <c r="G11" s="40">
        <f t="shared" si="11"/>
        <v>92200</v>
      </c>
      <c r="H11" s="40">
        <f t="shared" si="11"/>
        <v>73700</v>
      </c>
      <c r="I11" s="40">
        <f t="shared" si="11"/>
        <v>65500</v>
      </c>
      <c r="J11" s="40">
        <f t="shared" si="11"/>
        <v>65500</v>
      </c>
      <c r="K11" s="40">
        <f t="shared" si="11"/>
        <v>65600</v>
      </c>
      <c r="L11" s="40">
        <f t="shared" si="11"/>
        <v>65500</v>
      </c>
      <c r="M11" s="12"/>
      <c r="N11" s="13">
        <v>10</v>
      </c>
      <c r="O11" s="26">
        <v>6.5500000000000003E-2</v>
      </c>
      <c r="P11" s="41">
        <f t="shared" si="2"/>
        <v>65500</v>
      </c>
      <c r="Q11" s="15">
        <f t="shared" si="8"/>
        <v>967200</v>
      </c>
      <c r="R11" s="16">
        <f t="shared" si="3"/>
        <v>32800</v>
      </c>
      <c r="S11" s="12"/>
      <c r="T11" s="12"/>
    </row>
    <row r="12" spans="1:20" x14ac:dyDescent="0.45">
      <c r="A12" s="32" t="s">
        <v>32</v>
      </c>
      <c r="B12" s="34"/>
      <c r="C12" s="35">
        <f xml:space="preserve"> C10+C7</f>
        <v>318260</v>
      </c>
      <c r="D12" s="35">
        <f t="shared" ref="D12:L12" si="12" xml:space="preserve"> D10+D7</f>
        <v>370409.1</v>
      </c>
      <c r="E12" s="35">
        <f t="shared" si="12"/>
        <v>389910.43889999995</v>
      </c>
      <c r="F12" s="35">
        <f t="shared" si="12"/>
        <v>413879.89871789987</v>
      </c>
      <c r="G12" s="35">
        <f t="shared" si="12"/>
        <v>442064.49055599084</v>
      </c>
      <c r="H12" s="35">
        <f t="shared" si="12"/>
        <v>474253.1459951686</v>
      </c>
      <c r="I12" s="35">
        <f t="shared" si="12"/>
        <v>512377.56470272224</v>
      </c>
      <c r="J12" s="35">
        <f t="shared" si="12"/>
        <v>556013.1222453498</v>
      </c>
      <c r="K12" s="35">
        <f t="shared" si="12"/>
        <v>602949.84238247876</v>
      </c>
      <c r="L12" s="35">
        <f t="shared" si="12"/>
        <v>653333.43841849803</v>
      </c>
      <c r="M12" s="12"/>
      <c r="N12" s="13">
        <v>11</v>
      </c>
      <c r="O12" s="26">
        <v>3.2800000000000003E-2</v>
      </c>
      <c r="P12" s="15">
        <f t="shared" si="2"/>
        <v>32800</v>
      </c>
      <c r="Q12" s="15">
        <f t="shared" si="8"/>
        <v>1000000</v>
      </c>
      <c r="R12" s="16">
        <f xml:space="preserve"> $T$2 - Q12</f>
        <v>0</v>
      </c>
      <c r="S12" s="12"/>
      <c r="T12" s="12"/>
    </row>
    <row r="13" spans="1:20" x14ac:dyDescent="0.45">
      <c r="A13"/>
      <c r="N13" s="18" t="s">
        <v>17</v>
      </c>
      <c r="O13" s="10">
        <f>SUM(O1:O12)</f>
        <v>1</v>
      </c>
    </row>
    <row r="14" spans="1:20" x14ac:dyDescent="0.45">
      <c r="A14"/>
    </row>
    <row r="15" spans="1:20" ht="28.15" x14ac:dyDescent="0.45">
      <c r="A15" s="27"/>
      <c r="B15" s="19" t="s">
        <v>18</v>
      </c>
      <c r="C15" s="19" t="s">
        <v>1</v>
      </c>
      <c r="D15" s="19" t="s">
        <v>2</v>
      </c>
      <c r="E15" s="19" t="s">
        <v>3</v>
      </c>
      <c r="F15" s="19" t="s">
        <v>4</v>
      </c>
      <c r="G15" s="19" t="s">
        <v>5</v>
      </c>
      <c r="H15" s="20" t="s">
        <v>6</v>
      </c>
      <c r="I15" s="20" t="s">
        <v>7</v>
      </c>
      <c r="J15" s="20" t="s">
        <v>8</v>
      </c>
      <c r="K15" s="20" t="s">
        <v>9</v>
      </c>
      <c r="L15" s="20" t="s">
        <v>10</v>
      </c>
    </row>
    <row r="16" spans="1:20" s="22" customFormat="1" x14ac:dyDescent="0.45">
      <c r="A16" s="42" t="s">
        <v>32</v>
      </c>
      <c r="B16" s="21"/>
      <c r="C16" s="43">
        <f xml:space="preserve"> C12</f>
        <v>318260</v>
      </c>
      <c r="D16" s="43">
        <f t="shared" ref="D16:L16" si="13" xml:space="preserve"> D12</f>
        <v>370409.1</v>
      </c>
      <c r="E16" s="43">
        <f t="shared" si="13"/>
        <v>389910.43889999995</v>
      </c>
      <c r="F16" s="43">
        <f t="shared" si="13"/>
        <v>413879.89871789987</v>
      </c>
      <c r="G16" s="43">
        <f t="shared" si="13"/>
        <v>442064.49055599084</v>
      </c>
      <c r="H16" s="43">
        <f t="shared" si="13"/>
        <v>474253.1459951686</v>
      </c>
      <c r="I16" s="43">
        <f t="shared" si="13"/>
        <v>512377.56470272224</v>
      </c>
      <c r="J16" s="43">
        <f t="shared" si="13"/>
        <v>556013.1222453498</v>
      </c>
      <c r="K16" s="43">
        <f t="shared" si="13"/>
        <v>602949.84238247876</v>
      </c>
      <c r="L16" s="43">
        <f t="shared" si="13"/>
        <v>653333.43841849803</v>
      </c>
    </row>
    <row r="17" spans="1:13" s="22" customFormat="1" x14ac:dyDescent="0.45">
      <c r="A17" s="42" t="s">
        <v>16</v>
      </c>
      <c r="B17" s="47">
        <f xml:space="preserve"> -T2</f>
        <v>-1000000</v>
      </c>
      <c r="C17" s="21"/>
      <c r="D17" s="21"/>
      <c r="E17" s="21"/>
      <c r="F17" s="21"/>
      <c r="G17" s="50"/>
      <c r="H17" s="21"/>
      <c r="I17" s="21"/>
      <c r="J17" s="21"/>
      <c r="K17" s="21"/>
    </row>
    <row r="18" spans="1:13" s="22" customFormat="1" ht="28.15" x14ac:dyDescent="0.45">
      <c r="A18" s="42" t="s">
        <v>33</v>
      </c>
      <c r="B18" s="48">
        <f>-0.1*C5</f>
        <v>-41800</v>
      </c>
      <c r="C18" s="21"/>
      <c r="D18" s="21"/>
      <c r="E18" s="21"/>
      <c r="F18" s="21"/>
      <c r="G18" s="50"/>
      <c r="H18" s="21"/>
      <c r="I18" s="21"/>
      <c r="J18" s="21"/>
      <c r="K18" s="21"/>
      <c r="L18" s="21">
        <v>41800</v>
      </c>
    </row>
    <row r="19" spans="1:13" s="22" customFormat="1" ht="28.15" x14ac:dyDescent="0.45">
      <c r="A19" s="42" t="s">
        <v>34</v>
      </c>
      <c r="B19" s="47"/>
      <c r="C19" s="21"/>
      <c r="D19" s="21"/>
      <c r="E19" s="21"/>
      <c r="F19" s="21"/>
      <c r="G19" s="50"/>
      <c r="H19" s="21"/>
      <c r="I19" s="21"/>
      <c r="J19" s="21"/>
      <c r="K19" s="21"/>
      <c r="L19" s="21">
        <f xml:space="preserve"> H25</f>
        <v>44840</v>
      </c>
    </row>
    <row r="20" spans="1:13" s="22" customFormat="1" x14ac:dyDescent="0.45">
      <c r="A20" s="44" t="s">
        <v>35</v>
      </c>
      <c r="B20" s="49">
        <f xml:space="preserve"> B17+B18</f>
        <v>-1041800</v>
      </c>
      <c r="C20" s="45">
        <f>C16</f>
        <v>318260</v>
      </c>
      <c r="D20" s="45">
        <f>D16</f>
        <v>370409.1</v>
      </c>
      <c r="E20" s="45">
        <f>E16</f>
        <v>389910.43889999995</v>
      </c>
      <c r="F20" s="45">
        <f>F16</f>
        <v>413879.89871789987</v>
      </c>
      <c r="G20" s="45">
        <f xml:space="preserve"> G16+G18+G19</f>
        <v>442064.49055599084</v>
      </c>
      <c r="H20" s="46">
        <f t="shared" ref="H20:L20" si="14" xml:space="preserve"> H16+H18+H19</f>
        <v>474253.1459951686</v>
      </c>
      <c r="I20" s="46">
        <f t="shared" si="14"/>
        <v>512377.56470272224</v>
      </c>
      <c r="J20" s="46">
        <f t="shared" si="14"/>
        <v>556013.1222453498</v>
      </c>
      <c r="K20" s="46">
        <f t="shared" si="14"/>
        <v>602949.84238247876</v>
      </c>
      <c r="L20" s="46">
        <f t="shared" si="14"/>
        <v>739973.43841849803</v>
      </c>
    </row>
    <row r="21" spans="1:13" x14ac:dyDescent="0.45">
      <c r="A21" s="3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3" x14ac:dyDescent="0.45">
      <c r="A22" s="3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3" x14ac:dyDescent="0.45">
      <c r="A23"/>
    </row>
    <row r="25" spans="1:13" x14ac:dyDescent="0.45">
      <c r="G25" s="10" t="s">
        <v>19</v>
      </c>
      <c r="H25" s="22">
        <f xml:space="preserve"> H26 - 0.3*(H26-H27)</f>
        <v>44840</v>
      </c>
    </row>
    <row r="26" spans="1:13" x14ac:dyDescent="0.45">
      <c r="G26" s="10" t="s">
        <v>20</v>
      </c>
      <c r="H26" s="22">
        <f>50000</f>
        <v>50000</v>
      </c>
      <c r="M26" s="22"/>
    </row>
    <row r="27" spans="1:13" x14ac:dyDescent="0.45">
      <c r="G27" s="10" t="s">
        <v>21</v>
      </c>
      <c r="H27" s="24">
        <f xml:space="preserve"> R11</f>
        <v>32800</v>
      </c>
      <c r="L27" s="24"/>
    </row>
    <row r="29" spans="1:13" x14ac:dyDescent="0.45">
      <c r="A29" s="51" t="s">
        <v>23</v>
      </c>
      <c r="B29" s="51">
        <v>920</v>
      </c>
      <c r="C29" s="52"/>
      <c r="D29" s="51" t="s">
        <v>44</v>
      </c>
      <c r="E29" s="51">
        <f>B29-B30*B29</f>
        <v>920</v>
      </c>
    </row>
    <row r="30" spans="1:13" x14ac:dyDescent="0.45">
      <c r="A30" s="51" t="s">
        <v>43</v>
      </c>
      <c r="B30" s="51">
        <v>0</v>
      </c>
      <c r="C30" s="52"/>
      <c r="D30" s="51" t="s">
        <v>42</v>
      </c>
      <c r="E30" s="51">
        <f xml:space="preserve"> B31*B33/2</f>
        <v>40</v>
      </c>
    </row>
    <row r="31" spans="1:13" x14ac:dyDescent="0.45">
      <c r="A31" s="51" t="s">
        <v>41</v>
      </c>
      <c r="B31" s="51">
        <v>0.08</v>
      </c>
      <c r="C31" s="52"/>
      <c r="D31" s="51" t="s">
        <v>40</v>
      </c>
      <c r="E31" s="51">
        <f>B32</f>
        <v>10</v>
      </c>
    </row>
    <row r="32" spans="1:13" x14ac:dyDescent="0.45">
      <c r="A32" s="51" t="s">
        <v>39</v>
      </c>
      <c r="B32" s="51">
        <v>10</v>
      </c>
      <c r="C32" s="52"/>
      <c r="D32" s="51" t="s">
        <v>38</v>
      </c>
      <c r="E32" s="51">
        <v>1000</v>
      </c>
    </row>
    <row r="33" spans="1:5" x14ac:dyDescent="0.45">
      <c r="A33" s="51" t="s">
        <v>38</v>
      </c>
      <c r="B33" s="51">
        <v>1000</v>
      </c>
      <c r="C33" s="52"/>
      <c r="D33" s="51" t="s">
        <v>37</v>
      </c>
      <c r="E33" s="53">
        <f>RATE(E31,E30,-E29,E32)</f>
        <v>5.0379466630339521E-2</v>
      </c>
    </row>
    <row r="34" spans="1:5" x14ac:dyDescent="0.45">
      <c r="A34" s="52"/>
      <c r="B34" s="52"/>
      <c r="C34" s="52"/>
      <c r="D34" s="58" t="s">
        <v>36</v>
      </c>
      <c r="E34" s="59">
        <f>E33*2</f>
        <v>0.10075893326067904</v>
      </c>
    </row>
    <row r="35" spans="1:5" x14ac:dyDescent="0.45">
      <c r="D35" s="56" t="s">
        <v>45</v>
      </c>
      <c r="E35" s="57">
        <f xml:space="preserve"> E34 *(1-B9)</f>
        <v>7.0531253282475323E-2</v>
      </c>
    </row>
    <row r="38" spans="1:5" x14ac:dyDescent="0.45">
      <c r="A38" s="55" t="s">
        <v>47</v>
      </c>
      <c r="B38" s="55">
        <v>4</v>
      </c>
      <c r="D38" s="56" t="s">
        <v>46</v>
      </c>
      <c r="E38" s="60">
        <f xml:space="preserve"> B38/B39</f>
        <v>0.1</v>
      </c>
    </row>
    <row r="39" spans="1:5" x14ac:dyDescent="0.45">
      <c r="A39" s="55" t="s">
        <v>48</v>
      </c>
      <c r="B39" s="55">
        <v>40</v>
      </c>
    </row>
    <row r="41" spans="1:5" x14ac:dyDescent="0.45">
      <c r="A41" s="51" t="s">
        <v>49</v>
      </c>
      <c r="B41" s="51">
        <v>0.9</v>
      </c>
      <c r="D41" s="56" t="s">
        <v>53</v>
      </c>
      <c r="E41" s="60">
        <f xml:space="preserve"> B44</f>
        <v>0.111</v>
      </c>
    </row>
    <row r="42" spans="1:5" x14ac:dyDescent="0.45">
      <c r="A42" s="51" t="s">
        <v>50</v>
      </c>
      <c r="B42" s="51">
        <v>0.03</v>
      </c>
    </row>
    <row r="43" spans="1:5" x14ac:dyDescent="0.45">
      <c r="A43" s="51" t="s">
        <v>51</v>
      </c>
      <c r="B43" s="51">
        <v>0.12</v>
      </c>
    </row>
    <row r="44" spans="1:5" x14ac:dyDescent="0.45">
      <c r="A44" s="51" t="s">
        <v>52</v>
      </c>
      <c r="B44" s="63">
        <f>B42+B41*(B43-B42)</f>
        <v>0.111</v>
      </c>
    </row>
    <row r="47" spans="1:5" x14ac:dyDescent="0.45">
      <c r="A47" s="55" t="s">
        <v>54</v>
      </c>
      <c r="B47" s="55">
        <f>0.4</f>
        <v>0.4</v>
      </c>
      <c r="D47" s="61" t="s">
        <v>57</v>
      </c>
      <c r="E47" s="62">
        <f xml:space="preserve"> B47*E35 + B48*E38+B49*E41</f>
        <v>9.2612501312990148E-2</v>
      </c>
    </row>
    <row r="48" spans="1:5" x14ac:dyDescent="0.45">
      <c r="A48" s="55" t="s">
        <v>55</v>
      </c>
      <c r="B48" s="55">
        <f>0.2</f>
        <v>0.2</v>
      </c>
    </row>
    <row r="49" spans="1:2" x14ac:dyDescent="0.45">
      <c r="A49" s="55" t="s">
        <v>56</v>
      </c>
      <c r="B49" s="55">
        <f>0.4</f>
        <v>0.4</v>
      </c>
    </row>
    <row r="52" spans="1:2" x14ac:dyDescent="0.45">
      <c r="A52" s="28" t="s">
        <v>58</v>
      </c>
      <c r="B52" s="54">
        <f>E47</f>
        <v>9.2612501312990148E-2</v>
      </c>
    </row>
    <row r="53" spans="1:2" x14ac:dyDescent="0.45">
      <c r="A53" s="29" t="s">
        <v>59</v>
      </c>
      <c r="B53" s="23">
        <f>NPV(B52,C20:L20)+B20</f>
        <v>1837996.6273378143</v>
      </c>
    </row>
    <row r="56" spans="1:2" ht="57" x14ac:dyDescent="0.45">
      <c r="A56" s="64" t="s">
        <v>60</v>
      </c>
      <c r="B56" s="64" t="s">
        <v>61</v>
      </c>
    </row>
  </sheetData>
  <phoneticPr fontId="4" type="noConversion"/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 case</vt:lpstr>
      <vt:lpstr>Cash flow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Uyen</dc:creator>
  <cp:lastModifiedBy>Le Uyen</cp:lastModifiedBy>
  <cp:lastPrinted>2021-05-27T05:01:30Z</cp:lastPrinted>
  <dcterms:created xsi:type="dcterms:W3CDTF">2021-05-11T01:29:26Z</dcterms:created>
  <dcterms:modified xsi:type="dcterms:W3CDTF">2021-05-27T05:04:04Z</dcterms:modified>
</cp:coreProperties>
</file>