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2035" windowHeight="10305" activeTab="1"/>
  </bookViews>
  <sheets>
    <sheet name="Умумий кўрсаткичлар" sheetId="3" r:id="rId1"/>
    <sheet name="Қаршилик" sheetId="2" r:id="rId2"/>
    <sheet name="Потерия" sheetId="4" r:id="rId3"/>
    <sheet name="Расчет кабель" sheetId="5" r:id="rId4"/>
    <sheet name="Трансформатор" sheetId="6" r:id="rId5"/>
    <sheet name="Умумий" sheetId="1" r:id="rId6"/>
  </sheets>
  <calcPr calcId="144525"/>
</workbook>
</file>

<file path=xl/calcChain.xml><?xml version="1.0" encoding="utf-8"?>
<calcChain xmlns="http://schemas.openxmlformats.org/spreadsheetml/2006/main">
  <c r="M2" i="1" l="1"/>
  <c r="K2" i="1"/>
  <c r="I2" i="1"/>
  <c r="G2" i="1"/>
  <c r="E5" i="3"/>
  <c r="E4" i="3"/>
  <c r="D7" i="1" l="1"/>
  <c r="F6" i="6"/>
  <c r="F7" i="6" l="1"/>
  <c r="N3" i="4"/>
  <c r="O3" i="4"/>
  <c r="P3" i="4"/>
  <c r="N4" i="4"/>
  <c r="O4" i="4"/>
  <c r="P4" i="4"/>
  <c r="N5" i="4"/>
  <c r="O5" i="4"/>
  <c r="P5" i="4"/>
  <c r="N6" i="4"/>
  <c r="O6" i="4"/>
  <c r="P6" i="4"/>
  <c r="N7" i="4"/>
  <c r="O7" i="4"/>
  <c r="P7" i="4"/>
  <c r="O2" i="4"/>
  <c r="P2" i="4"/>
  <c r="N2" i="4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J2" i="2"/>
  <c r="K2" i="2"/>
  <c r="I2" i="2"/>
  <c r="I12" i="3"/>
  <c r="I11" i="3"/>
  <c r="B11" i="3"/>
  <c r="G11" i="3"/>
  <c r="G12" i="3"/>
  <c r="B13" i="3"/>
  <c r="B15" i="3"/>
  <c r="D2" i="1"/>
  <c r="B2" i="1"/>
  <c r="A2" i="5"/>
  <c r="A3" i="5"/>
  <c r="A4" i="5"/>
  <c r="A6" i="5"/>
  <c r="A7" i="5"/>
  <c r="A8" i="5"/>
  <c r="A10" i="5"/>
  <c r="A11" i="5"/>
  <c r="A12" i="5"/>
  <c r="A13" i="5"/>
  <c r="A14" i="5"/>
  <c r="A17" i="5"/>
  <c r="G17" i="5"/>
  <c r="H17" i="5"/>
  <c r="A18" i="5"/>
  <c r="G18" i="5"/>
  <c r="H18" i="5"/>
  <c r="A20" i="5"/>
  <c r="A21" i="5"/>
  <c r="G21" i="5"/>
  <c r="H21" i="5"/>
  <c r="G22" i="5"/>
  <c r="H22" i="5"/>
  <c r="K21" i="4"/>
  <c r="M21" i="4"/>
  <c r="K22" i="4"/>
  <c r="M22" i="4"/>
  <c r="L23" i="4"/>
  <c r="K24" i="4"/>
  <c r="M24" i="4"/>
  <c r="K25" i="4"/>
  <c r="M25" i="4"/>
  <c r="L20" i="4"/>
  <c r="A20" i="4"/>
  <c r="A21" i="4"/>
  <c r="A23" i="4"/>
  <c r="A24" i="4"/>
  <c r="A25" i="4"/>
  <c r="A26" i="4"/>
  <c r="A27" i="4"/>
  <c r="A18" i="4"/>
  <c r="E9" i="2"/>
  <c r="E6" i="2"/>
  <c r="A1" i="2"/>
  <c r="I6" i="1" l="1"/>
  <c r="I5" i="1"/>
  <c r="F17" i="1" l="1"/>
  <c r="F16" i="1"/>
  <c r="Q24" i="1" s="1"/>
  <c r="F21" i="5" s="1"/>
  <c r="Q25" i="1" l="1"/>
  <c r="F22" i="5" s="1"/>
  <c r="Q20" i="1"/>
  <c r="F17" i="5" s="1"/>
  <c r="Q21" i="1"/>
  <c r="F18" i="5" s="1"/>
  <c r="F22" i="1"/>
  <c r="D9" i="2" s="1"/>
  <c r="F19" i="1"/>
  <c r="D6" i="2" s="1"/>
  <c r="D5" i="1"/>
  <c r="D9" i="1" l="1"/>
  <c r="E15" i="3" s="1"/>
  <c r="E11" i="3"/>
  <c r="F26" i="1"/>
  <c r="F33" i="1"/>
  <c r="F36" i="1"/>
  <c r="F29" i="1"/>
  <c r="E13" i="3"/>
  <c r="F43" i="1"/>
  <c r="L21" i="4" s="1"/>
  <c r="F44" i="1"/>
  <c r="L22" i="4" s="1"/>
  <c r="F47" i="1"/>
  <c r="L25" i="4" s="1"/>
  <c r="F46" i="1"/>
  <c r="L24" i="4" s="1"/>
  <c r="E6" i="4" l="1"/>
  <c r="H29" i="1"/>
  <c r="J29" i="1" s="1"/>
  <c r="E3" i="4"/>
  <c r="H26" i="1"/>
  <c r="J26" i="1" s="1"/>
  <c r="E14" i="4"/>
  <c r="H36" i="1"/>
  <c r="J36" i="1" s="1"/>
  <c r="E11" i="4"/>
  <c r="H33" i="1"/>
  <c r="J33" i="1" s="1"/>
  <c r="E18" i="3"/>
  <c r="G6" i="1"/>
  <c r="H12" i="3" s="1"/>
  <c r="G5" i="1"/>
  <c r="H11" i="3" s="1"/>
</calcChain>
</file>

<file path=xl/sharedStrings.xml><?xml version="1.0" encoding="utf-8"?>
<sst xmlns="http://schemas.openxmlformats.org/spreadsheetml/2006/main" count="148" uniqueCount="73">
  <si>
    <t>Тўлиқ қувват</t>
  </si>
  <si>
    <t>S = √(P² + Q²)</t>
  </si>
  <si>
    <t>cos(φ) = P / S</t>
  </si>
  <si>
    <t>sin(φ) = Q / S </t>
  </si>
  <si>
    <t>Қаршилик (электрик қаршилик)</t>
  </si>
  <si>
    <t>Алюмин</t>
  </si>
  <si>
    <t>Ом.мм^2/м</t>
  </si>
  <si>
    <t>Мис</t>
  </si>
  <si>
    <t>Кабелнинг узунлиги</t>
  </si>
  <si>
    <t xml:space="preserve">ўтказгичнинг кўндаланг кесим юзаси </t>
  </si>
  <si>
    <t>L</t>
  </si>
  <si>
    <t>m</t>
  </si>
  <si>
    <t>S</t>
  </si>
  <si>
    <t>mm^2</t>
  </si>
  <si>
    <t>Ом</t>
  </si>
  <si>
    <t>P</t>
  </si>
  <si>
    <t>Q</t>
  </si>
  <si>
    <t>Умумий ҳолда йўқотиш қуввати (P_loss)</t>
  </si>
  <si>
    <t>P_loss = I² * R</t>
  </si>
  <si>
    <t>P_loss_total = 3 * I² * R</t>
  </si>
  <si>
    <t>I_nom = I * 1.25 = 28.4 * 1.25 = 35.5 А</t>
  </si>
  <si>
    <t>Хавфсизлик коэффициенти</t>
  </si>
  <si>
    <t>Кучланиш пасайишини</t>
  </si>
  <si>
    <t>ΔV = (2 * I * R * L) / V</t>
  </si>
  <si>
    <t>Бу ерда:</t>
  </si>
  <si>
    <t>ΔV - кучланиш пасайиши (Вольтда)</t>
  </si>
  <si>
    <t>I - ток кучи (Амперда) = 28.4 А</t>
  </si>
  <si>
    <t>R - кабелнинг қаршилиги (Ом/метрда). Мис кабел учун 4 мм² кесимда ~ 4.61 мОм/м</t>
  </si>
  <si>
    <t>L - кабел узунлиги (метрда) = 50 м</t>
  </si>
  <si>
    <t>V - кучланиш (Вольтда) = 220 В</t>
  </si>
  <si>
    <t>В</t>
  </si>
  <si>
    <t>Кабельни ҳисоблаш</t>
  </si>
  <si>
    <t>1. Формуладан фойдаланиш:</t>
  </si>
  <si>
    <t>Бир фазали кабел учун:</t>
  </si>
  <si>
    <t>S = (2 * ρ * L * I) / ΔV</t>
  </si>
  <si>
    <t>Уч фазали кабел учун:</t>
  </si>
  <si>
    <t>S = (√3 * ρ * L * I) / ΔV</t>
  </si>
  <si>
    <r>
      <t>S</t>
    </r>
    <r>
      <rPr>
        <sz val="12"/>
        <color rgb="FF212529"/>
        <rFont val="Times New Roman"/>
        <family val="1"/>
        <charset val="204"/>
      </rPr>
      <t> - Керакли кесим юзаси (мм²)</t>
    </r>
  </si>
  <si>
    <r>
      <t>ρ</t>
    </r>
    <r>
      <rPr>
        <sz val="12"/>
        <color rgb="FF212529"/>
        <rFont val="Times New Roman"/>
        <family val="1"/>
        <charset val="204"/>
      </rPr>
      <t> - Материалнинг солиштирма қаршилиги (мис учун ≈ 0.0175 Ом·мм²/м, алюминий учун ≈ 0.028 Ом·мм²/м)</t>
    </r>
  </si>
  <si>
    <r>
      <t>L</t>
    </r>
    <r>
      <rPr>
        <sz val="12"/>
        <color rgb="FF212529"/>
        <rFont val="Times New Roman"/>
        <family val="1"/>
        <charset val="204"/>
      </rPr>
      <t> - Кабел узунлиги (м)</t>
    </r>
  </si>
  <si>
    <r>
      <t>I</t>
    </r>
    <r>
      <rPr>
        <sz val="12"/>
        <color rgb="FF212529"/>
        <rFont val="Times New Roman"/>
        <family val="1"/>
        <charset val="204"/>
      </rPr>
      <t> - Ток кучи (A)</t>
    </r>
  </si>
  <si>
    <t>мм^2</t>
  </si>
  <si>
    <t>ал</t>
  </si>
  <si>
    <t>мис</t>
  </si>
  <si>
    <t>S=mm^2</t>
  </si>
  <si>
    <t>L=m</t>
  </si>
  <si>
    <r>
      <t xml:space="preserve">I  </t>
    </r>
    <r>
      <rPr>
        <b/>
        <sz val="10"/>
        <color theme="1"/>
        <rFont val="Times New Roman"/>
        <family val="1"/>
        <charset val="204"/>
      </rPr>
      <t>380 В</t>
    </r>
  </si>
  <si>
    <r>
      <t xml:space="preserve">I </t>
    </r>
    <r>
      <rPr>
        <b/>
        <sz val="10"/>
        <color theme="1"/>
        <rFont val="Times New Roman"/>
        <family val="1"/>
        <charset val="204"/>
      </rPr>
      <t xml:space="preserve"> 220 В</t>
    </r>
  </si>
  <si>
    <r>
      <t>U</t>
    </r>
    <r>
      <rPr>
        <sz val="8"/>
        <color theme="1"/>
        <rFont val="Calibri"/>
        <family val="2"/>
        <charset val="204"/>
        <scheme val="minor"/>
      </rPr>
      <t>220</t>
    </r>
  </si>
  <si>
    <r>
      <t>U</t>
    </r>
    <r>
      <rPr>
        <sz val="8"/>
        <color theme="1"/>
        <rFont val="Calibri"/>
        <family val="2"/>
        <charset val="204"/>
        <scheme val="minor"/>
      </rPr>
      <t>380</t>
    </r>
  </si>
  <si>
    <t>кВт</t>
  </si>
  <si>
    <r>
      <t>ΔV</t>
    </r>
    <r>
      <rPr>
        <sz val="12"/>
        <color rgb="FF212529"/>
        <rFont val="Times New Roman"/>
        <family val="1"/>
        <charset val="204"/>
      </rPr>
      <t> - Йўл қўйилиши мумкин бўлган кучланиш пасайиши (В) ўртача 5%</t>
    </r>
  </si>
  <si>
    <t>А</t>
  </si>
  <si>
    <t>R = ρ * (L / S)</t>
  </si>
  <si>
    <t>Актив энергия</t>
  </si>
  <si>
    <t>Реактив энергия</t>
  </si>
  <si>
    <t>Ток кучи 220 бўлганда</t>
  </si>
  <si>
    <t>I</t>
  </si>
  <si>
    <t>кВАр</t>
  </si>
  <si>
    <t>Ток кучи 380 бўлганда</t>
  </si>
  <si>
    <t>A</t>
  </si>
  <si>
    <t>Тармоқ узунлиги</t>
  </si>
  <si>
    <t>м</t>
  </si>
  <si>
    <t>Ўтказгичнинг кўндаланг кесим юзаси</t>
  </si>
  <si>
    <t>220 В</t>
  </si>
  <si>
    <t>S-тўла қувват</t>
  </si>
  <si>
    <t>Актив қувватни ҳисоблаш (тахминий)</t>
  </si>
  <si>
    <t>P = Q / tan(arccos(cos φ))</t>
  </si>
  <si>
    <t>Трансформатор</t>
  </si>
  <si>
    <t>tan(arccos(cos φ))</t>
  </si>
  <si>
    <t>tan φ = sin φ / cos φ</t>
  </si>
  <si>
    <t>сўм</t>
  </si>
  <si>
    <t>380 В и выше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</si>
</sst>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212529"/>
      <name val="Segoe UI"/>
      <family val="2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rgb="FF212529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rgb="FF212529"/>
      <name val="Times New Roman"/>
      <family val="1"/>
      <charset val="204"/>
    </font>
    <font>
      <sz val="12"/>
      <color rgb="FF212529"/>
      <name val="Times New Roman"/>
      <family val="1"/>
      <charset val="204"/>
    </font>
    <font>
      <sz val="12"/>
      <color rgb="FFE83E8C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sz val="12"/>
      <color rgb="FF212529"/>
      <name val="Segoe UI"/>
      <family val="2"/>
      <charset val="204"/>
    </font>
    <font>
      <sz val="10"/>
      <color rgb="FFE83E8C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4" fillId="0" borderId="0" xfId="0" applyFont="1" applyAlignment="1"/>
    <xf numFmtId="0" fontId="3" fillId="0" borderId="0" xfId="0" applyFont="1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left" vertical="center" inden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0" fillId="0" borderId="0" xfId="0" applyFont="1" applyAlignment="1">
      <alignment horizontal="left" vertical="center" indent="2"/>
    </xf>
    <xf numFmtId="0" fontId="12" fillId="0" borderId="0" xfId="0" applyFont="1" applyAlignment="1">
      <alignment horizontal="left" vertical="center" indent="5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1"/>
    </xf>
    <xf numFmtId="1" fontId="0" fillId="0" borderId="0" xfId="0" applyNumberFormat="1"/>
    <xf numFmtId="0" fontId="9" fillId="0" borderId="1" xfId="0" applyFont="1" applyBorder="1"/>
    <xf numFmtId="0" fontId="8" fillId="0" borderId="1" xfId="0" applyFont="1" applyBorder="1"/>
    <xf numFmtId="0" fontId="0" fillId="0" borderId="1" xfId="0" applyBorder="1"/>
    <xf numFmtId="0" fontId="1" fillId="0" borderId="1" xfId="0" applyFont="1" applyBorder="1"/>
    <xf numFmtId="0" fontId="5" fillId="0" borderId="1" xfId="0" applyFont="1" applyBorder="1"/>
    <xf numFmtId="164" fontId="5" fillId="0" borderId="1" xfId="0" applyNumberFormat="1" applyFont="1" applyBorder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/>
    <xf numFmtId="2" fontId="0" fillId="0" borderId="1" xfId="0" applyNumberFormat="1" applyBorder="1"/>
    <xf numFmtId="2" fontId="4" fillId="0" borderId="1" xfId="0" applyNumberFormat="1" applyFont="1" applyBorder="1" applyAlignment="1"/>
    <xf numFmtId="2" fontId="4" fillId="0" borderId="1" xfId="0" applyNumberFormat="1" applyFont="1" applyBorder="1"/>
    <xf numFmtId="0" fontId="8" fillId="0" borderId="0" xfId="0" applyFont="1"/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" fillId="0" borderId="0" xfId="0" applyNumberFormat="1" applyFont="1"/>
    <xf numFmtId="0" fontId="1" fillId="0" borderId="0" xfId="0" applyFont="1" applyAlignment="1">
      <alignment horizontal="center" vertical="center"/>
    </xf>
    <xf numFmtId="2" fontId="4" fillId="0" borderId="0" xfId="0" applyNumberFormat="1" applyFont="1"/>
    <xf numFmtId="165" fontId="0" fillId="0" borderId="0" xfId="0" applyNumberFormat="1"/>
    <xf numFmtId="165" fontId="1" fillId="0" borderId="0" xfId="0" applyNumberFormat="1" applyFont="1"/>
    <xf numFmtId="0" fontId="1" fillId="0" borderId="0" xfId="0" applyFont="1" applyAlignment="1">
      <alignment horizontal="right"/>
    </xf>
    <xf numFmtId="0" fontId="16" fillId="0" borderId="0" xfId="0" applyFont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17" fillId="0" borderId="0" xfId="0" applyFont="1"/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/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164" fontId="0" fillId="0" borderId="0" xfId="0" applyNumberFormat="1"/>
    <xf numFmtId="2" fontId="0" fillId="0" borderId="0" xfId="0" applyNumberFormat="1"/>
    <xf numFmtId="3" fontId="0" fillId="0" borderId="0" xfId="0" applyNumberFormat="1"/>
    <xf numFmtId="2" fontId="5" fillId="0" borderId="1" xfId="0" applyNumberFormat="1" applyFont="1" applyBorder="1"/>
    <xf numFmtId="164" fontId="8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workbookViewId="0">
      <selection activeCell="L14" sqref="L14"/>
    </sheetView>
  </sheetViews>
  <sheetFormatPr defaultRowHeight="15" x14ac:dyDescent="0.25"/>
  <cols>
    <col min="1" max="1" width="35.7109375" customWidth="1"/>
  </cols>
  <sheetData>
    <row r="2" spans="1:9" ht="15.75" x14ac:dyDescent="0.25">
      <c r="A2" s="22" t="s">
        <v>54</v>
      </c>
      <c r="B2" s="32" t="s">
        <v>15</v>
      </c>
      <c r="C2" s="33">
        <v>100</v>
      </c>
      <c r="D2" s="32" t="s">
        <v>50</v>
      </c>
    </row>
    <row r="3" spans="1:9" ht="15.75" x14ac:dyDescent="0.25">
      <c r="A3" s="22" t="s">
        <v>55</v>
      </c>
      <c r="B3" s="32" t="s">
        <v>16</v>
      </c>
      <c r="C3" s="33">
        <v>30</v>
      </c>
      <c r="D3" s="32" t="s">
        <v>58</v>
      </c>
    </row>
    <row r="4" spans="1:9" ht="15.75" x14ac:dyDescent="0.25">
      <c r="A4" s="22" t="s">
        <v>56</v>
      </c>
      <c r="B4" s="32" t="s">
        <v>57</v>
      </c>
      <c r="C4" s="33">
        <v>100</v>
      </c>
      <c r="D4" s="32" t="s">
        <v>52</v>
      </c>
      <c r="E4">
        <f>(C4*220)/1000</f>
        <v>22</v>
      </c>
      <c r="F4" t="s">
        <v>50</v>
      </c>
    </row>
    <row r="5" spans="1:9" ht="15.75" x14ac:dyDescent="0.25">
      <c r="A5" s="22" t="s">
        <v>59</v>
      </c>
      <c r="B5" s="32" t="s">
        <v>57</v>
      </c>
      <c r="C5" s="33">
        <v>100</v>
      </c>
      <c r="D5" s="32" t="s">
        <v>60</v>
      </c>
      <c r="E5">
        <f>C5*380/1000</f>
        <v>38</v>
      </c>
      <c r="F5" t="s">
        <v>50</v>
      </c>
    </row>
    <row r="6" spans="1:9" ht="15.75" x14ac:dyDescent="0.25">
      <c r="A6" s="22" t="s">
        <v>61</v>
      </c>
      <c r="B6" s="32" t="s">
        <v>10</v>
      </c>
      <c r="C6" s="33">
        <v>680</v>
      </c>
      <c r="D6" s="32" t="s">
        <v>62</v>
      </c>
    </row>
    <row r="7" spans="1:9" ht="15.75" x14ac:dyDescent="0.25">
      <c r="A7" s="22" t="s">
        <v>63</v>
      </c>
      <c r="B7" s="32" t="s">
        <v>12</v>
      </c>
      <c r="C7" s="33">
        <v>120</v>
      </c>
      <c r="D7" s="32" t="s">
        <v>44</v>
      </c>
    </row>
    <row r="11" spans="1:9" x14ac:dyDescent="0.25">
      <c r="A11" s="39" t="s">
        <v>65</v>
      </c>
      <c r="B11" s="4" t="str">
        <f>Умумий!A5</f>
        <v>S = √(P² + Q²)</v>
      </c>
      <c r="E11">
        <f>Умумий!D5</f>
        <v>104.4030650891055</v>
      </c>
      <c r="G11" s="4" t="str">
        <f>Умумий!F5</f>
        <v>U220</v>
      </c>
      <c r="H11" s="51">
        <f>Умумий!G5</f>
        <v>21.07217827486533</v>
      </c>
      <c r="I11" t="str">
        <f>Умумий!H5</f>
        <v>кВт</v>
      </c>
    </row>
    <row r="12" spans="1:9" x14ac:dyDescent="0.25">
      <c r="B12" s="4"/>
      <c r="G12" s="4" t="str">
        <f>Умумий!F6</f>
        <v>U380</v>
      </c>
      <c r="H12" s="51">
        <f>Умумий!G6</f>
        <v>36.397398838403753</v>
      </c>
      <c r="I12" t="str">
        <f>Умумий!H6</f>
        <v>кВт</v>
      </c>
    </row>
    <row r="13" spans="1:9" x14ac:dyDescent="0.25">
      <c r="B13" s="4" t="str">
        <f>Умумий!A7</f>
        <v>cos(φ) = P / S</v>
      </c>
      <c r="E13">
        <f>Умумий!D7</f>
        <v>0.95782628522115143</v>
      </c>
    </row>
    <row r="14" spans="1:9" x14ac:dyDescent="0.25">
      <c r="B14" s="4"/>
    </row>
    <row r="15" spans="1:9" x14ac:dyDescent="0.25">
      <c r="B15" s="4" t="str">
        <f>Умумий!A9</f>
        <v>sin(φ) = Q / S </v>
      </c>
      <c r="E15">
        <f>Умумий!D9</f>
        <v>0.28734788556634544</v>
      </c>
    </row>
    <row r="18" spans="1:5" ht="17.25" x14ac:dyDescent="0.25">
      <c r="A18" s="41" t="s">
        <v>69</v>
      </c>
      <c r="B18" s="42" t="s">
        <v>70</v>
      </c>
      <c r="E18">
        <f>E15/E13</f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J26" sqref="J26"/>
    </sheetView>
  </sheetViews>
  <sheetFormatPr defaultRowHeight="15" x14ac:dyDescent="0.25"/>
  <cols>
    <col min="4" max="4" width="12.42578125" customWidth="1"/>
  </cols>
  <sheetData>
    <row r="1" spans="1:11" ht="20.25" x14ac:dyDescent="0.3">
      <c r="A1" s="43" t="str">
        <f>Умумий!A11</f>
        <v>Қаршилик (электрик қаршилик)</v>
      </c>
      <c r="B1" s="43"/>
      <c r="C1" s="43"/>
      <c r="D1" s="43"/>
      <c r="E1" s="43"/>
      <c r="F1" s="43"/>
      <c r="G1" s="43"/>
    </row>
    <row r="2" spans="1:11" x14ac:dyDescent="0.25">
      <c r="A2" t="s">
        <v>5</v>
      </c>
      <c r="C2" s="21">
        <v>2.8000000000000001E-2</v>
      </c>
      <c r="D2" s="20" t="s">
        <v>6</v>
      </c>
      <c r="I2" s="20" t="str">
        <f>'Умумий кўрсаткичлар'!B2</f>
        <v>P</v>
      </c>
      <c r="J2" s="20">
        <f>'Умумий кўрсаткичлар'!C2</f>
        <v>100</v>
      </c>
      <c r="K2" s="20" t="str">
        <f>'Умумий кўрсаткичлар'!D2</f>
        <v>кВт</v>
      </c>
    </row>
    <row r="3" spans="1:11" x14ac:dyDescent="0.25">
      <c r="A3" t="s">
        <v>7</v>
      </c>
      <c r="C3" s="21">
        <v>1.7500000000000002E-2</v>
      </c>
      <c r="D3" s="20" t="s">
        <v>6</v>
      </c>
      <c r="I3" s="20" t="str">
        <f>'Умумий кўрсаткичлар'!B3</f>
        <v>Q</v>
      </c>
      <c r="J3" s="20">
        <f>'Умумий кўрсаткичлар'!C3</f>
        <v>30</v>
      </c>
      <c r="K3" s="20" t="str">
        <f>'Умумий кўрсаткичлар'!D3</f>
        <v>кВАр</v>
      </c>
    </row>
    <row r="4" spans="1:11" x14ac:dyDescent="0.25">
      <c r="I4" s="20" t="str">
        <f>'Умумий кўрсаткичлар'!B4</f>
        <v>I</v>
      </c>
      <c r="J4" s="20">
        <f>'Умумий кўрсаткичлар'!C4</f>
        <v>100</v>
      </c>
      <c r="K4" s="20" t="str">
        <f>'Умумий кўрсаткичлар'!D4</f>
        <v>А</v>
      </c>
    </row>
    <row r="5" spans="1:11" x14ac:dyDescent="0.25">
      <c r="A5" s="4" t="s">
        <v>5</v>
      </c>
      <c r="I5" s="20" t="str">
        <f>'Умумий кўрсаткичлар'!B5</f>
        <v>I</v>
      </c>
      <c r="J5" s="20">
        <f>'Умумий кўрсаткичлар'!C5</f>
        <v>100</v>
      </c>
      <c r="K5" s="20" t="str">
        <f>'Умумий кўрсаткичлар'!D5</f>
        <v>A</v>
      </c>
    </row>
    <row r="6" spans="1:11" ht="18.75" x14ac:dyDescent="0.3">
      <c r="A6" s="6" t="s">
        <v>53</v>
      </c>
      <c r="D6" s="54">
        <f>Умумий!F19</f>
        <v>0.15866666666666668</v>
      </c>
      <c r="E6" s="31" t="str">
        <f>Умумий!G19</f>
        <v>Ом</v>
      </c>
      <c r="I6" s="20" t="str">
        <f>'Умумий кўрсаткичлар'!B6</f>
        <v>L</v>
      </c>
      <c r="J6" s="20">
        <f>'Умумий кўрсаткичлар'!C6</f>
        <v>680</v>
      </c>
      <c r="K6" s="20" t="str">
        <f>'Умумий кўрсаткичлар'!D6</f>
        <v>м</v>
      </c>
    </row>
    <row r="7" spans="1:11" x14ac:dyDescent="0.25">
      <c r="D7" s="50"/>
      <c r="I7" s="20" t="str">
        <f>'Умумий кўрсаткичлар'!B7</f>
        <v>S</v>
      </c>
      <c r="J7" s="20">
        <f>'Умумий кўрсаткичлар'!C7</f>
        <v>120</v>
      </c>
      <c r="K7" s="20" t="str">
        <f>'Умумий кўрсаткичлар'!D7</f>
        <v>S=mm^2</v>
      </c>
    </row>
    <row r="8" spans="1:11" x14ac:dyDescent="0.25">
      <c r="A8" s="4" t="s">
        <v>7</v>
      </c>
      <c r="D8" s="50"/>
    </row>
    <row r="9" spans="1:11" ht="18.75" x14ac:dyDescent="0.3">
      <c r="A9" s="6" t="s">
        <v>53</v>
      </c>
      <c r="D9" s="54">
        <f>Умумий!F22</f>
        <v>9.9166666666666681E-2</v>
      </c>
      <c r="E9" s="31" t="str">
        <f>Умумий!G22</f>
        <v>Ом</v>
      </c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L22" sqref="L22"/>
    </sheetView>
  </sheetViews>
  <sheetFormatPr defaultRowHeight="15" x14ac:dyDescent="0.25"/>
  <sheetData>
    <row r="1" spans="1:16" ht="18.75" x14ac:dyDescent="0.3">
      <c r="A1" s="44" t="s">
        <v>64</v>
      </c>
      <c r="B1" s="44"/>
      <c r="C1" s="44"/>
      <c r="D1" s="44"/>
      <c r="E1" s="44"/>
      <c r="F1" s="44"/>
    </row>
    <row r="2" spans="1:16" x14ac:dyDescent="0.25">
      <c r="A2" s="4" t="s">
        <v>7</v>
      </c>
      <c r="N2" s="20" t="str">
        <f>'Умумий кўрсаткичлар'!B2</f>
        <v>P</v>
      </c>
      <c r="O2" s="20">
        <f>'Умумий кўрсаткичлар'!C2</f>
        <v>100</v>
      </c>
      <c r="P2" s="20" t="str">
        <f>'Умумий кўрсаткичлар'!D2</f>
        <v>кВт</v>
      </c>
    </row>
    <row r="3" spans="1:16" ht="17.25" x14ac:dyDescent="0.3">
      <c r="A3" s="1" t="s">
        <v>18</v>
      </c>
      <c r="E3" s="34">
        <f>Умумий!F26</f>
        <v>0.99166666666666681</v>
      </c>
      <c r="F3" s="4" t="s">
        <v>50</v>
      </c>
      <c r="N3" s="20" t="str">
        <f>'Умумий кўрсаткичлар'!B3</f>
        <v>Q</v>
      </c>
      <c r="O3" s="20">
        <f>'Умумий кўрсаткичлар'!C3</f>
        <v>30</v>
      </c>
      <c r="P3" s="20" t="str">
        <f>'Умумий кўрсаткичлар'!D3</f>
        <v>кВАр</v>
      </c>
    </row>
    <row r="4" spans="1:16" x14ac:dyDescent="0.25">
      <c r="N4" s="20" t="str">
        <f>'Умумий кўрсаткичлар'!B4</f>
        <v>I</v>
      </c>
      <c r="O4" s="20">
        <f>'Умумий кўрсаткичлар'!C4</f>
        <v>100</v>
      </c>
      <c r="P4" s="20" t="str">
        <f>'Умумий кўрсаткичлар'!D4</f>
        <v>А</v>
      </c>
    </row>
    <row r="5" spans="1:16" x14ac:dyDescent="0.25">
      <c r="A5" s="4" t="s">
        <v>5</v>
      </c>
      <c r="N5" s="20" t="str">
        <f>'Умумий кўрсаткичлар'!B5</f>
        <v>I</v>
      </c>
      <c r="O5" s="20">
        <f>'Умумий кўрсаткичлар'!C5</f>
        <v>100</v>
      </c>
      <c r="P5" s="20" t="str">
        <f>'Умумий кўрсаткичлар'!D5</f>
        <v>A</v>
      </c>
    </row>
    <row r="6" spans="1:16" ht="17.25" x14ac:dyDescent="0.3">
      <c r="A6" s="1" t="s">
        <v>18</v>
      </c>
      <c r="E6" s="34">
        <f>Умумий!F29</f>
        <v>1.5866666666666667</v>
      </c>
      <c r="F6" s="4" t="s">
        <v>50</v>
      </c>
      <c r="N6" s="20" t="str">
        <f>'Умумий кўрсаткичлар'!B6</f>
        <v>L</v>
      </c>
      <c r="O6" s="20">
        <f>'Умумий кўрсаткичлар'!C6</f>
        <v>680</v>
      </c>
      <c r="P6" s="20" t="str">
        <f>'Умумий кўрсаткичлар'!D6</f>
        <v>м</v>
      </c>
    </row>
    <row r="7" spans="1:16" x14ac:dyDescent="0.25">
      <c r="N7" s="20" t="str">
        <f>'Умумий кўрсаткичлар'!B7</f>
        <v>S</v>
      </c>
      <c r="O7" s="20">
        <f>'Умумий кўрсаткичлар'!C7</f>
        <v>120</v>
      </c>
      <c r="P7" s="20" t="str">
        <f>'Умумий кўрсаткичлар'!D7</f>
        <v>S=mm^2</v>
      </c>
    </row>
    <row r="8" spans="1:16" ht="18.75" x14ac:dyDescent="0.3">
      <c r="A8" s="44" t="s">
        <v>72</v>
      </c>
      <c r="B8" s="44"/>
      <c r="C8" s="44"/>
      <c r="D8" s="44"/>
      <c r="E8" s="44"/>
      <c r="F8" s="44"/>
    </row>
    <row r="10" spans="1:16" x14ac:dyDescent="0.25">
      <c r="A10" s="4" t="s">
        <v>7</v>
      </c>
    </row>
    <row r="11" spans="1:16" ht="17.25" x14ac:dyDescent="0.3">
      <c r="A11" s="1" t="s">
        <v>19</v>
      </c>
      <c r="E11" s="34">
        <f>Умумий!F33</f>
        <v>2.9750000000000005</v>
      </c>
      <c r="F11" s="4" t="s">
        <v>50</v>
      </c>
    </row>
    <row r="13" spans="1:16" x14ac:dyDescent="0.25">
      <c r="A13" s="4" t="s">
        <v>5</v>
      </c>
    </row>
    <row r="14" spans="1:16" ht="17.25" x14ac:dyDescent="0.3">
      <c r="A14" s="1" t="s">
        <v>19</v>
      </c>
      <c r="E14" s="34">
        <f>Умумий!F36</f>
        <v>4.76</v>
      </c>
      <c r="F14" s="4" t="s">
        <v>50</v>
      </c>
    </row>
    <row r="16" spans="1:16" ht="15.75" x14ac:dyDescent="0.25">
      <c r="A16" s="5" t="s">
        <v>21</v>
      </c>
      <c r="E16" s="7" t="s">
        <v>20</v>
      </c>
    </row>
    <row r="18" spans="1:13" ht="15.75" x14ac:dyDescent="0.25">
      <c r="A18" s="8" t="str">
        <f>Умумий!A41</f>
        <v>Кучланиш пасайишини</v>
      </c>
      <c r="B18" s="8"/>
      <c r="C18" s="8"/>
      <c r="D18" s="8"/>
      <c r="E18" s="8"/>
      <c r="F18" s="8"/>
      <c r="G18" s="8"/>
    </row>
    <row r="19" spans="1:13" ht="15.75" x14ac:dyDescent="0.25">
      <c r="A19" s="8"/>
    </row>
    <row r="20" spans="1:13" ht="15.75" x14ac:dyDescent="0.25">
      <c r="A20" s="8" t="str">
        <f>Умумий!A43</f>
        <v>ΔV = (2 * I * R * L) / V</v>
      </c>
      <c r="L20" s="35" t="str">
        <f>Умумий!F42</f>
        <v>ал</v>
      </c>
    </row>
    <row r="21" spans="1:13" ht="15.75" x14ac:dyDescent="0.25">
      <c r="A21" s="8" t="str">
        <f>Умумий!A44</f>
        <v>Бу ерда:</v>
      </c>
      <c r="K21">
        <f>Умумий!E43</f>
        <v>220</v>
      </c>
      <c r="L21" s="36">
        <f>Умумий!F43</f>
        <v>98.084848484848493</v>
      </c>
      <c r="M21" s="4" t="str">
        <f>Умумий!G43</f>
        <v>В</v>
      </c>
    </row>
    <row r="22" spans="1:13" ht="15.75" x14ac:dyDescent="0.25">
      <c r="A22" s="8"/>
      <c r="K22">
        <f>Умумий!E44</f>
        <v>380</v>
      </c>
      <c r="L22" s="36">
        <f>Умумий!F44</f>
        <v>56.785964912280704</v>
      </c>
      <c r="M22" s="4" t="str">
        <f>Умумий!G44</f>
        <v>В</v>
      </c>
    </row>
    <row r="23" spans="1:13" ht="15.75" x14ac:dyDescent="0.25">
      <c r="A23" s="8" t="str">
        <f>Умумий!A46</f>
        <v>ΔV - кучланиш пасайиши (Вольтда)</v>
      </c>
      <c r="L23" s="35" t="str">
        <f>Умумий!F45</f>
        <v>мис</v>
      </c>
    </row>
    <row r="24" spans="1:13" ht="15.75" x14ac:dyDescent="0.25">
      <c r="A24" s="8" t="str">
        <f>Умумий!A47</f>
        <v>I - ток кучи (Амперда) = 28.4 А</v>
      </c>
      <c r="K24">
        <f>Умумий!E46</f>
        <v>220</v>
      </c>
      <c r="L24" s="36">
        <f>Умумий!F46</f>
        <v>61.303030303030312</v>
      </c>
      <c r="M24" s="4" t="str">
        <f>Умумий!G46</f>
        <v>В</v>
      </c>
    </row>
    <row r="25" spans="1:13" ht="15.75" x14ac:dyDescent="0.25">
      <c r="A25" s="8" t="str">
        <f>Умумий!A48</f>
        <v>R - кабелнинг қаршилиги (Ом/метрда). Мис кабел учун 4 мм² кесимда ~ 4.61 мОм/м</v>
      </c>
      <c r="K25">
        <f>Умумий!E47</f>
        <v>380</v>
      </c>
      <c r="L25" s="36">
        <f>Умумий!F47</f>
        <v>35.491228070175438</v>
      </c>
      <c r="M25" s="4" t="str">
        <f>Умумий!G47</f>
        <v>В</v>
      </c>
    </row>
    <row r="26" spans="1:13" ht="15.75" x14ac:dyDescent="0.25">
      <c r="A26" s="8" t="str">
        <f>Умумий!A49</f>
        <v>L - кабел узунлиги (метрда) = 50 м</v>
      </c>
    </row>
    <row r="27" spans="1:13" ht="15.75" x14ac:dyDescent="0.25">
      <c r="A27" s="8" t="str">
        <f>Умумий!A50</f>
        <v>V - кучланиш (Вольтда) = 220 В</v>
      </c>
    </row>
    <row r="28" spans="1:13" ht="15.75" x14ac:dyDescent="0.25">
      <c r="A28" s="8"/>
    </row>
    <row r="29" spans="1:13" ht="15.75" x14ac:dyDescent="0.25">
      <c r="A29" s="8"/>
    </row>
    <row r="30" spans="1:13" ht="15.75" x14ac:dyDescent="0.25">
      <c r="A30" s="8"/>
    </row>
    <row r="31" spans="1:13" ht="15.75" x14ac:dyDescent="0.25">
      <c r="A31" s="8"/>
    </row>
  </sheetData>
  <mergeCells count="2">
    <mergeCell ref="A8:F8"/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M24" sqref="M24"/>
    </sheetView>
  </sheetViews>
  <sheetFormatPr defaultRowHeight="15" x14ac:dyDescent="0.25"/>
  <sheetData>
    <row r="2" spans="1:1" x14ac:dyDescent="0.25">
      <c r="A2" t="str">
        <f>Умумий!L5</f>
        <v>1. Формуладан фойдаланиш:</v>
      </c>
    </row>
    <row r="3" spans="1:1" x14ac:dyDescent="0.25">
      <c r="A3" t="str">
        <f>Умумий!L6</f>
        <v>Бир фазали кабел учун:</v>
      </c>
    </row>
    <row r="4" spans="1:1" x14ac:dyDescent="0.25">
      <c r="A4" t="str">
        <f>Умумий!L7</f>
        <v>S = (2 * ρ * L * I) / ΔV</v>
      </c>
    </row>
    <row r="6" spans="1:1" x14ac:dyDescent="0.25">
      <c r="A6" t="str">
        <f>Умумий!L9</f>
        <v>Уч фазали кабел учун:</v>
      </c>
    </row>
    <row r="7" spans="1:1" x14ac:dyDescent="0.25">
      <c r="A7" t="str">
        <f>Умумий!L10</f>
        <v>S = (√3 * ρ * L * I) / ΔV</v>
      </c>
    </row>
    <row r="8" spans="1:1" x14ac:dyDescent="0.25">
      <c r="A8" t="str">
        <f>Умумий!L11</f>
        <v>Бу ерда:</v>
      </c>
    </row>
    <row r="10" spans="1:1" x14ac:dyDescent="0.25">
      <c r="A10" t="str">
        <f>Умумий!L13</f>
        <v>S - Керакли кесим юзаси (мм²)</v>
      </c>
    </row>
    <row r="11" spans="1:1" x14ac:dyDescent="0.25">
      <c r="A11" t="str">
        <f>Умумий!L14</f>
        <v>ρ - Материалнинг солиштирма қаршилиги (мис учун ≈ 0.0175 Ом·мм²/м, алюминий учун ≈ 0.028 Ом·мм²/м)</v>
      </c>
    </row>
    <row r="12" spans="1:1" x14ac:dyDescent="0.25">
      <c r="A12" t="str">
        <f>Умумий!L15</f>
        <v>L - Кабел узунлиги (м)</v>
      </c>
    </row>
    <row r="13" spans="1:1" x14ac:dyDescent="0.25">
      <c r="A13" t="str">
        <f>Умумий!L16</f>
        <v>I - Ток кучи (A)</v>
      </c>
    </row>
    <row r="14" spans="1:1" x14ac:dyDescent="0.25">
      <c r="A14" t="str">
        <f>Умумий!L17</f>
        <v>ΔV - Йўл қўйилиши мумкин бўлган кучланиш пасайиши (В) ўртача 5%</v>
      </c>
    </row>
    <row r="17" spans="1:8" x14ac:dyDescent="0.25">
      <c r="A17" t="str">
        <f>Умумий!L20</f>
        <v>Бир фазали кабел учун:</v>
      </c>
      <c r="F17" s="38">
        <f>Умумий!Q20</f>
        <v>346.18181818181819</v>
      </c>
      <c r="G17" t="str">
        <f>Умумий!R20</f>
        <v>мм^2</v>
      </c>
      <c r="H17" t="str">
        <f>Умумий!S20</f>
        <v>Алюмин</v>
      </c>
    </row>
    <row r="18" spans="1:8" x14ac:dyDescent="0.25">
      <c r="A18" t="str">
        <f>Умумий!L21</f>
        <v>S = (2 * ρ * L * I) / ΔV</v>
      </c>
      <c r="F18" s="38">
        <f>Умумий!Q21</f>
        <v>125.26315789473684</v>
      </c>
      <c r="G18" t="str">
        <f>Умумий!R21</f>
        <v>мм^2</v>
      </c>
      <c r="H18" t="str">
        <f>Умумий!S21</f>
        <v>Мис</v>
      </c>
    </row>
    <row r="19" spans="1:8" x14ac:dyDescent="0.25">
      <c r="F19" s="38"/>
    </row>
    <row r="20" spans="1:8" x14ac:dyDescent="0.25">
      <c r="A20" t="str">
        <f>Умумий!L23</f>
        <v>Уч фазали кабел учун:</v>
      </c>
      <c r="F20" s="38"/>
    </row>
    <row r="21" spans="1:8" x14ac:dyDescent="0.25">
      <c r="A21" t="str">
        <f>Умумий!L24</f>
        <v>S = (√3 * ρ * L * I) / ΔV</v>
      </c>
      <c r="F21" s="38">
        <f>Умумий!Q24</f>
        <v>173.56972303216534</v>
      </c>
      <c r="G21" t="str">
        <f>Умумий!R24</f>
        <v>мм^2</v>
      </c>
      <c r="H21" t="str">
        <f>Умумий!S24</f>
        <v>Алюмин</v>
      </c>
    </row>
    <row r="22" spans="1:8" x14ac:dyDescent="0.25">
      <c r="F22" s="38">
        <f>Умумий!Q25</f>
        <v>108.48107689510337</v>
      </c>
      <c r="G22" t="str">
        <f>Умумий!R25</f>
        <v>мм^2</v>
      </c>
      <c r="H22" t="str">
        <f>Умумий!S25</f>
        <v>Мис</v>
      </c>
    </row>
    <row r="23" spans="1:8" x14ac:dyDescent="0.25">
      <c r="F23" s="3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workbookViewId="0">
      <selection activeCell="D9" sqref="D9:F10"/>
    </sheetView>
  </sheetViews>
  <sheetFormatPr defaultRowHeight="15" x14ac:dyDescent="0.25"/>
  <sheetData>
    <row r="2" spans="1:7" ht="17.25" x14ac:dyDescent="0.3">
      <c r="A2" s="1" t="s">
        <v>66</v>
      </c>
    </row>
    <row r="4" spans="1:7" ht="17.25" x14ac:dyDescent="0.25">
      <c r="A4" s="40" t="s">
        <v>67</v>
      </c>
    </row>
    <row r="6" spans="1:7" x14ac:dyDescent="0.25">
      <c r="B6" t="s">
        <v>68</v>
      </c>
      <c r="D6">
        <v>1000</v>
      </c>
      <c r="F6">
        <f>D6*1.445</f>
        <v>1445</v>
      </c>
      <c r="G6" t="s">
        <v>52</v>
      </c>
    </row>
    <row r="7" spans="1:7" x14ac:dyDescent="0.25">
      <c r="F7">
        <f>(F6*380)/1000</f>
        <v>549.1</v>
      </c>
      <c r="G7" t="s">
        <v>50</v>
      </c>
    </row>
    <row r="9" spans="1:7" x14ac:dyDescent="0.25">
      <c r="F9" s="51"/>
    </row>
    <row r="10" spans="1:7" x14ac:dyDescent="0.25">
      <c r="F10" s="51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A16" zoomScale="115" zoomScaleNormal="115" workbookViewId="0">
      <selection activeCell="K39" sqref="K39"/>
    </sheetView>
  </sheetViews>
  <sheetFormatPr defaultRowHeight="15" x14ac:dyDescent="0.25"/>
  <cols>
    <col min="2" max="2" width="9.85546875" bestFit="1" customWidth="1"/>
    <col min="4" max="4" width="12.85546875" customWidth="1"/>
    <col min="6" max="8" width="10.5703125" bestFit="1" customWidth="1"/>
    <col min="10" max="10" width="11.140625" bestFit="1" customWidth="1"/>
    <col min="12" max="12" width="12.5703125" customWidth="1"/>
    <col min="17" max="17" width="10.5703125" bestFit="1" customWidth="1"/>
  </cols>
  <sheetData>
    <row r="1" spans="1:17" ht="18.75" x14ac:dyDescent="0.3">
      <c r="A1" s="48" t="s">
        <v>0</v>
      </c>
      <c r="B1" s="48"/>
      <c r="C1" s="48"/>
      <c r="D1" s="48"/>
      <c r="E1" s="47"/>
      <c r="F1" s="47"/>
      <c r="G1" s="47"/>
    </row>
    <row r="2" spans="1:17" ht="18.75" x14ac:dyDescent="0.25">
      <c r="A2" s="49" t="s">
        <v>15</v>
      </c>
      <c r="B2" s="49">
        <f>'Умумий кўрсаткичлар'!C2</f>
        <v>100</v>
      </c>
      <c r="C2" s="49" t="s">
        <v>16</v>
      </c>
      <c r="D2" s="49">
        <f>'Умумий кўрсаткичлар'!C3</f>
        <v>30</v>
      </c>
      <c r="E2" s="25"/>
      <c r="F2" s="25" t="s">
        <v>47</v>
      </c>
      <c r="G2" s="25">
        <f>'Умумий кўрсаткичлар'!C4</f>
        <v>100</v>
      </c>
      <c r="H2" s="25" t="s">
        <v>46</v>
      </c>
      <c r="I2" s="25">
        <f>'Умумий кўрсаткичлар'!C5</f>
        <v>100</v>
      </c>
      <c r="J2" s="25" t="s">
        <v>45</v>
      </c>
      <c r="K2" s="25">
        <f>'Умумий кўрсаткичлар'!C6</f>
        <v>680</v>
      </c>
      <c r="L2" s="25" t="s">
        <v>44</v>
      </c>
      <c r="M2" s="25">
        <f>'Умумий кўрсаткичлар'!C7</f>
        <v>120</v>
      </c>
    </row>
    <row r="3" spans="1:17" ht="18.75" x14ac:dyDescent="0.3">
      <c r="F3" s="25" t="s">
        <v>48</v>
      </c>
      <c r="G3" s="25">
        <v>13</v>
      </c>
      <c r="H3" s="25" t="s">
        <v>49</v>
      </c>
      <c r="I3" s="25">
        <v>13</v>
      </c>
      <c r="M3" s="46" t="s">
        <v>31</v>
      </c>
      <c r="N3" s="46"/>
      <c r="O3" s="46"/>
      <c r="P3" s="46"/>
      <c r="Q3" s="46"/>
    </row>
    <row r="4" spans="1:17" ht="18.75" x14ac:dyDescent="0.3">
      <c r="M4" s="24"/>
      <c r="N4" s="24"/>
      <c r="O4" s="24"/>
      <c r="P4" s="24"/>
      <c r="Q4" s="24"/>
    </row>
    <row r="5" spans="1:17" ht="17.25" x14ac:dyDescent="0.3">
      <c r="A5" s="1" t="s">
        <v>1</v>
      </c>
      <c r="D5" s="27">
        <f>SQRT(B2^2+D2^2)</f>
        <v>104.4030650891055</v>
      </c>
      <c r="F5" t="s">
        <v>48</v>
      </c>
      <c r="G5" s="17">
        <f>(G2*220*D7)/1000</f>
        <v>21.07217827486533</v>
      </c>
      <c r="H5" t="s">
        <v>50</v>
      </c>
      <c r="I5" s="17">
        <f>G3/220*1000</f>
        <v>59.090909090909086</v>
      </c>
      <c r="J5" t="s">
        <v>52</v>
      </c>
      <c r="L5" s="11" t="s">
        <v>32</v>
      </c>
    </row>
    <row r="6" spans="1:17" ht="15.75" x14ac:dyDescent="0.25">
      <c r="D6" s="28"/>
      <c r="F6" t="s">
        <v>49</v>
      </c>
      <c r="G6" s="17">
        <f>(I2*380*D7)/1000</f>
        <v>36.397398838403753</v>
      </c>
      <c r="H6" t="s">
        <v>50</v>
      </c>
      <c r="I6" s="17">
        <f>I3/380*1000</f>
        <v>34.210526315789473</v>
      </c>
      <c r="J6" t="s">
        <v>52</v>
      </c>
      <c r="L6" s="13" t="s">
        <v>33</v>
      </c>
    </row>
    <row r="7" spans="1:17" ht="15.75" x14ac:dyDescent="0.25">
      <c r="A7" s="2" t="s">
        <v>2</v>
      </c>
      <c r="B7" s="2"/>
      <c r="C7" s="2"/>
      <c r="D7" s="29">
        <f>B2/D5</f>
        <v>0.95782628522115143</v>
      </c>
      <c r="E7" s="2"/>
      <c r="F7" s="2"/>
      <c r="G7" s="2"/>
      <c r="L7" s="14" t="s">
        <v>34</v>
      </c>
    </row>
    <row r="8" spans="1:17" x14ac:dyDescent="0.25">
      <c r="D8" s="28"/>
      <c r="L8" s="12"/>
    </row>
    <row r="9" spans="1:17" ht="15.75" x14ac:dyDescent="0.25">
      <c r="A9" s="5" t="s">
        <v>3</v>
      </c>
      <c r="D9" s="30">
        <f>D2/D5</f>
        <v>0.28734788556634544</v>
      </c>
      <c r="L9" s="13" t="s">
        <v>35</v>
      </c>
    </row>
    <row r="10" spans="1:17" ht="15.75" x14ac:dyDescent="0.25">
      <c r="L10" s="14" t="s">
        <v>36</v>
      </c>
    </row>
    <row r="11" spans="1:17" ht="18.75" x14ac:dyDescent="0.3">
      <c r="A11" s="45" t="s">
        <v>4</v>
      </c>
      <c r="B11" s="45"/>
      <c r="C11" s="45"/>
      <c r="D11" s="45"/>
      <c r="E11" s="45"/>
      <c r="F11" s="45"/>
      <c r="G11" s="45"/>
      <c r="L11" s="15" t="s">
        <v>24</v>
      </c>
    </row>
    <row r="12" spans="1:17" x14ac:dyDescent="0.25">
      <c r="L12" s="9"/>
    </row>
    <row r="13" spans="1:17" ht="15.75" x14ac:dyDescent="0.25">
      <c r="A13" t="s">
        <v>5</v>
      </c>
      <c r="C13" s="21">
        <v>2.8000000000000001E-2</v>
      </c>
      <c r="D13" s="20" t="s">
        <v>6</v>
      </c>
      <c r="L13" s="16" t="s">
        <v>37</v>
      </c>
    </row>
    <row r="14" spans="1:17" ht="15.75" x14ac:dyDescent="0.25">
      <c r="A14" t="s">
        <v>7</v>
      </c>
      <c r="C14" s="21">
        <v>1.7500000000000002E-2</v>
      </c>
      <c r="D14" s="20" t="s">
        <v>6</v>
      </c>
      <c r="L14" s="16" t="s">
        <v>38</v>
      </c>
    </row>
    <row r="15" spans="1:17" ht="15.75" x14ac:dyDescent="0.25">
      <c r="L15" s="16" t="s">
        <v>39</v>
      </c>
    </row>
    <row r="16" spans="1:17" ht="15.75" x14ac:dyDescent="0.25">
      <c r="A16" t="s">
        <v>8</v>
      </c>
      <c r="E16" s="5" t="s">
        <v>10</v>
      </c>
      <c r="F16" s="22">
        <f>K2</f>
        <v>680</v>
      </c>
      <c r="G16" s="22" t="s">
        <v>11</v>
      </c>
      <c r="L16" s="16" t="s">
        <v>40</v>
      </c>
    </row>
    <row r="17" spans="1:19" ht="15.75" x14ac:dyDescent="0.25">
      <c r="A17" s="3" t="s">
        <v>9</v>
      </c>
      <c r="E17" s="5" t="s">
        <v>12</v>
      </c>
      <c r="F17" s="22">
        <f>M2</f>
        <v>120</v>
      </c>
      <c r="G17" s="22" t="s">
        <v>13</v>
      </c>
      <c r="L17" s="16" t="s">
        <v>51</v>
      </c>
    </row>
    <row r="18" spans="1:19" ht="15.75" x14ac:dyDescent="0.25">
      <c r="A18" s="4" t="s">
        <v>5</v>
      </c>
      <c r="F18" s="5"/>
      <c r="G18" s="5"/>
    </row>
    <row r="19" spans="1:19" ht="15.75" x14ac:dyDescent="0.25">
      <c r="A19" s="6" t="s">
        <v>53</v>
      </c>
      <c r="F19" s="23">
        <f>C13*(F16/F17)</f>
        <v>0.15866666666666668</v>
      </c>
      <c r="G19" s="22" t="s">
        <v>14</v>
      </c>
    </row>
    <row r="20" spans="1:19" ht="15.75" x14ac:dyDescent="0.25">
      <c r="F20" s="23"/>
      <c r="G20" s="22"/>
      <c r="L20" s="13" t="s">
        <v>33</v>
      </c>
      <c r="Q20" s="37">
        <f>(2*C13*F16*G2)/(220*0.05)</f>
        <v>346.18181818181819</v>
      </c>
      <c r="R20" t="s">
        <v>41</v>
      </c>
      <c r="S20" t="s">
        <v>5</v>
      </c>
    </row>
    <row r="21" spans="1:19" ht="15.75" x14ac:dyDescent="0.25">
      <c r="A21" s="4" t="s">
        <v>7</v>
      </c>
      <c r="F21" s="23"/>
      <c r="G21" s="22"/>
      <c r="L21" s="14" t="s">
        <v>34</v>
      </c>
      <c r="Q21" s="37">
        <f>(2*C14*F16*G2)/(380*0.05)</f>
        <v>125.26315789473684</v>
      </c>
      <c r="R21" t="s">
        <v>41</v>
      </c>
      <c r="S21" t="s">
        <v>7</v>
      </c>
    </row>
    <row r="22" spans="1:19" ht="15.75" x14ac:dyDescent="0.25">
      <c r="A22" s="6" t="s">
        <v>53</v>
      </c>
      <c r="F22" s="23">
        <f>C14*(F16/F17)</f>
        <v>9.9166666666666681E-2</v>
      </c>
      <c r="G22" s="22" t="s">
        <v>14</v>
      </c>
      <c r="Q22" s="37"/>
    </row>
    <row r="23" spans="1:19" ht="15.75" x14ac:dyDescent="0.25">
      <c r="F23" s="5"/>
      <c r="G23" s="5"/>
      <c r="L23" s="13" t="s">
        <v>35</v>
      </c>
      <c r="Q23" s="37"/>
    </row>
    <row r="24" spans="1:19" ht="18.75" x14ac:dyDescent="0.3">
      <c r="A24" s="45" t="s">
        <v>17</v>
      </c>
      <c r="B24" s="45"/>
      <c r="C24" s="45"/>
      <c r="D24" s="45"/>
      <c r="E24" s="45"/>
      <c r="F24" s="45"/>
      <c r="G24" s="45"/>
      <c r="L24" s="14" t="s">
        <v>36</v>
      </c>
      <c r="Q24" s="37">
        <f>(SQRT(3)*C13*F16*I2)/(380*0.05)</f>
        <v>173.56972303216534</v>
      </c>
      <c r="R24" t="s">
        <v>41</v>
      </c>
      <c r="S24" t="s">
        <v>5</v>
      </c>
    </row>
    <row r="25" spans="1:19" x14ac:dyDescent="0.25">
      <c r="A25" s="4" t="s">
        <v>7</v>
      </c>
      <c r="Q25" s="37">
        <f>(SQRT(3)*C14*F16*I2)/(380*0.05)</f>
        <v>108.48107689510337</v>
      </c>
      <c r="R25" t="s">
        <v>41</v>
      </c>
      <c r="S25" t="s">
        <v>7</v>
      </c>
    </row>
    <row r="26" spans="1:19" ht="17.25" x14ac:dyDescent="0.3">
      <c r="A26" s="1" t="s">
        <v>18</v>
      </c>
      <c r="F26" s="53">
        <f>(G2^2*F22)/1000</f>
        <v>0.99166666666666681</v>
      </c>
      <c r="G26" s="22" t="s">
        <v>50</v>
      </c>
      <c r="H26">
        <f>F26*24*30</f>
        <v>714.00000000000011</v>
      </c>
      <c r="I26" t="s">
        <v>50</v>
      </c>
      <c r="J26" s="52">
        <f>H26*900</f>
        <v>642600.00000000012</v>
      </c>
      <c r="K26" t="s">
        <v>71</v>
      </c>
    </row>
    <row r="27" spans="1:19" ht="15.75" x14ac:dyDescent="0.25">
      <c r="F27" s="23"/>
      <c r="G27" s="22"/>
    </row>
    <row r="28" spans="1:19" ht="15.75" x14ac:dyDescent="0.25">
      <c r="A28" s="4" t="s">
        <v>5</v>
      </c>
      <c r="F28" s="23"/>
      <c r="G28" s="22"/>
    </row>
    <row r="29" spans="1:19" ht="17.25" x14ac:dyDescent="0.3">
      <c r="A29" s="1" t="s">
        <v>18</v>
      </c>
      <c r="F29" s="53">
        <f>(G2^2*F19)/1000</f>
        <v>1.5866666666666667</v>
      </c>
      <c r="G29" s="22" t="s">
        <v>50</v>
      </c>
      <c r="H29">
        <f>F29*24*30</f>
        <v>1142.3999999999999</v>
      </c>
      <c r="I29" t="s">
        <v>50</v>
      </c>
      <c r="J29" s="52">
        <f>H29*900</f>
        <v>1028159.9999999999</v>
      </c>
      <c r="K29" t="s">
        <v>71</v>
      </c>
    </row>
    <row r="30" spans="1:19" ht="15.75" x14ac:dyDescent="0.25">
      <c r="F30" s="23"/>
      <c r="G30" s="22"/>
    </row>
    <row r="31" spans="1:19" ht="15.75" x14ac:dyDescent="0.25">
      <c r="F31" s="23"/>
      <c r="G31" s="22"/>
    </row>
    <row r="32" spans="1:19" ht="15.75" x14ac:dyDescent="0.25">
      <c r="A32" s="4" t="s">
        <v>7</v>
      </c>
      <c r="F32" s="23"/>
      <c r="G32" s="22"/>
    </row>
    <row r="33" spans="1:11" ht="17.25" x14ac:dyDescent="0.3">
      <c r="A33" s="1" t="s">
        <v>19</v>
      </c>
      <c r="F33" s="53">
        <f>(3*I2^2*F22)/1000</f>
        <v>2.9750000000000005</v>
      </c>
      <c r="G33" s="22" t="s">
        <v>50</v>
      </c>
      <c r="H33">
        <f>F33*24*30</f>
        <v>2142</v>
      </c>
      <c r="I33" t="s">
        <v>50</v>
      </c>
      <c r="J33" s="52">
        <f>H33*900</f>
        <v>1927800</v>
      </c>
      <c r="K33" t="s">
        <v>71</v>
      </c>
    </row>
    <row r="34" spans="1:11" ht="15.75" x14ac:dyDescent="0.25">
      <c r="F34" s="23"/>
      <c r="G34" s="22"/>
    </row>
    <row r="35" spans="1:11" ht="15.75" x14ac:dyDescent="0.25">
      <c r="A35" s="4" t="s">
        <v>5</v>
      </c>
      <c r="F35" s="23"/>
      <c r="G35" s="22"/>
    </row>
    <row r="36" spans="1:11" ht="17.25" x14ac:dyDescent="0.3">
      <c r="A36" s="1" t="s">
        <v>19</v>
      </c>
      <c r="F36" s="53">
        <f>(3*I2^2*F19)/1000</f>
        <v>4.76</v>
      </c>
      <c r="G36" s="22" t="s">
        <v>50</v>
      </c>
      <c r="H36">
        <f>F36*24*30</f>
        <v>3427.2</v>
      </c>
      <c r="I36" t="s">
        <v>50</v>
      </c>
      <c r="J36" s="52">
        <f>H36*900</f>
        <v>3084480</v>
      </c>
      <c r="K36" t="s">
        <v>71</v>
      </c>
    </row>
    <row r="39" spans="1:11" ht="15.75" x14ac:dyDescent="0.25">
      <c r="A39" s="5" t="s">
        <v>21</v>
      </c>
      <c r="E39" s="7" t="s">
        <v>20</v>
      </c>
    </row>
    <row r="40" spans="1:11" ht="15.75" x14ac:dyDescent="0.25">
      <c r="E40" s="7"/>
    </row>
    <row r="41" spans="1:11" ht="15.75" x14ac:dyDescent="0.25">
      <c r="A41" s="8" t="s">
        <v>22</v>
      </c>
    </row>
    <row r="42" spans="1:11" x14ac:dyDescent="0.25">
      <c r="E42" s="20"/>
      <c r="F42" s="26" t="s">
        <v>42</v>
      </c>
      <c r="G42" s="20"/>
    </row>
    <row r="43" spans="1:11" ht="18.75" x14ac:dyDescent="0.3">
      <c r="A43" s="8" t="s">
        <v>23</v>
      </c>
      <c r="E43" s="18">
        <v>220</v>
      </c>
      <c r="F43" s="19">
        <f>(2*G2*F19*F16)/220</f>
        <v>98.084848484848493</v>
      </c>
      <c r="G43" s="19" t="s">
        <v>30</v>
      </c>
    </row>
    <row r="44" spans="1:11" ht="18.75" x14ac:dyDescent="0.3">
      <c r="A44" s="7" t="s">
        <v>24</v>
      </c>
      <c r="E44" s="18">
        <v>380</v>
      </c>
      <c r="F44" s="19">
        <f>(2*I2*F19*F16)/380</f>
        <v>56.785964912280704</v>
      </c>
      <c r="G44" s="19" t="s">
        <v>30</v>
      </c>
    </row>
    <row r="45" spans="1:11" x14ac:dyDescent="0.25">
      <c r="A45" s="9"/>
      <c r="E45" s="20"/>
      <c r="F45" s="26" t="s">
        <v>43</v>
      </c>
      <c r="G45" s="20"/>
    </row>
    <row r="46" spans="1:11" ht="18.75" x14ac:dyDescent="0.3">
      <c r="A46" s="10" t="s">
        <v>25</v>
      </c>
      <c r="E46" s="18">
        <v>220</v>
      </c>
      <c r="F46" s="19">
        <f>(2*G2*F22*F16)/220</f>
        <v>61.303030303030312</v>
      </c>
      <c r="G46" s="19" t="s">
        <v>30</v>
      </c>
    </row>
    <row r="47" spans="1:11" ht="18.75" x14ac:dyDescent="0.3">
      <c r="A47" s="10" t="s">
        <v>26</v>
      </c>
      <c r="E47" s="18">
        <v>380</v>
      </c>
      <c r="F47" s="19">
        <f>(2*I2*F22*F16)/380</f>
        <v>35.491228070175438</v>
      </c>
      <c r="G47" s="19" t="s">
        <v>30</v>
      </c>
    </row>
    <row r="48" spans="1:11" ht="15.75" x14ac:dyDescent="0.25">
      <c r="A48" s="10" t="s">
        <v>27</v>
      </c>
    </row>
    <row r="49" spans="1:1" ht="15.75" x14ac:dyDescent="0.25">
      <c r="A49" s="10" t="s">
        <v>28</v>
      </c>
    </row>
    <row r="50" spans="1:1" ht="15.75" x14ac:dyDescent="0.25">
      <c r="A50" s="10" t="s">
        <v>29</v>
      </c>
    </row>
  </sheetData>
  <mergeCells count="4">
    <mergeCell ref="A11:G11"/>
    <mergeCell ref="A24:G24"/>
    <mergeCell ref="M3:Q3"/>
    <mergeCell ref="A1:D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Умумий кўрсаткичлар</vt:lpstr>
      <vt:lpstr>Қаршилик</vt:lpstr>
      <vt:lpstr>Потерия</vt:lpstr>
      <vt:lpstr>Расчет кабель</vt:lpstr>
      <vt:lpstr>Трансформатор</vt:lpstr>
      <vt:lpstr>Умумий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2025-02-04T10:29:07Z</dcterms:created>
  <dcterms:modified xsi:type="dcterms:W3CDTF">2025-03-14T03:55:32Z</dcterms:modified>
</cp:coreProperties>
</file>